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ldx" ContentType="application/vnd.openxmlformats-officedocument.presentationml.slide"/>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checkCompatibility="1"/>
  <mc:AlternateContent xmlns:mc="http://schemas.openxmlformats.org/markup-compatibility/2006">
    <mc:Choice Requires="x15">
      <x15ac:absPath xmlns:x15ac="http://schemas.microsoft.com/office/spreadsheetml/2010/11/ac" url="G:\FinanceLibrary\fy23\PerPupil\PerPupilCore\"/>
    </mc:Choice>
  </mc:AlternateContent>
  <xr:revisionPtr revIDLastSave="0" documentId="13_ncr:1_{ED394BA5-081F-4008-A7F6-3E1C90257E8F}" xr6:coauthVersionLast="47" xr6:coauthVersionMax="47" xr10:uidLastSave="{00000000-0000-0000-0000-000000000000}"/>
  <bookViews>
    <workbookView xWindow="-120" yWindow="-120" windowWidth="29040" windowHeight="15840" tabRatio="831" activeTab="4" xr2:uid="{00000000-000D-0000-FFFF-FFFF00000000}"/>
  </bookViews>
  <sheets>
    <sheet name="Exp&amp;RevDefinition" sheetId="51" r:id="rId1"/>
    <sheet name="anbrecap" sheetId="16" r:id="rId2"/>
    <sheet name="revper" sheetId="2" r:id="rId3"/>
    <sheet name="rev$%recap" sheetId="3" r:id="rId4"/>
    <sheet name="23Rev" sheetId="149" r:id="rId5"/>
    <sheet name="22Rev" sheetId="145" r:id="rId6"/>
    <sheet name="21Rev" sheetId="144" r:id="rId7"/>
    <sheet name="20Rev" sheetId="137" r:id="rId8"/>
    <sheet name="19Rev" sheetId="133" r:id="rId9"/>
    <sheet name="18Rev" sheetId="129" r:id="rId10"/>
    <sheet name="17Rev" sheetId="125" r:id="rId11"/>
    <sheet name="16Rev" sheetId="121" r:id="rId12"/>
    <sheet name="15Rev" sheetId="117" r:id="rId13"/>
    <sheet name="14Rev" sheetId="113" r:id="rId14"/>
    <sheet name="13Rev" sheetId="109" r:id="rId15"/>
    <sheet name="12Rev" sheetId="108" r:id="rId16"/>
    <sheet name="11RevWith&amp;NO_ARRA" sheetId="99" r:id="rId17"/>
    <sheet name="10RevWith&amp;NO_ARRA" sheetId="83" r:id="rId18"/>
    <sheet name="09RevWith&amp;NO_ARRA" sheetId="79" r:id="rId19"/>
    <sheet name="08Rev" sheetId="72" r:id="rId20"/>
    <sheet name="07Rev" sheetId="67" r:id="rId21"/>
    <sheet name="06Rev" sheetId="66" r:id="rId22"/>
    <sheet name="05Rev" sheetId="61" r:id="rId23"/>
    <sheet name="04Rev" sheetId="56" r:id="rId24"/>
    <sheet name="03Rev" sheetId="49" r:id="rId25"/>
    <sheet name="02Rev" sheetId="4" r:id="rId26"/>
    <sheet name="01Rev" sheetId="5" r:id="rId27"/>
    <sheet name="00rev" sheetId="6" r:id="rId28"/>
    <sheet name="99rev" sheetId="7" r:id="rId29"/>
    <sheet name="98rev" sheetId="8" r:id="rId30"/>
    <sheet name="97rev" sheetId="9" r:id="rId31"/>
    <sheet name="96rev" sheetId="10" r:id="rId32"/>
    <sheet name="95rev" sheetId="11" r:id="rId33"/>
    <sheet name="94rev" sheetId="12" r:id="rId34"/>
    <sheet name="93rev" sheetId="13" r:id="rId35"/>
    <sheet name="92rev" sheetId="14" r:id="rId36"/>
    <sheet name="91rev" sheetId="15" r:id="rId37"/>
    <sheet name="exprecap" sheetId="17" r:id="rId38"/>
    <sheet name="exp$recap" sheetId="18" r:id="rId39"/>
    <sheet name="ExpChart2023" sheetId="152" r:id="rId40"/>
    <sheet name="ExpChart2022" sheetId="148" r:id="rId41"/>
    <sheet name="ExpChart2021" sheetId="143" r:id="rId42"/>
    <sheet name="ExpChart2020" sheetId="140" r:id="rId43"/>
    <sheet name="ExpChart2019" sheetId="136" r:id="rId44"/>
    <sheet name="ExpChart2018" sheetId="132" r:id="rId45"/>
    <sheet name="ExpChart2017" sheetId="128" r:id="rId46"/>
    <sheet name="ExpChart2016" sheetId="124" r:id="rId47"/>
    <sheet name="ExpChart2015" sheetId="120" r:id="rId48"/>
    <sheet name="ExpChart2014" sheetId="116" r:id="rId49"/>
    <sheet name="ExpChart2013" sheetId="112" r:id="rId50"/>
    <sheet name="ExpChart2012" sheetId="107" r:id="rId51"/>
    <sheet name="ExpChart2011NOARRANOSFSF" sheetId="104" r:id="rId52"/>
    <sheet name="ExpChart2011NOARRAWithSFSF" sheetId="103" r:id="rId53"/>
    <sheet name="ExpChart2011withARRA&amp;SFSF" sheetId="102" r:id="rId54"/>
    <sheet name="ExpChart2010NOARRANOSFSF" sheetId="92" r:id="rId55"/>
    <sheet name="ExpChart2010NOARRAWithSFSF" sheetId="91" r:id="rId56"/>
    <sheet name="ExpChart2010withARRA&amp;SFSF" sheetId="90" r:id="rId57"/>
    <sheet name="23func" sheetId="150" r:id="rId58"/>
    <sheet name="22func" sheetId="147" r:id="rId59"/>
    <sheet name="21func" sheetId="142" r:id="rId60"/>
    <sheet name="20func" sheetId="139" r:id="rId61"/>
    <sheet name="19func" sheetId="130" r:id="rId62"/>
    <sheet name="18func" sheetId="134" r:id="rId63"/>
    <sheet name="17func" sheetId="126" r:id="rId64"/>
    <sheet name="16func" sheetId="118" r:id="rId65"/>
    <sheet name="15func" sheetId="122" r:id="rId66"/>
    <sheet name="14func" sheetId="115" r:id="rId67"/>
    <sheet name="13func" sheetId="110" r:id="rId68"/>
    <sheet name="12func" sheetId="105" r:id="rId69"/>
    <sheet name="11func_NO_ARRA_NO_SFSF" sheetId="96" r:id="rId70"/>
    <sheet name="11func_NO_ARRA_With_SFSF" sheetId="97" r:id="rId71"/>
    <sheet name="11funcWithARRA&amp;SFSF" sheetId="98" r:id="rId72"/>
    <sheet name="10func_NO_ARRA_NO_SFSF" sheetId="89" r:id="rId73"/>
    <sheet name="10func_NO_ARRA_With_SFSF" sheetId="88" r:id="rId74"/>
    <sheet name="10funcWithARRA&amp;SFSF" sheetId="87" r:id="rId75"/>
    <sheet name="09func_NO_ARRA" sheetId="76" r:id="rId76"/>
    <sheet name="09funcWithARRA" sheetId="75" r:id="rId77"/>
    <sheet name="08func" sheetId="71" r:id="rId78"/>
    <sheet name="07func" sheetId="68" r:id="rId79"/>
    <sheet name="06func" sheetId="64" r:id="rId80"/>
    <sheet name="05func" sheetId="60" r:id="rId81"/>
    <sheet name="04func" sheetId="55" r:id="rId82"/>
    <sheet name="03func" sheetId="47" r:id="rId83"/>
    <sheet name="02func" sheetId="21" r:id="rId84"/>
    <sheet name="01func" sheetId="22" r:id="rId85"/>
    <sheet name="00func" sheetId="23" r:id="rId86"/>
    <sheet name="99func" sheetId="24" r:id="rId87"/>
    <sheet name="98func" sheetId="25" r:id="rId88"/>
    <sheet name="97func" sheetId="26" r:id="rId89"/>
    <sheet name="96func" sheetId="27" r:id="rId90"/>
    <sheet name="95func" sheetId="28" r:id="rId91"/>
    <sheet name="94func" sheetId="29" r:id="rId92"/>
    <sheet name="93func" sheetId="30" r:id="rId93"/>
    <sheet name="92func" sheetId="31" r:id="rId94"/>
    <sheet name="91func" sheetId="32" r:id="rId95"/>
    <sheet name="23obj" sheetId="151" r:id="rId96"/>
    <sheet name="22obj" sheetId="146" r:id="rId97"/>
    <sheet name="21obj" sheetId="141" r:id="rId98"/>
    <sheet name="20obj" sheetId="138" r:id="rId99"/>
    <sheet name="19obj" sheetId="135" r:id="rId100"/>
    <sheet name="18obj" sheetId="131" r:id="rId101"/>
    <sheet name="17obj" sheetId="127" r:id="rId102"/>
    <sheet name="16obj" sheetId="123" r:id="rId103"/>
    <sheet name="15obj" sheetId="119" r:id="rId104"/>
    <sheet name="14obj" sheetId="114" r:id="rId105"/>
    <sheet name="13obj" sheetId="111" r:id="rId106"/>
    <sheet name="12obj" sheetId="106" r:id="rId107"/>
    <sheet name="11obj_NO_ARRA_NO_SFSF" sheetId="93" r:id="rId108"/>
    <sheet name="11obj_NO_ARRA_With_SFSF" sheetId="95" r:id="rId109"/>
    <sheet name="11objWithARRA&amp;SFSF" sheetId="94" r:id="rId110"/>
    <sheet name="10obj_NO_ARRA_NO_SFSF" sheetId="86" r:id="rId111"/>
    <sheet name="10obj_NO_ARRA_With_SFSF" sheetId="85" r:id="rId112"/>
    <sheet name="10objWithARRA&amp;SFSF" sheetId="84" r:id="rId113"/>
    <sheet name="09obj_NO_ARRA" sheetId="78" r:id="rId114"/>
    <sheet name="09objWithARRA" sheetId="77" r:id="rId115"/>
    <sheet name="08obj" sheetId="73" r:id="rId116"/>
    <sheet name="07obj" sheetId="69" r:id="rId117"/>
    <sheet name="06obj" sheetId="63" r:id="rId118"/>
    <sheet name="05obj" sheetId="59" r:id="rId119"/>
    <sheet name="04obj" sheetId="54" r:id="rId120"/>
    <sheet name="03obj" sheetId="48" r:id="rId121"/>
    <sheet name="02obj" sheetId="33" r:id="rId122"/>
    <sheet name="01obj" sheetId="34" r:id="rId123"/>
    <sheet name="00obj" sheetId="35" r:id="rId124"/>
    <sheet name="99obj" sheetId="36" r:id="rId125"/>
    <sheet name="98obj" sheetId="37" r:id="rId126"/>
    <sheet name="97obj" sheetId="38" r:id="rId127"/>
    <sheet name="96obj" sheetId="39" r:id="rId128"/>
    <sheet name="95obj" sheetId="40" r:id="rId129"/>
    <sheet name="94obj" sheetId="41" r:id="rId130"/>
    <sheet name="93obj" sheetId="42" r:id="rId131"/>
    <sheet name="92obj" sheetId="43" r:id="rId132"/>
    <sheet name="91obj" sheetId="44" r:id="rId133"/>
  </sheets>
  <definedNames>
    <definedName name="_xlnm._FilterDatabase" localSheetId="0" hidden="1">'Exp&amp;RevDefinition'!$B$139:$D$324</definedName>
    <definedName name="_xlnm.Print_Area" localSheetId="85">'00func'!$A$1:$L$73</definedName>
    <definedName name="_xlnm.Print_Area" localSheetId="123">'00obj'!$A$1:$I$79</definedName>
    <definedName name="_xlnm.Print_Area" localSheetId="27">'00rev'!$A$1:$I$80</definedName>
    <definedName name="_xlnm.Print_Area" localSheetId="84">'01func'!$A$1:$L$78</definedName>
    <definedName name="_xlnm.Print_Area" localSheetId="122">'01obj'!$A$1:$I$82</definedName>
    <definedName name="_xlnm.Print_Area" localSheetId="26">'01Rev'!$A$1:$I$81</definedName>
    <definedName name="_xlnm.Print_Area" localSheetId="83">'02func'!$A$1:$L$77</definedName>
    <definedName name="_xlnm.Print_Area" localSheetId="121">'02obj'!$A$1:$I$82</definedName>
    <definedName name="_xlnm.Print_Area" localSheetId="25">'02Rev'!$A$1:$I$81</definedName>
    <definedName name="_xlnm.Print_Area" localSheetId="82">'03func'!$A$1:$L$73</definedName>
    <definedName name="_xlnm.Print_Area" localSheetId="81">'04func'!$A$1:$K$76</definedName>
    <definedName name="_xlnm.Print_Area" localSheetId="21">'06Rev'!$A$1:$H$80</definedName>
    <definedName name="_xlnm.Print_Area" localSheetId="20">'07Rev'!$A$1:$H$80</definedName>
    <definedName name="_xlnm.Print_Area" localSheetId="19">'08Rev'!$A$1:$I$80</definedName>
    <definedName name="_xlnm.Print_Area" localSheetId="18">'09RevWith&amp;NO_ARRA'!$A$1:$J$80</definedName>
    <definedName name="_xlnm.Print_Area" localSheetId="17">'10RevWith&amp;NO_ARRA'!$A$1:$K$80</definedName>
    <definedName name="_xlnm.Print_Area" localSheetId="16">'11RevWith&amp;NO_ARRA'!$A$1:$K$80</definedName>
    <definedName name="_xlnm.Print_Area" localSheetId="15">'12Rev'!$A$1:$J$80</definedName>
    <definedName name="_xlnm.Print_Area" localSheetId="14">'13Rev'!$A$1:$J$80</definedName>
    <definedName name="_xlnm.Print_Area" localSheetId="13">'14Rev'!$A$1:$J$80</definedName>
    <definedName name="_xlnm.Print_Area" localSheetId="12">'15Rev'!$A$1:$J$80</definedName>
    <definedName name="_xlnm.Print_Area" localSheetId="11">'16Rev'!$A$1:$J$80</definedName>
    <definedName name="_xlnm.Print_Area" localSheetId="10">'17Rev'!$A$1:$J$80</definedName>
    <definedName name="_xlnm.Print_Area" localSheetId="9">'18Rev'!$A$1:$J$80</definedName>
    <definedName name="_xlnm.Print_Area" localSheetId="8">'19Rev'!$A$1:$J$80</definedName>
    <definedName name="_xlnm.Print_Area" localSheetId="7">'20Rev'!$A$1:$M$80</definedName>
    <definedName name="_xlnm.Print_Area" localSheetId="6">'21Rev'!$A$1:$M$80</definedName>
    <definedName name="_xlnm.Print_Area" localSheetId="5">'22Rev'!$A$1:$L$80</definedName>
    <definedName name="_xlnm.Print_Area" localSheetId="4">'23Rev'!$A$1:$L$80</definedName>
    <definedName name="_xlnm.Print_Area" localSheetId="94">'91func'!$A$1:$L$73</definedName>
    <definedName name="_xlnm.Print_Area" localSheetId="132">'91obj'!$A$1:$I$78</definedName>
    <definedName name="_xlnm.Print_Area" localSheetId="36">'91rev'!$A$1:$J$82</definedName>
    <definedName name="_xlnm.Print_Area" localSheetId="93">'92func'!$A$1:$L$73</definedName>
    <definedName name="_xlnm.Print_Area" localSheetId="131">'92obj'!$A$1:$I$77</definedName>
    <definedName name="_xlnm.Print_Area" localSheetId="35">'92rev'!$A$1:$I$82</definedName>
    <definedName name="_xlnm.Print_Area" localSheetId="92">'93func'!$A$1:$L$73</definedName>
    <definedName name="_xlnm.Print_Area" localSheetId="130">'93obj'!$A$1:$I$75</definedName>
    <definedName name="_xlnm.Print_Area" localSheetId="34">'93rev'!$A$1:$I$82</definedName>
    <definedName name="_xlnm.Print_Area" localSheetId="91">'94func'!$A$1:$L$73</definedName>
    <definedName name="_xlnm.Print_Area" localSheetId="129">'94obj'!$A$1:$I$84</definedName>
    <definedName name="_xlnm.Print_Area" localSheetId="33">'94rev'!$A$1:$I$76</definedName>
    <definedName name="_xlnm.Print_Area" localSheetId="128">'95obj'!$A$1:$K$84</definedName>
    <definedName name="_xlnm.Print_Area" localSheetId="32">'95rev'!$A$1:$I$80</definedName>
    <definedName name="_xlnm.Print_Area" localSheetId="89">'96func'!$A$1:$L$73</definedName>
    <definedName name="_xlnm.Print_Area" localSheetId="127">'96obj'!$A$1:$I$77</definedName>
    <definedName name="_xlnm.Print_Area" localSheetId="31">'96rev'!$A$1:$I$83</definedName>
    <definedName name="_xlnm.Print_Area" localSheetId="88">'97func'!$A$1:$L$73</definedName>
    <definedName name="_xlnm.Print_Area" localSheetId="126">'97obj'!$A$1:$I$84</definedName>
    <definedName name="_xlnm.Print_Area" localSheetId="30">'97rev'!$A$1:$I$80</definedName>
    <definedName name="_xlnm.Print_Area" localSheetId="87">'98func'!$A$1:$L$88</definedName>
    <definedName name="_xlnm.Print_Area" localSheetId="125">'98obj'!$A$1:$I$84</definedName>
    <definedName name="_xlnm.Print_Area" localSheetId="29">'98rev'!$A$1:$I$84</definedName>
    <definedName name="_xlnm.Print_Area" localSheetId="86">'99func'!$A$1:$L$79</definedName>
    <definedName name="_xlnm.Print_Area" localSheetId="124">'99obj'!$A$1:$I$84</definedName>
    <definedName name="_xlnm.Print_Area" localSheetId="28">'99rev'!$A$1:$I$81</definedName>
    <definedName name="_xlnm.Print_Area" localSheetId="1">anbrecap!$A$1:$T$26</definedName>
    <definedName name="_xlnm.Print_Area" localSheetId="38">'exp$recap'!$A$1:$L$88</definedName>
    <definedName name="_xlnm.Print_Area" localSheetId="0">'Exp&amp;RevDefinition'!$A$1:$E$305</definedName>
    <definedName name="_xlnm.Print_Area" localSheetId="37">exprecap!$A$1:$S$30</definedName>
    <definedName name="_xlnm.Print_Area" localSheetId="3">'rev$%recap'!$A$1:$S$45</definedName>
    <definedName name="_xlnm.Print_Titles" localSheetId="0">'Exp&amp;RevDefinition'!#REF!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21" i="16" l="1"/>
  <c r="AH20" i="16"/>
  <c r="AH17" i="16"/>
  <c r="AH16" i="16"/>
  <c r="AH15" i="16"/>
  <c r="AH14" i="16"/>
  <c r="AH13" i="16"/>
  <c r="AH10" i="16"/>
  <c r="AH9" i="16"/>
  <c r="AH8" i="16"/>
  <c r="AH7" i="16"/>
  <c r="AH6" i="16"/>
  <c r="AH5" i="16"/>
  <c r="B40" i="18"/>
  <c r="G5" i="148"/>
  <c r="J8" i="148"/>
  <c r="C16" i="148"/>
  <c r="C31" i="148"/>
  <c r="J29" i="148"/>
  <c r="D46" i="148"/>
  <c r="G41" i="148"/>
  <c r="J38" i="148"/>
  <c r="B70" i="151"/>
  <c r="B69" i="151"/>
  <c r="B66" i="151"/>
  <c r="B65" i="151"/>
  <c r="B64" i="151"/>
  <c r="B63" i="151"/>
  <c r="B62" i="151"/>
  <c r="B59" i="151"/>
  <c r="B58" i="151"/>
  <c r="B57" i="151"/>
  <c r="B56" i="151"/>
  <c r="B55" i="151"/>
  <c r="B54" i="151"/>
  <c r="B52" i="151"/>
  <c r="B44" i="151"/>
  <c r="G44" i="151" s="1"/>
  <c r="B43" i="151"/>
  <c r="B40" i="151"/>
  <c r="B39" i="151"/>
  <c r="D39" i="151" s="1"/>
  <c r="B38" i="151"/>
  <c r="C38" i="151" s="1"/>
  <c r="B37" i="151"/>
  <c r="D37" i="151" s="1"/>
  <c r="B36" i="151"/>
  <c r="G36" i="151" s="1"/>
  <c r="B33" i="151"/>
  <c r="G33" i="151" s="1"/>
  <c r="B32" i="151"/>
  <c r="G32" i="151" s="1"/>
  <c r="B31" i="151"/>
  <c r="G31" i="151" s="1"/>
  <c r="G30" i="151"/>
  <c r="F30" i="151"/>
  <c r="C30" i="151"/>
  <c r="B30" i="151"/>
  <c r="D30" i="151" s="1"/>
  <c r="G29" i="151"/>
  <c r="E29" i="151"/>
  <c r="D29" i="151"/>
  <c r="B29" i="151"/>
  <c r="C29" i="151" s="1"/>
  <c r="B28" i="151"/>
  <c r="G28" i="151" s="1"/>
  <c r="E27" i="151"/>
  <c r="B27" i="151"/>
  <c r="B26" i="151"/>
  <c r="G21" i="151"/>
  <c r="F21" i="151"/>
  <c r="E21" i="151"/>
  <c r="D21" i="151"/>
  <c r="C21" i="151"/>
  <c r="B21" i="151"/>
  <c r="B45" i="151" s="1"/>
  <c r="F45" i="151" s="1"/>
  <c r="H20" i="151"/>
  <c r="H44" i="151" s="1"/>
  <c r="H70" i="151" s="1"/>
  <c r="H19" i="151"/>
  <c r="H21" i="151" s="1"/>
  <c r="G17" i="151"/>
  <c r="F17" i="151"/>
  <c r="E17" i="151"/>
  <c r="D17" i="151"/>
  <c r="C17" i="151"/>
  <c r="C23" i="151" s="1"/>
  <c r="D83" i="18" s="1"/>
  <c r="B17" i="151"/>
  <c r="B67" i="151" s="1"/>
  <c r="H16" i="151"/>
  <c r="H15" i="151"/>
  <c r="H14" i="151"/>
  <c r="H38" i="151" s="1"/>
  <c r="H64" i="151" s="1"/>
  <c r="H13" i="151"/>
  <c r="H37" i="151" s="1"/>
  <c r="H63" i="151" s="1"/>
  <c r="H12" i="151"/>
  <c r="G10" i="151"/>
  <c r="F10" i="151"/>
  <c r="E10" i="151"/>
  <c r="D10" i="151"/>
  <c r="C10" i="151"/>
  <c r="B10" i="151"/>
  <c r="B34" i="151" s="1"/>
  <c r="H9" i="151"/>
  <c r="H8" i="151"/>
  <c r="H7" i="151"/>
  <c r="H6" i="151"/>
  <c r="H5" i="151"/>
  <c r="H4" i="151"/>
  <c r="H3" i="151"/>
  <c r="H27" i="151" s="1"/>
  <c r="G3" i="151"/>
  <c r="G53" i="151" s="1"/>
  <c r="F3" i="151"/>
  <c r="F53" i="151" s="1"/>
  <c r="E3" i="151"/>
  <c r="E53" i="151" s="1"/>
  <c r="D3" i="151"/>
  <c r="D27" i="151" s="1"/>
  <c r="C3" i="151"/>
  <c r="C53" i="151" s="1"/>
  <c r="B3" i="151"/>
  <c r="B53" i="151" s="1"/>
  <c r="H43" i="151" l="1"/>
  <c r="H69" i="151" s="1"/>
  <c r="C43" i="151"/>
  <c r="C69" i="151" s="1"/>
  <c r="C44" i="151"/>
  <c r="D44" i="151"/>
  <c r="D70" i="151" s="1"/>
  <c r="E44" i="151"/>
  <c r="G39" i="151"/>
  <c r="H40" i="151"/>
  <c r="H66" i="151" s="1"/>
  <c r="C39" i="151"/>
  <c r="D63" i="151"/>
  <c r="E37" i="151"/>
  <c r="G37" i="151"/>
  <c r="G63" i="151" s="1"/>
  <c r="E38" i="151"/>
  <c r="E64" i="151" s="1"/>
  <c r="C32" i="151"/>
  <c r="F23" i="151"/>
  <c r="G83" i="18" s="1"/>
  <c r="H32" i="151"/>
  <c r="H58" i="151" s="1"/>
  <c r="C27" i="151"/>
  <c r="F27" i="151"/>
  <c r="C45" i="151"/>
  <c r="D45" i="151"/>
  <c r="E45" i="151"/>
  <c r="G45" i="151"/>
  <c r="G71" i="151" s="1"/>
  <c r="D43" i="151"/>
  <c r="D69" i="151" s="1"/>
  <c r="C70" i="151"/>
  <c r="B41" i="151"/>
  <c r="C36" i="151"/>
  <c r="F37" i="151"/>
  <c r="H36" i="151"/>
  <c r="H62" i="151" s="1"/>
  <c r="E41" i="151"/>
  <c r="E36" i="151"/>
  <c r="E62" i="151" s="1"/>
  <c r="C64" i="151"/>
  <c r="E39" i="151"/>
  <c r="D41" i="151"/>
  <c r="F36" i="151"/>
  <c r="D38" i="151"/>
  <c r="D64" i="151" s="1"/>
  <c r="F39" i="151"/>
  <c r="D36" i="151"/>
  <c r="D62" i="151" s="1"/>
  <c r="C37" i="151"/>
  <c r="C63" i="151" s="1"/>
  <c r="F38" i="151"/>
  <c r="F64" i="151" s="1"/>
  <c r="H39" i="151"/>
  <c r="H65" i="151" s="1"/>
  <c r="G38" i="151"/>
  <c r="G64" i="151" s="1"/>
  <c r="H33" i="151"/>
  <c r="H59" i="151" s="1"/>
  <c r="C28" i="151"/>
  <c r="F29" i="151"/>
  <c r="H30" i="151"/>
  <c r="H56" i="151" s="1"/>
  <c r="D28" i="151"/>
  <c r="E28" i="151"/>
  <c r="H29" i="151"/>
  <c r="H55" i="151" s="1"/>
  <c r="G58" i="151"/>
  <c r="H28" i="151"/>
  <c r="H54" i="151" s="1"/>
  <c r="F28" i="151"/>
  <c r="C58" i="151"/>
  <c r="B60" i="151"/>
  <c r="G55" i="151"/>
  <c r="C55" i="151"/>
  <c r="E30" i="151"/>
  <c r="C33" i="151"/>
  <c r="H31" i="151"/>
  <c r="H57" i="151" s="1"/>
  <c r="D33" i="151"/>
  <c r="E63" i="151"/>
  <c r="E70" i="151"/>
  <c r="C62" i="151"/>
  <c r="F63" i="151"/>
  <c r="H45" i="151"/>
  <c r="H71" i="151" s="1"/>
  <c r="G70" i="151"/>
  <c r="F34" i="151"/>
  <c r="D34" i="151"/>
  <c r="C34" i="151"/>
  <c r="E34" i="151"/>
  <c r="G34" i="151"/>
  <c r="G23" i="151"/>
  <c r="H83" i="18" s="1"/>
  <c r="G27" i="151"/>
  <c r="C31" i="151"/>
  <c r="D32" i="151"/>
  <c r="D58" i="151" s="1"/>
  <c r="E33" i="151"/>
  <c r="E59" i="151" s="1"/>
  <c r="C40" i="151"/>
  <c r="C66" i="151" s="1"/>
  <c r="E43" i="151"/>
  <c r="E69" i="151" s="1"/>
  <c r="F44" i="151"/>
  <c r="F70" i="151" s="1"/>
  <c r="H53" i="151"/>
  <c r="H17" i="151"/>
  <c r="D31" i="151"/>
  <c r="E32" i="151"/>
  <c r="E58" i="151" s="1"/>
  <c r="F33" i="151"/>
  <c r="F59" i="151" s="1"/>
  <c r="D40" i="151"/>
  <c r="D66" i="151" s="1"/>
  <c r="F43" i="151"/>
  <c r="F69" i="151" s="1"/>
  <c r="E31" i="151"/>
  <c r="F32" i="151"/>
  <c r="F58" i="151" s="1"/>
  <c r="E40" i="151"/>
  <c r="E66" i="151" s="1"/>
  <c r="F41" i="151"/>
  <c r="G43" i="151"/>
  <c r="G69" i="151" s="1"/>
  <c r="B71" i="151"/>
  <c r="B23" i="151"/>
  <c r="F31" i="151"/>
  <c r="F40" i="151"/>
  <c r="F66" i="151" s="1"/>
  <c r="G40" i="151"/>
  <c r="D53" i="151"/>
  <c r="H10" i="151"/>
  <c r="H34" i="151" s="1"/>
  <c r="H60" i="151" s="1"/>
  <c r="D23" i="151"/>
  <c r="E83" i="18" s="1"/>
  <c r="E23" i="151"/>
  <c r="F83" i="18" s="1"/>
  <c r="C71" i="151" l="1"/>
  <c r="D71" i="151"/>
  <c r="E71" i="151"/>
  <c r="H41" i="151"/>
  <c r="H67" i="151" s="1"/>
  <c r="G65" i="151"/>
  <c r="G66" i="151"/>
  <c r="I83" i="18"/>
  <c r="F55" i="151"/>
  <c r="B73" i="151"/>
  <c r="C54" i="151"/>
  <c r="D55" i="151"/>
  <c r="B47" i="151"/>
  <c r="F47" i="151" s="1"/>
  <c r="B83" i="18"/>
  <c r="H175" i="18" s="1"/>
  <c r="F175" i="18"/>
  <c r="F71" i="151"/>
  <c r="F65" i="151"/>
  <c r="D65" i="151"/>
  <c r="F62" i="151"/>
  <c r="G62" i="151"/>
  <c r="C65" i="151"/>
  <c r="E65" i="151"/>
  <c r="G41" i="151"/>
  <c r="G67" i="151" s="1"/>
  <c r="C41" i="151"/>
  <c r="C67" i="151" s="1"/>
  <c r="G57" i="151"/>
  <c r="E57" i="151"/>
  <c r="G59" i="151"/>
  <c r="F56" i="151"/>
  <c r="E54" i="151"/>
  <c r="C57" i="151"/>
  <c r="F57" i="151"/>
  <c r="G54" i="151"/>
  <c r="D54" i="151"/>
  <c r="C59" i="151"/>
  <c r="D56" i="151"/>
  <c r="F54" i="151"/>
  <c r="E56" i="151"/>
  <c r="D57" i="151"/>
  <c r="G56" i="151"/>
  <c r="D59" i="151"/>
  <c r="C56" i="151"/>
  <c r="E55" i="151"/>
  <c r="F60" i="151"/>
  <c r="D67" i="151"/>
  <c r="H23" i="151"/>
  <c r="H47" i="151" s="1"/>
  <c r="H73" i="151" s="1"/>
  <c r="G60" i="151"/>
  <c r="E47" i="151"/>
  <c r="E60" i="151"/>
  <c r="C60" i="151"/>
  <c r="F67" i="151"/>
  <c r="D60" i="151"/>
  <c r="E67" i="151"/>
  <c r="C47" i="151" l="1"/>
  <c r="D47" i="151"/>
  <c r="B175" i="18"/>
  <c r="D175" i="18"/>
  <c r="B133" i="18"/>
  <c r="C83" i="18"/>
  <c r="I175" i="18"/>
  <c r="C175" i="18" s="1"/>
  <c r="G175" i="18"/>
  <c r="G47" i="151"/>
  <c r="E175" i="18"/>
  <c r="G73" i="151"/>
  <c r="D73" i="151"/>
  <c r="C73" i="151"/>
  <c r="E73" i="151"/>
  <c r="F73" i="151"/>
  <c r="B57" i="150" l="1"/>
  <c r="B56" i="150"/>
  <c r="B55" i="150"/>
  <c r="B54" i="150"/>
  <c r="B53" i="150"/>
  <c r="B52" i="150"/>
  <c r="B58" i="150" s="1"/>
  <c r="C50" i="150"/>
  <c r="B44" i="150"/>
  <c r="J44" i="150" s="1"/>
  <c r="B43" i="150"/>
  <c r="K43" i="150" s="1"/>
  <c r="B40" i="150"/>
  <c r="J40" i="150" s="1"/>
  <c r="G39" i="150"/>
  <c r="G63" i="150" s="1"/>
  <c r="B39" i="150"/>
  <c r="J39" i="150" s="1"/>
  <c r="B38" i="150"/>
  <c r="F38" i="150" s="1"/>
  <c r="B37" i="150"/>
  <c r="B61" i="150" s="1"/>
  <c r="B36" i="150"/>
  <c r="J36" i="150" s="1"/>
  <c r="B33" i="150"/>
  <c r="F33" i="150" s="1"/>
  <c r="B32" i="150"/>
  <c r="F32" i="150" s="1"/>
  <c r="B31" i="150"/>
  <c r="J31" i="150" s="1"/>
  <c r="B30" i="150"/>
  <c r="J30" i="150" s="1"/>
  <c r="B29" i="150"/>
  <c r="F29" i="150" s="1"/>
  <c r="K28" i="150"/>
  <c r="B28" i="150"/>
  <c r="B26" i="150"/>
  <c r="K21" i="150"/>
  <c r="J21" i="150"/>
  <c r="J23" i="150" s="1"/>
  <c r="K41" i="18" s="1"/>
  <c r="I21" i="150"/>
  <c r="I23" i="150" s="1"/>
  <c r="J41" i="18" s="1"/>
  <c r="H21" i="150"/>
  <c r="G21" i="150"/>
  <c r="F21" i="150"/>
  <c r="E21" i="150"/>
  <c r="D21" i="150"/>
  <c r="C21" i="150"/>
  <c r="B21" i="150"/>
  <c r="K20" i="150"/>
  <c r="K19" i="150"/>
  <c r="J17" i="150"/>
  <c r="I17" i="150"/>
  <c r="H17" i="150"/>
  <c r="G17" i="150"/>
  <c r="F17" i="150"/>
  <c r="E17" i="150"/>
  <c r="D17" i="150"/>
  <c r="C17" i="150"/>
  <c r="B17" i="150"/>
  <c r="K16" i="150"/>
  <c r="K15" i="150"/>
  <c r="K39" i="150" s="1"/>
  <c r="AM16" i="17" s="1"/>
  <c r="K14" i="150"/>
  <c r="K13" i="150"/>
  <c r="K12" i="150"/>
  <c r="J10" i="150"/>
  <c r="I10" i="150"/>
  <c r="H10" i="150"/>
  <c r="G10" i="150"/>
  <c r="F10" i="150"/>
  <c r="E10" i="150"/>
  <c r="D10" i="150"/>
  <c r="C10" i="150"/>
  <c r="B10" i="150"/>
  <c r="K9" i="150"/>
  <c r="K8" i="150"/>
  <c r="K32" i="150" s="1"/>
  <c r="K7" i="150"/>
  <c r="K6" i="150"/>
  <c r="K5" i="150"/>
  <c r="K4" i="150"/>
  <c r="K3" i="150"/>
  <c r="K51" i="150" s="1"/>
  <c r="J3" i="150"/>
  <c r="J27" i="150" s="1"/>
  <c r="I3" i="150"/>
  <c r="I27" i="150" s="1"/>
  <c r="H3" i="150"/>
  <c r="H27" i="150" s="1"/>
  <c r="G3" i="150"/>
  <c r="G27" i="150" s="1"/>
  <c r="F3" i="150"/>
  <c r="F27" i="150" s="1"/>
  <c r="E3" i="150"/>
  <c r="E51" i="150" s="1"/>
  <c r="D3" i="150"/>
  <c r="D51" i="150" s="1"/>
  <c r="C3" i="150"/>
  <c r="C51" i="150" s="1"/>
  <c r="B3" i="150"/>
  <c r="B27" i="150" s="1"/>
  <c r="B57" i="149"/>
  <c r="B50" i="149"/>
  <c r="H50" i="149" s="1"/>
  <c r="B49" i="149"/>
  <c r="H49" i="149" s="1"/>
  <c r="B45" i="149"/>
  <c r="C45" i="149" s="1"/>
  <c r="D44" i="149"/>
  <c r="B44" i="149"/>
  <c r="H44" i="149" s="1"/>
  <c r="B43" i="149"/>
  <c r="F43" i="149" s="1"/>
  <c r="B42" i="149"/>
  <c r="G42" i="149" s="1"/>
  <c r="B41" i="149"/>
  <c r="G41" i="149" s="1"/>
  <c r="B37" i="149"/>
  <c r="H37" i="149" s="1"/>
  <c r="G36" i="149"/>
  <c r="E36" i="149"/>
  <c r="B36" i="149"/>
  <c r="D36" i="149" s="1"/>
  <c r="H35" i="149"/>
  <c r="C35" i="149"/>
  <c r="B35" i="149"/>
  <c r="G35" i="149" s="1"/>
  <c r="H34" i="149"/>
  <c r="B34" i="149"/>
  <c r="D34" i="149" s="1"/>
  <c r="B33" i="149"/>
  <c r="H33" i="149" s="1"/>
  <c r="B32" i="149"/>
  <c r="F32" i="149" s="1"/>
  <c r="B29" i="149"/>
  <c r="H23" i="149"/>
  <c r="G23" i="149"/>
  <c r="F23" i="149"/>
  <c r="E23" i="149"/>
  <c r="D23" i="149"/>
  <c r="C23" i="149"/>
  <c r="B23" i="149"/>
  <c r="AH22" i="16" s="1"/>
  <c r="J22" i="149"/>
  <c r="L22" i="149" s="1"/>
  <c r="AP21" i="2" s="1"/>
  <c r="I22" i="149"/>
  <c r="J21" i="149"/>
  <c r="I21" i="149"/>
  <c r="H18" i="149"/>
  <c r="G18" i="149"/>
  <c r="F18" i="149"/>
  <c r="E18" i="149"/>
  <c r="D18" i="149"/>
  <c r="C18" i="149"/>
  <c r="B18" i="149"/>
  <c r="AH18" i="16" s="1"/>
  <c r="J17" i="149"/>
  <c r="L17" i="149" s="1"/>
  <c r="AP17" i="2" s="1"/>
  <c r="I17" i="149"/>
  <c r="K17" i="149" s="1"/>
  <c r="AQ17" i="2" s="1"/>
  <c r="J16" i="149"/>
  <c r="J44" i="149" s="1"/>
  <c r="I16" i="149"/>
  <c r="J15" i="149"/>
  <c r="L15" i="149" s="1"/>
  <c r="AP15" i="2" s="1"/>
  <c r="I15" i="149"/>
  <c r="K15" i="149" s="1"/>
  <c r="AQ15" i="2" s="1"/>
  <c r="J14" i="149"/>
  <c r="J42" i="149" s="1"/>
  <c r="I14" i="149"/>
  <c r="J13" i="149"/>
  <c r="L13" i="149" s="1"/>
  <c r="AP13" i="2" s="1"/>
  <c r="I13" i="149"/>
  <c r="H10" i="149"/>
  <c r="G10" i="149"/>
  <c r="F10" i="149"/>
  <c r="E10" i="149"/>
  <c r="E25" i="149" s="1"/>
  <c r="AH8" i="3" s="1"/>
  <c r="D10" i="149"/>
  <c r="D25" i="149" s="1"/>
  <c r="AH7" i="3" s="1"/>
  <c r="C10" i="149"/>
  <c r="B10" i="149"/>
  <c r="AH11" i="16" s="1"/>
  <c r="J9" i="149"/>
  <c r="L9" i="149" s="1"/>
  <c r="AP10" i="2" s="1"/>
  <c r="I9" i="149"/>
  <c r="J8" i="149"/>
  <c r="J36" i="149" s="1"/>
  <c r="I8" i="149"/>
  <c r="I36" i="149" s="1"/>
  <c r="J7" i="149"/>
  <c r="J35" i="149" s="1"/>
  <c r="I7" i="149"/>
  <c r="I35" i="149" s="1"/>
  <c r="J6" i="149"/>
  <c r="J34" i="149" s="1"/>
  <c r="I6" i="149"/>
  <c r="K6" i="149" s="1"/>
  <c r="AQ7" i="2" s="1"/>
  <c r="L5" i="149"/>
  <c r="AP6" i="2" s="1"/>
  <c r="J5" i="149"/>
  <c r="I5" i="149"/>
  <c r="K5" i="149" s="1"/>
  <c r="AQ6" i="2" s="1"/>
  <c r="J4" i="149"/>
  <c r="L4" i="149" s="1"/>
  <c r="AP5" i="2" s="1"/>
  <c r="I4" i="149"/>
  <c r="K4" i="149" s="1"/>
  <c r="AQ5" i="2" s="1"/>
  <c r="L3" i="149"/>
  <c r="J30" i="149" s="1"/>
  <c r="K3" i="149"/>
  <c r="I30" i="149" s="1"/>
  <c r="J3" i="149"/>
  <c r="I3" i="149"/>
  <c r="H3" i="149"/>
  <c r="H58" i="149" s="1"/>
  <c r="G3" i="149"/>
  <c r="G58" i="149" s="1"/>
  <c r="F3" i="149"/>
  <c r="F58" i="149" s="1"/>
  <c r="E3" i="149"/>
  <c r="E58" i="149" s="1"/>
  <c r="D3" i="149"/>
  <c r="D58" i="149" s="1"/>
  <c r="C3" i="149"/>
  <c r="C58" i="149" s="1"/>
  <c r="B3" i="149"/>
  <c r="B30" i="149" s="1"/>
  <c r="AL7" i="17"/>
  <c r="AL6" i="17"/>
  <c r="B57" i="147"/>
  <c r="B56" i="147"/>
  <c r="B55" i="147"/>
  <c r="B54" i="147"/>
  <c r="B53" i="147"/>
  <c r="B52" i="147"/>
  <c r="G51" i="147"/>
  <c r="C50" i="147"/>
  <c r="B44" i="147"/>
  <c r="D44" i="147" s="1"/>
  <c r="B43" i="147"/>
  <c r="J43" i="147" s="1"/>
  <c r="B40" i="147"/>
  <c r="J40" i="147" s="1"/>
  <c r="B39" i="147"/>
  <c r="J39" i="147" s="1"/>
  <c r="B38" i="147"/>
  <c r="F38" i="147" s="1"/>
  <c r="B37" i="147"/>
  <c r="J37" i="147" s="1"/>
  <c r="B36" i="147"/>
  <c r="J36" i="147" s="1"/>
  <c r="B33" i="147"/>
  <c r="J33" i="147" s="1"/>
  <c r="B32" i="147"/>
  <c r="H32" i="147" s="1"/>
  <c r="B31" i="147"/>
  <c r="J31" i="147" s="1"/>
  <c r="B30" i="147"/>
  <c r="J30" i="147" s="1"/>
  <c r="B29" i="147"/>
  <c r="F29" i="147" s="1"/>
  <c r="B28" i="147"/>
  <c r="B26" i="147"/>
  <c r="J21" i="147"/>
  <c r="I21" i="147"/>
  <c r="H21" i="147"/>
  <c r="G21" i="147"/>
  <c r="F21" i="147"/>
  <c r="E21" i="147"/>
  <c r="D21" i="147"/>
  <c r="C21" i="147"/>
  <c r="B21" i="147"/>
  <c r="K20" i="147"/>
  <c r="K19" i="147"/>
  <c r="J17" i="147"/>
  <c r="I17" i="147"/>
  <c r="H17" i="147"/>
  <c r="G17" i="147"/>
  <c r="F17" i="147"/>
  <c r="E17" i="147"/>
  <c r="D17" i="147"/>
  <c r="C17" i="147"/>
  <c r="B17" i="147"/>
  <c r="K16" i="147"/>
  <c r="K40" i="147" s="1"/>
  <c r="K64" i="147" s="1"/>
  <c r="K15" i="147"/>
  <c r="K14" i="147"/>
  <c r="K38" i="147" s="1"/>
  <c r="K62" i="147" s="1"/>
  <c r="K13" i="147"/>
  <c r="K37" i="147" s="1"/>
  <c r="K61" i="147" s="1"/>
  <c r="K12" i="147"/>
  <c r="J10" i="147"/>
  <c r="I10" i="147"/>
  <c r="H10" i="147"/>
  <c r="G10" i="147"/>
  <c r="F10" i="147"/>
  <c r="E10" i="147"/>
  <c r="D10" i="147"/>
  <c r="C10" i="147"/>
  <c r="B10" i="147"/>
  <c r="K9" i="147"/>
  <c r="K8" i="147"/>
  <c r="K32" i="147" s="1"/>
  <c r="K7" i="147"/>
  <c r="K6" i="147"/>
  <c r="K30" i="147" s="1"/>
  <c r="K5" i="147"/>
  <c r="K29" i="147" s="1"/>
  <c r="K53" i="147" s="1"/>
  <c r="K4" i="147"/>
  <c r="K28" i="147" s="1"/>
  <c r="K52" i="147" s="1"/>
  <c r="K3" i="147"/>
  <c r="K51" i="147" s="1"/>
  <c r="J3" i="147"/>
  <c r="J27" i="147" s="1"/>
  <c r="I3" i="147"/>
  <c r="I27" i="147" s="1"/>
  <c r="H3" i="147"/>
  <c r="H27" i="147" s="1"/>
  <c r="G3" i="147"/>
  <c r="G27" i="147" s="1"/>
  <c r="F3" i="147"/>
  <c r="F27" i="147" s="1"/>
  <c r="E3" i="147"/>
  <c r="E51" i="147" s="1"/>
  <c r="D3" i="147"/>
  <c r="D51" i="147" s="1"/>
  <c r="C3" i="147"/>
  <c r="C51" i="147" s="1"/>
  <c r="B3" i="147"/>
  <c r="B51" i="147" s="1"/>
  <c r="I49" i="149" l="1"/>
  <c r="I50" i="149"/>
  <c r="K22" i="149"/>
  <c r="AQ21" i="2" s="1"/>
  <c r="H45" i="149"/>
  <c r="F25" i="149"/>
  <c r="AH9" i="3" s="1"/>
  <c r="G25" i="149"/>
  <c r="AH10" i="3" s="1"/>
  <c r="H25" i="149"/>
  <c r="AH11" i="3" s="1"/>
  <c r="H71" i="149"/>
  <c r="I18" i="149"/>
  <c r="D71" i="149"/>
  <c r="L7" i="149"/>
  <c r="AP8" i="2" s="1"/>
  <c r="J10" i="149"/>
  <c r="K7" i="149"/>
  <c r="AQ8" i="2" s="1"/>
  <c r="I37" i="149"/>
  <c r="K9" i="149"/>
  <c r="AQ10" i="2" s="1"/>
  <c r="C62" i="149"/>
  <c r="L6" i="149"/>
  <c r="AP7" i="2" s="1"/>
  <c r="K67" i="150"/>
  <c r="AM20" i="17"/>
  <c r="C43" i="150"/>
  <c r="D44" i="150"/>
  <c r="E40" i="150"/>
  <c r="I36" i="150"/>
  <c r="C36" i="150"/>
  <c r="K36" i="150"/>
  <c r="D37" i="150"/>
  <c r="G37" i="150"/>
  <c r="F36" i="150"/>
  <c r="F60" i="150" s="1"/>
  <c r="E23" i="150"/>
  <c r="F41" i="18" s="1"/>
  <c r="F133" i="18" s="1"/>
  <c r="H37" i="150"/>
  <c r="I37" i="150"/>
  <c r="G36" i="150"/>
  <c r="G60" i="150" s="1"/>
  <c r="K17" i="150"/>
  <c r="C23" i="150"/>
  <c r="D41" i="18" s="1"/>
  <c r="D39" i="150"/>
  <c r="D63" i="150" s="1"/>
  <c r="C40" i="150"/>
  <c r="F40" i="150"/>
  <c r="D23" i="150"/>
  <c r="E41" i="18" s="1"/>
  <c r="F39" i="150"/>
  <c r="F63" i="150" s="1"/>
  <c r="K56" i="150"/>
  <c r="AM9" i="17"/>
  <c r="K52" i="150"/>
  <c r="AM5" i="17"/>
  <c r="F30" i="150"/>
  <c r="F54" i="150" s="1"/>
  <c r="G30" i="150"/>
  <c r="H30" i="150"/>
  <c r="G23" i="150"/>
  <c r="H41" i="18" s="1"/>
  <c r="H133" i="18" s="1"/>
  <c r="G31" i="150"/>
  <c r="G55" i="150" s="1"/>
  <c r="B34" i="150"/>
  <c r="G34" i="150" s="1"/>
  <c r="I31" i="150"/>
  <c r="I32" i="150"/>
  <c r="I56" i="150" s="1"/>
  <c r="J49" i="149"/>
  <c r="I44" i="149"/>
  <c r="J41" i="149"/>
  <c r="G68" i="149" s="1"/>
  <c r="F44" i="149"/>
  <c r="G69" i="149"/>
  <c r="J43" i="149"/>
  <c r="F70" i="149" s="1"/>
  <c r="C42" i="149"/>
  <c r="C69" i="149" s="1"/>
  <c r="D45" i="149"/>
  <c r="D41" i="149"/>
  <c r="D68" i="149" s="1"/>
  <c r="H41" i="149"/>
  <c r="H68" i="149" s="1"/>
  <c r="I42" i="149"/>
  <c r="J45" i="149"/>
  <c r="D72" i="149" s="1"/>
  <c r="F42" i="149"/>
  <c r="F69" i="149" s="1"/>
  <c r="F45" i="149"/>
  <c r="F72" i="149" s="1"/>
  <c r="H42" i="149"/>
  <c r="H69" i="149" s="1"/>
  <c r="G45" i="149"/>
  <c r="H60" i="149"/>
  <c r="I33" i="149"/>
  <c r="E33" i="149"/>
  <c r="F36" i="149"/>
  <c r="B25" i="149"/>
  <c r="AH24" i="16" s="1"/>
  <c r="J33" i="149"/>
  <c r="E35" i="149"/>
  <c r="E62" i="149" s="1"/>
  <c r="H36" i="149"/>
  <c r="H63" i="149" s="1"/>
  <c r="D61" i="149"/>
  <c r="H62" i="149"/>
  <c r="C32" i="149"/>
  <c r="E34" i="149"/>
  <c r="E61" i="149" s="1"/>
  <c r="C37" i="149"/>
  <c r="C64" i="149" s="1"/>
  <c r="H61" i="149"/>
  <c r="G32" i="149"/>
  <c r="G59" i="149" s="1"/>
  <c r="F34" i="149"/>
  <c r="F61" i="149" s="1"/>
  <c r="C36" i="149"/>
  <c r="C63" i="149" s="1"/>
  <c r="F37" i="149"/>
  <c r="G33" i="149"/>
  <c r="H32" i="149"/>
  <c r="G34" i="149"/>
  <c r="G61" i="149" s="1"/>
  <c r="J37" i="149"/>
  <c r="H64" i="149" s="1"/>
  <c r="C67" i="150"/>
  <c r="I44" i="150"/>
  <c r="C44" i="150"/>
  <c r="E44" i="150"/>
  <c r="E68" i="150" s="1"/>
  <c r="H45" i="150"/>
  <c r="G44" i="150"/>
  <c r="K44" i="150"/>
  <c r="B45" i="150"/>
  <c r="J45" i="150" s="1"/>
  <c r="H44" i="150"/>
  <c r="G40" i="150"/>
  <c r="I40" i="150"/>
  <c r="K40" i="150"/>
  <c r="B64" i="150"/>
  <c r="B23" i="150"/>
  <c r="B41" i="18" s="1"/>
  <c r="K133" i="18" s="1"/>
  <c r="E39" i="150"/>
  <c r="E63" i="150" s="1"/>
  <c r="C38" i="150"/>
  <c r="H39" i="150"/>
  <c r="J60" i="150"/>
  <c r="C37" i="150"/>
  <c r="K38" i="150"/>
  <c r="I39" i="150"/>
  <c r="I63" i="150" s="1"/>
  <c r="C60" i="150"/>
  <c r="B60" i="150"/>
  <c r="E36" i="150"/>
  <c r="E37" i="150"/>
  <c r="C39" i="150"/>
  <c r="C63" i="150" s="1"/>
  <c r="C28" i="150"/>
  <c r="C52" i="150" s="1"/>
  <c r="C29" i="150"/>
  <c r="F56" i="150"/>
  <c r="F57" i="150"/>
  <c r="D28" i="150"/>
  <c r="D52" i="150" s="1"/>
  <c r="K29" i="150"/>
  <c r="I30" i="150"/>
  <c r="C32" i="150"/>
  <c r="C56" i="150" s="1"/>
  <c r="C33" i="150"/>
  <c r="G28" i="150"/>
  <c r="G52" i="150" s="1"/>
  <c r="C30" i="150"/>
  <c r="C31" i="150"/>
  <c r="E32" i="150"/>
  <c r="E56" i="150" s="1"/>
  <c r="K33" i="150"/>
  <c r="K30" i="150"/>
  <c r="H28" i="150"/>
  <c r="H52" i="150" s="1"/>
  <c r="D30" i="150"/>
  <c r="D54" i="150" s="1"/>
  <c r="E31" i="150"/>
  <c r="G32" i="150"/>
  <c r="G56" i="150" s="1"/>
  <c r="E28" i="150"/>
  <c r="E52" i="150" s="1"/>
  <c r="D32" i="150"/>
  <c r="D56" i="150" s="1"/>
  <c r="K31" i="150"/>
  <c r="I28" i="150"/>
  <c r="I52" i="150" s="1"/>
  <c r="E30" i="150"/>
  <c r="E54" i="150" s="1"/>
  <c r="F31" i="150"/>
  <c r="H32" i="150"/>
  <c r="H56" i="150" s="1"/>
  <c r="H63" i="150"/>
  <c r="G45" i="150"/>
  <c r="K54" i="150"/>
  <c r="K63" i="150"/>
  <c r="J63" i="150"/>
  <c r="F45" i="150"/>
  <c r="K10" i="150"/>
  <c r="F23" i="150"/>
  <c r="G41" i="18" s="1"/>
  <c r="C27" i="150"/>
  <c r="K27" i="150"/>
  <c r="G29" i="150"/>
  <c r="G33" i="150"/>
  <c r="G57" i="150" s="1"/>
  <c r="G38" i="150"/>
  <c r="G43" i="150"/>
  <c r="G67" i="150" s="1"/>
  <c r="C45" i="150"/>
  <c r="K45" i="150"/>
  <c r="F51" i="150"/>
  <c r="B62" i="150"/>
  <c r="B67" i="150"/>
  <c r="D27" i="150"/>
  <c r="J28" i="150"/>
  <c r="J52" i="150" s="1"/>
  <c r="H29" i="150"/>
  <c r="D31" i="150"/>
  <c r="J32" i="150"/>
  <c r="J56" i="150" s="1"/>
  <c r="H33" i="150"/>
  <c r="H57" i="150" s="1"/>
  <c r="D36" i="150"/>
  <c r="D60" i="150" s="1"/>
  <c r="J37" i="150"/>
  <c r="H38" i="150"/>
  <c r="D40" i="150"/>
  <c r="B41" i="150"/>
  <c r="F41" i="150" s="1"/>
  <c r="H43" i="150"/>
  <c r="H67" i="150" s="1"/>
  <c r="F44" i="150"/>
  <c r="D45" i="150"/>
  <c r="D69" i="150" s="1"/>
  <c r="G51" i="150"/>
  <c r="H23" i="150"/>
  <c r="I41" i="18" s="1"/>
  <c r="E27" i="150"/>
  <c r="I29" i="150"/>
  <c r="I33" i="150"/>
  <c r="K37" i="150"/>
  <c r="AM14" i="17" s="1"/>
  <c r="I38" i="150"/>
  <c r="I43" i="150"/>
  <c r="I67" i="150" s="1"/>
  <c r="H51" i="150"/>
  <c r="B63" i="150"/>
  <c r="B68" i="150"/>
  <c r="J29" i="150"/>
  <c r="J33" i="150"/>
  <c r="J38" i="150"/>
  <c r="J62" i="150" s="1"/>
  <c r="J43" i="150"/>
  <c r="J67" i="150" s="1"/>
  <c r="I51" i="150"/>
  <c r="B51" i="150"/>
  <c r="J51" i="150"/>
  <c r="F28" i="150"/>
  <c r="F52" i="150" s="1"/>
  <c r="D29" i="150"/>
  <c r="H31" i="150"/>
  <c r="D33" i="150"/>
  <c r="H36" i="150"/>
  <c r="H60" i="150" s="1"/>
  <c r="F37" i="150"/>
  <c r="F61" i="150" s="1"/>
  <c r="D38" i="150"/>
  <c r="H40" i="150"/>
  <c r="H64" i="150" s="1"/>
  <c r="D43" i="150"/>
  <c r="D67" i="150" s="1"/>
  <c r="E29" i="150"/>
  <c r="E33" i="150"/>
  <c r="E57" i="150" s="1"/>
  <c r="E38" i="150"/>
  <c r="E62" i="150" s="1"/>
  <c r="E43" i="150"/>
  <c r="E67" i="150" s="1"/>
  <c r="F43" i="150"/>
  <c r="F67" i="150" s="1"/>
  <c r="F46" i="149"/>
  <c r="E63" i="149"/>
  <c r="F63" i="149"/>
  <c r="D63" i="149"/>
  <c r="G63" i="149"/>
  <c r="F71" i="149"/>
  <c r="K18" i="149"/>
  <c r="AQ18" i="2" s="1"/>
  <c r="G51" i="149"/>
  <c r="G62" i="149"/>
  <c r="H76" i="149"/>
  <c r="B38" i="149"/>
  <c r="D38" i="149" s="1"/>
  <c r="I41" i="149"/>
  <c r="G43" i="149"/>
  <c r="E45" i="149"/>
  <c r="E72" i="149" s="1"/>
  <c r="C49" i="149"/>
  <c r="C76" i="149" s="1"/>
  <c r="J50" i="149"/>
  <c r="H77" i="149" s="1"/>
  <c r="I10" i="149"/>
  <c r="K16" i="149"/>
  <c r="AQ16" i="2" s="1"/>
  <c r="B51" i="149"/>
  <c r="C51" i="149" s="1"/>
  <c r="J23" i="149"/>
  <c r="C30" i="149"/>
  <c r="J32" i="149"/>
  <c r="F59" i="149" s="1"/>
  <c r="I43" i="149"/>
  <c r="E49" i="149"/>
  <c r="E76" i="149" s="1"/>
  <c r="J18" i="149"/>
  <c r="H43" i="149"/>
  <c r="L10" i="149"/>
  <c r="AP11" i="2" s="1"/>
  <c r="L16" i="149"/>
  <c r="AP16" i="2" s="1"/>
  <c r="L8" i="149"/>
  <c r="AP9" i="2" s="1"/>
  <c r="D30" i="149"/>
  <c r="I34" i="149"/>
  <c r="F49" i="149"/>
  <c r="F76" i="149" s="1"/>
  <c r="I23" i="149"/>
  <c r="I32" i="149"/>
  <c r="D49" i="149"/>
  <c r="D76" i="149" s="1"/>
  <c r="K8" i="149"/>
  <c r="AQ9" i="2" s="1"/>
  <c r="K21" i="149"/>
  <c r="AQ20" i="2" s="1"/>
  <c r="E30" i="149"/>
  <c r="C33" i="149"/>
  <c r="D42" i="149"/>
  <c r="D69" i="149" s="1"/>
  <c r="I45" i="149"/>
  <c r="G49" i="149"/>
  <c r="G76" i="149" s="1"/>
  <c r="K13" i="149"/>
  <c r="AQ13" i="2" s="1"/>
  <c r="L21" i="149"/>
  <c r="AP20" i="2" s="1"/>
  <c r="F30" i="149"/>
  <c r="D33" i="149"/>
  <c r="E42" i="149"/>
  <c r="E69" i="149" s="1"/>
  <c r="C44" i="149"/>
  <c r="C71" i="149" s="1"/>
  <c r="C25" i="149"/>
  <c r="AH6" i="3" s="1"/>
  <c r="G30" i="149"/>
  <c r="B46" i="149"/>
  <c r="H46" i="149" s="1"/>
  <c r="H30" i="149"/>
  <c r="F33" i="149"/>
  <c r="D35" i="149"/>
  <c r="D62" i="149" s="1"/>
  <c r="E44" i="149"/>
  <c r="E71" i="149" s="1"/>
  <c r="K14" i="149"/>
  <c r="AQ14" i="2" s="1"/>
  <c r="F35" i="149"/>
  <c r="F62" i="149" s="1"/>
  <c r="D37" i="149"/>
  <c r="D64" i="149" s="1"/>
  <c r="G44" i="149"/>
  <c r="G71" i="149" s="1"/>
  <c r="C50" i="149"/>
  <c r="L14" i="149"/>
  <c r="AP14" i="2" s="1"/>
  <c r="E37" i="149"/>
  <c r="C41" i="149"/>
  <c r="C68" i="149" s="1"/>
  <c r="D50" i="149"/>
  <c r="D77" i="149" s="1"/>
  <c r="E50" i="149"/>
  <c r="E77" i="149" s="1"/>
  <c r="D32" i="149"/>
  <c r="G37" i="149"/>
  <c r="E41" i="149"/>
  <c r="E68" i="149" s="1"/>
  <c r="C43" i="149"/>
  <c r="F50" i="149"/>
  <c r="E32" i="149"/>
  <c r="E59" i="149" s="1"/>
  <c r="C34" i="149"/>
  <c r="C61" i="149" s="1"/>
  <c r="F41" i="149"/>
  <c r="F68" i="149" s="1"/>
  <c r="D43" i="149"/>
  <c r="G50" i="149"/>
  <c r="E43" i="149"/>
  <c r="E70" i="149" s="1"/>
  <c r="K33" i="147"/>
  <c r="K57" i="147" s="1"/>
  <c r="B58" i="147"/>
  <c r="D40" i="147"/>
  <c r="E40" i="147"/>
  <c r="E64" i="147" s="1"/>
  <c r="AL14" i="17"/>
  <c r="K17" i="147"/>
  <c r="H38" i="147"/>
  <c r="H62" i="147" s="1"/>
  <c r="F40" i="147"/>
  <c r="AL15" i="17"/>
  <c r="G38" i="147"/>
  <c r="G62" i="147" s="1"/>
  <c r="G40" i="147"/>
  <c r="AL17" i="17"/>
  <c r="K56" i="147"/>
  <c r="AL9" i="17"/>
  <c r="AL10" i="17"/>
  <c r="G29" i="147"/>
  <c r="G53" i="147" s="1"/>
  <c r="H29" i="147"/>
  <c r="I29" i="147"/>
  <c r="J29" i="147"/>
  <c r="C23" i="147"/>
  <c r="D40" i="18" s="1"/>
  <c r="J32" i="147"/>
  <c r="J56" i="147" s="1"/>
  <c r="AL5" i="17"/>
  <c r="E44" i="147"/>
  <c r="F44" i="147"/>
  <c r="G44" i="147"/>
  <c r="H44" i="147"/>
  <c r="I44" i="147"/>
  <c r="F23" i="147"/>
  <c r="G40" i="18" s="1"/>
  <c r="G23" i="147"/>
  <c r="H40" i="18" s="1"/>
  <c r="H23" i="147"/>
  <c r="I40" i="18" s="1"/>
  <c r="I23" i="147"/>
  <c r="J40" i="18" s="1"/>
  <c r="J23" i="147"/>
  <c r="K40" i="18" s="1"/>
  <c r="K43" i="147"/>
  <c r="K44" i="147"/>
  <c r="B68" i="147"/>
  <c r="F62" i="147"/>
  <c r="I38" i="147"/>
  <c r="I62" i="147" s="1"/>
  <c r="K39" i="147"/>
  <c r="J38" i="147"/>
  <c r="J62" i="147" s="1"/>
  <c r="F39" i="147"/>
  <c r="H39" i="147"/>
  <c r="J64" i="147"/>
  <c r="C40" i="147"/>
  <c r="C64" i="147" s="1"/>
  <c r="D64" i="147"/>
  <c r="F64" i="147"/>
  <c r="D36" i="147"/>
  <c r="G64" i="147"/>
  <c r="B62" i="147"/>
  <c r="F36" i="147"/>
  <c r="B64" i="147"/>
  <c r="C31" i="147"/>
  <c r="D31" i="147"/>
  <c r="D55" i="147" s="1"/>
  <c r="E31" i="147"/>
  <c r="F31" i="147"/>
  <c r="G31" i="147"/>
  <c r="G55" i="147" s="1"/>
  <c r="B34" i="147"/>
  <c r="G34" i="147" s="1"/>
  <c r="H56" i="147"/>
  <c r="B23" i="147"/>
  <c r="F53" i="147"/>
  <c r="D32" i="147"/>
  <c r="D56" i="147" s="1"/>
  <c r="I32" i="147"/>
  <c r="I56" i="147" s="1"/>
  <c r="D23" i="147"/>
  <c r="E40" i="18" s="1"/>
  <c r="H53" i="147"/>
  <c r="E23" i="147"/>
  <c r="F40" i="18" s="1"/>
  <c r="I53" i="147"/>
  <c r="K31" i="147"/>
  <c r="J53" i="147"/>
  <c r="J54" i="147"/>
  <c r="F30" i="147"/>
  <c r="F54" i="147" s="1"/>
  <c r="H30" i="147"/>
  <c r="H54" i="147" s="1"/>
  <c r="I51" i="147"/>
  <c r="J51" i="147"/>
  <c r="K54" i="147"/>
  <c r="F45" i="147"/>
  <c r="J57" i="147"/>
  <c r="J61" i="147"/>
  <c r="K10" i="147"/>
  <c r="K27" i="147"/>
  <c r="K36" i="147"/>
  <c r="AL13" i="17" s="1"/>
  <c r="F51" i="147"/>
  <c r="C28" i="147"/>
  <c r="C52" i="147" s="1"/>
  <c r="C37" i="147"/>
  <c r="C61" i="147" s="1"/>
  <c r="H51" i="147"/>
  <c r="D28" i="147"/>
  <c r="D52" i="147" s="1"/>
  <c r="D37" i="147"/>
  <c r="D61" i="147" s="1"/>
  <c r="E28" i="147"/>
  <c r="E52" i="147" s="1"/>
  <c r="C33" i="147"/>
  <c r="C57" i="147" s="1"/>
  <c r="E37" i="147"/>
  <c r="E61" i="147" s="1"/>
  <c r="C43" i="147"/>
  <c r="F28" i="147"/>
  <c r="F52" i="147" s="1"/>
  <c r="H31" i="147"/>
  <c r="H55" i="147" s="1"/>
  <c r="D33" i="147"/>
  <c r="D57" i="147" s="1"/>
  <c r="F37" i="147"/>
  <c r="F61" i="147" s="1"/>
  <c r="H40" i="147"/>
  <c r="H64" i="147" s="1"/>
  <c r="D43" i="147"/>
  <c r="J44" i="147"/>
  <c r="G28" i="147"/>
  <c r="G52" i="147" s="1"/>
  <c r="C30" i="147"/>
  <c r="C54" i="147" s="1"/>
  <c r="I31" i="147"/>
  <c r="E33" i="147"/>
  <c r="E57" i="147" s="1"/>
  <c r="G37" i="147"/>
  <c r="G61" i="147" s="1"/>
  <c r="C39" i="147"/>
  <c r="I40" i="147"/>
  <c r="I64" i="147" s="1"/>
  <c r="E43" i="147"/>
  <c r="B61" i="147"/>
  <c r="B27" i="147"/>
  <c r="H28" i="147"/>
  <c r="H52" i="147" s="1"/>
  <c r="D30" i="147"/>
  <c r="D54" i="147" s="1"/>
  <c r="F33" i="147"/>
  <c r="F57" i="147" s="1"/>
  <c r="H37" i="147"/>
  <c r="H61" i="147" s="1"/>
  <c r="D39" i="147"/>
  <c r="F43" i="147"/>
  <c r="B45" i="147"/>
  <c r="C27" i="147"/>
  <c r="I28" i="147"/>
  <c r="I52" i="147" s="1"/>
  <c r="E30" i="147"/>
  <c r="E54" i="147" s="1"/>
  <c r="G33" i="147"/>
  <c r="G57" i="147" s="1"/>
  <c r="C36" i="147"/>
  <c r="I37" i="147"/>
  <c r="I61" i="147" s="1"/>
  <c r="E39" i="147"/>
  <c r="G43" i="147"/>
  <c r="B67" i="147"/>
  <c r="D27" i="147"/>
  <c r="J28" i="147"/>
  <c r="J52" i="147" s="1"/>
  <c r="H33" i="147"/>
  <c r="H57" i="147" s="1"/>
  <c r="B41" i="147"/>
  <c r="K41" i="147" s="1"/>
  <c r="H43" i="147"/>
  <c r="H67" i="147" s="1"/>
  <c r="E27" i="147"/>
  <c r="G30" i="147"/>
  <c r="G54" i="147" s="1"/>
  <c r="C32" i="147"/>
  <c r="C56" i="147" s="1"/>
  <c r="I33" i="147"/>
  <c r="I57" i="147" s="1"/>
  <c r="E36" i="147"/>
  <c r="G39" i="147"/>
  <c r="I43" i="147"/>
  <c r="B63" i="147"/>
  <c r="K21" i="147"/>
  <c r="C29" i="147"/>
  <c r="C53" i="147" s="1"/>
  <c r="I30" i="147"/>
  <c r="I54" i="147" s="1"/>
  <c r="E32" i="147"/>
  <c r="E56" i="147" s="1"/>
  <c r="G36" i="147"/>
  <c r="C38" i="147"/>
  <c r="C62" i="147" s="1"/>
  <c r="I39" i="147"/>
  <c r="B60" i="147"/>
  <c r="D29" i="147"/>
  <c r="D53" i="147" s="1"/>
  <c r="F32" i="147"/>
  <c r="F56" i="147" s="1"/>
  <c r="H36" i="147"/>
  <c r="D38" i="147"/>
  <c r="D62" i="147" s="1"/>
  <c r="E29" i="147"/>
  <c r="E53" i="147" s="1"/>
  <c r="G32" i="147"/>
  <c r="G56" i="147" s="1"/>
  <c r="I36" i="147"/>
  <c r="E38" i="147"/>
  <c r="E62" i="147" s="1"/>
  <c r="C44" i="147"/>
  <c r="C77" i="149" l="1"/>
  <c r="H72" i="149"/>
  <c r="C72" i="149"/>
  <c r="C46" i="149"/>
  <c r="C70" i="149"/>
  <c r="C59" i="149"/>
  <c r="E38" i="149"/>
  <c r="G64" i="149"/>
  <c r="D59" i="149"/>
  <c r="K69" i="150"/>
  <c r="AM22" i="17"/>
  <c r="D68" i="150"/>
  <c r="AM21" i="17"/>
  <c r="K62" i="150"/>
  <c r="AM15" i="17"/>
  <c r="H62" i="150"/>
  <c r="F62" i="150"/>
  <c r="C62" i="150"/>
  <c r="D62" i="150"/>
  <c r="L41" i="18"/>
  <c r="L133" i="18" s="1"/>
  <c r="K60" i="150"/>
  <c r="AM13" i="17"/>
  <c r="K64" i="150"/>
  <c r="AM17" i="17"/>
  <c r="I62" i="150"/>
  <c r="E60" i="150"/>
  <c r="I60" i="150"/>
  <c r="B65" i="150"/>
  <c r="J53" i="150"/>
  <c r="G53" i="150"/>
  <c r="E55" i="150"/>
  <c r="F34" i="150"/>
  <c r="F58" i="150" s="1"/>
  <c r="E133" i="18"/>
  <c r="K55" i="150"/>
  <c r="AM8" i="17"/>
  <c r="G54" i="150"/>
  <c r="AM7" i="17"/>
  <c r="E34" i="150"/>
  <c r="E58" i="150" s="1"/>
  <c r="I34" i="150"/>
  <c r="I58" i="150" s="1"/>
  <c r="K57" i="150"/>
  <c r="AM10" i="17"/>
  <c r="D133" i="18"/>
  <c r="K53" i="150"/>
  <c r="AM6" i="17"/>
  <c r="H34" i="150"/>
  <c r="J133" i="18"/>
  <c r="C34" i="150"/>
  <c r="I53" i="150"/>
  <c r="C55" i="150"/>
  <c r="E53" i="150"/>
  <c r="K34" i="150"/>
  <c r="D53" i="150"/>
  <c r="K23" i="150"/>
  <c r="J34" i="150"/>
  <c r="J58" i="150" s="1"/>
  <c r="D34" i="150"/>
  <c r="D58" i="150" s="1"/>
  <c r="C54" i="150"/>
  <c r="G133" i="18"/>
  <c r="I133" i="18"/>
  <c r="F55" i="150"/>
  <c r="J54" i="150"/>
  <c r="G70" i="149"/>
  <c r="I46" i="149"/>
  <c r="E46" i="149"/>
  <c r="D70" i="149"/>
  <c r="H70" i="149"/>
  <c r="G72" i="149"/>
  <c r="E64" i="149"/>
  <c r="G38" i="149"/>
  <c r="G65" i="149" s="1"/>
  <c r="C60" i="149"/>
  <c r="F64" i="149"/>
  <c r="E60" i="149"/>
  <c r="G60" i="149"/>
  <c r="F60" i="149"/>
  <c r="D60" i="149"/>
  <c r="H59" i="149"/>
  <c r="F68" i="150"/>
  <c r="G68" i="150"/>
  <c r="H68" i="150"/>
  <c r="G69" i="150"/>
  <c r="C68" i="150"/>
  <c r="J68" i="150"/>
  <c r="I68" i="150"/>
  <c r="K68" i="150"/>
  <c r="E45" i="150"/>
  <c r="E69" i="150" s="1"/>
  <c r="I45" i="150"/>
  <c r="I69" i="150" s="1"/>
  <c r="E64" i="150"/>
  <c r="D64" i="150"/>
  <c r="B47" i="150"/>
  <c r="D47" i="150" s="1"/>
  <c r="J8" i="152" s="1"/>
  <c r="J64" i="150"/>
  <c r="F64" i="150"/>
  <c r="D41" i="150"/>
  <c r="C41" i="150"/>
  <c r="C64" i="150"/>
  <c r="I64" i="150"/>
  <c r="G64" i="150"/>
  <c r="G62" i="150"/>
  <c r="I55" i="150"/>
  <c r="H54" i="150"/>
  <c r="C57" i="150"/>
  <c r="C53" i="150"/>
  <c r="D57" i="150"/>
  <c r="D55" i="150"/>
  <c r="C58" i="150"/>
  <c r="J55" i="150"/>
  <c r="H55" i="150"/>
  <c r="J57" i="150"/>
  <c r="I57" i="150"/>
  <c r="H53" i="150"/>
  <c r="I54" i="150"/>
  <c r="F53" i="150"/>
  <c r="J41" i="150"/>
  <c r="G41" i="150"/>
  <c r="G65" i="150" s="1"/>
  <c r="H41" i="150"/>
  <c r="H65" i="150" s="1"/>
  <c r="K61" i="150"/>
  <c r="H61" i="150"/>
  <c r="C69" i="150"/>
  <c r="C61" i="150"/>
  <c r="E61" i="150"/>
  <c r="J69" i="150"/>
  <c r="E41" i="150"/>
  <c r="I41" i="150"/>
  <c r="H69" i="150"/>
  <c r="K41" i="150"/>
  <c r="G61" i="150"/>
  <c r="J61" i="150"/>
  <c r="B69" i="150"/>
  <c r="F69" i="150"/>
  <c r="D61" i="150"/>
  <c r="I61" i="150"/>
  <c r="I25" i="149"/>
  <c r="I38" i="149"/>
  <c r="K10" i="149"/>
  <c r="AQ11" i="2" s="1"/>
  <c r="J51" i="149"/>
  <c r="G78" i="149" s="1"/>
  <c r="L23" i="149"/>
  <c r="AP22" i="2" s="1"/>
  <c r="F51" i="149"/>
  <c r="I51" i="149"/>
  <c r="K23" i="149"/>
  <c r="AQ22" i="2" s="1"/>
  <c r="G77" i="149"/>
  <c r="J46" i="149"/>
  <c r="F73" i="149" s="1"/>
  <c r="L18" i="149"/>
  <c r="AP18" i="2" s="1"/>
  <c r="F38" i="149"/>
  <c r="F65" i="149" s="1"/>
  <c r="E51" i="149"/>
  <c r="G46" i="149"/>
  <c r="G73" i="149" s="1"/>
  <c r="D46" i="149"/>
  <c r="D73" i="149" s="1"/>
  <c r="J25" i="149"/>
  <c r="AH13" i="3" s="1"/>
  <c r="B53" i="149"/>
  <c r="D51" i="149"/>
  <c r="J38" i="149"/>
  <c r="D65" i="149" s="1"/>
  <c r="C38" i="149"/>
  <c r="C65" i="149" s="1"/>
  <c r="F77" i="149"/>
  <c r="H51" i="149"/>
  <c r="H38" i="149"/>
  <c r="H65" i="149" s="1"/>
  <c r="F132" i="18"/>
  <c r="K68" i="147"/>
  <c r="AL21" i="17"/>
  <c r="K67" i="147"/>
  <c r="AL20" i="17"/>
  <c r="D132" i="18"/>
  <c r="G60" i="147"/>
  <c r="E41" i="147"/>
  <c r="E65" i="147" s="1"/>
  <c r="D60" i="147"/>
  <c r="J60" i="147"/>
  <c r="E132" i="18"/>
  <c r="E63" i="147"/>
  <c r="I132" i="18"/>
  <c r="I63" i="147"/>
  <c r="C60" i="147"/>
  <c r="C63" i="147"/>
  <c r="H132" i="18"/>
  <c r="K63" i="147"/>
  <c r="AL16" i="17"/>
  <c r="E60" i="147"/>
  <c r="H63" i="147"/>
  <c r="K65" i="147"/>
  <c r="AL18" i="17"/>
  <c r="G63" i="147"/>
  <c r="H60" i="147"/>
  <c r="F63" i="147"/>
  <c r="B47" i="147"/>
  <c r="I47" i="147" s="1"/>
  <c r="J63" i="147"/>
  <c r="K55" i="147"/>
  <c r="AL8" i="17"/>
  <c r="L40" i="18"/>
  <c r="C55" i="147"/>
  <c r="J34" i="147"/>
  <c r="I55" i="147"/>
  <c r="K132" i="18"/>
  <c r="K34" i="147"/>
  <c r="H34" i="147"/>
  <c r="H58" i="147" s="1"/>
  <c r="D34" i="147"/>
  <c r="D58" i="147" s="1"/>
  <c r="J132" i="18"/>
  <c r="I34" i="147"/>
  <c r="I58" i="147" s="1"/>
  <c r="G132" i="18"/>
  <c r="H68" i="147"/>
  <c r="D45" i="147"/>
  <c r="C68" i="147"/>
  <c r="C45" i="147"/>
  <c r="J68" i="147"/>
  <c r="E45" i="147"/>
  <c r="G67" i="147"/>
  <c r="C67" i="147"/>
  <c r="F68" i="147"/>
  <c r="D67" i="147"/>
  <c r="I68" i="147"/>
  <c r="I67" i="147"/>
  <c r="E67" i="147"/>
  <c r="E68" i="147"/>
  <c r="G68" i="147"/>
  <c r="G45" i="147"/>
  <c r="D68" i="147"/>
  <c r="F67" i="147"/>
  <c r="B69" i="147"/>
  <c r="J67" i="147"/>
  <c r="D47" i="147"/>
  <c r="G41" i="147"/>
  <c r="G65" i="147" s="1"/>
  <c r="D63" i="147"/>
  <c r="F41" i="147"/>
  <c r="I60" i="147"/>
  <c r="H41" i="147"/>
  <c r="H65" i="147" s="1"/>
  <c r="C34" i="147"/>
  <c r="C58" i="147" s="1"/>
  <c r="E34" i="147"/>
  <c r="E58" i="147" s="1"/>
  <c r="F55" i="147"/>
  <c r="F34" i="147"/>
  <c r="E55" i="147"/>
  <c r="J55" i="147"/>
  <c r="F65" i="147"/>
  <c r="J45" i="147"/>
  <c r="I45" i="147"/>
  <c r="K23" i="147"/>
  <c r="K45" i="147"/>
  <c r="B65" i="147"/>
  <c r="D41" i="147"/>
  <c r="D65" i="147" s="1"/>
  <c r="J41" i="147"/>
  <c r="J65" i="147" s="1"/>
  <c r="I41" i="147"/>
  <c r="I65" i="147" s="1"/>
  <c r="H45" i="147"/>
  <c r="K60" i="147"/>
  <c r="F60" i="147"/>
  <c r="C41" i="147"/>
  <c r="C65" i="147" s="1"/>
  <c r="H73" i="149" l="1"/>
  <c r="AH19" i="3"/>
  <c r="AH21" i="3"/>
  <c r="AH18" i="3"/>
  <c r="AH23" i="3"/>
  <c r="AH22" i="3"/>
  <c r="AH17" i="3"/>
  <c r="C41" i="18"/>
  <c r="E47" i="150"/>
  <c r="C16" i="152" s="1"/>
  <c r="B71" i="150"/>
  <c r="K65" i="150"/>
  <c r="AM18" i="17"/>
  <c r="K58" i="150"/>
  <c r="AM11" i="17"/>
  <c r="H47" i="150"/>
  <c r="D46" i="152" s="1"/>
  <c r="F47" i="150"/>
  <c r="J38" i="152" s="1"/>
  <c r="J47" i="150"/>
  <c r="J29" i="152" s="1"/>
  <c r="I47" i="150"/>
  <c r="C31" i="152" s="1"/>
  <c r="H58" i="150"/>
  <c r="C133" i="18"/>
  <c r="G58" i="150"/>
  <c r="E65" i="149"/>
  <c r="G47" i="150"/>
  <c r="G41" i="152" s="1"/>
  <c r="K47" i="150"/>
  <c r="C47" i="150"/>
  <c r="G5" i="152" s="1"/>
  <c r="F65" i="150"/>
  <c r="J65" i="150"/>
  <c r="C65" i="150"/>
  <c r="I65" i="150"/>
  <c r="E65" i="150"/>
  <c r="D65" i="150"/>
  <c r="H78" i="149"/>
  <c r="K25" i="149"/>
  <c r="AQ24" i="2" s="1"/>
  <c r="I53" i="149"/>
  <c r="E78" i="149"/>
  <c r="C78" i="149"/>
  <c r="C73" i="149"/>
  <c r="L25" i="149"/>
  <c r="AP24" i="2" s="1"/>
  <c r="J53" i="149"/>
  <c r="E73" i="149"/>
  <c r="D78" i="149"/>
  <c r="D53" i="149"/>
  <c r="H53" i="149"/>
  <c r="F53" i="149"/>
  <c r="G53" i="149"/>
  <c r="E53" i="149"/>
  <c r="C53" i="149"/>
  <c r="F78" i="149"/>
  <c r="J47" i="147"/>
  <c r="C47" i="147"/>
  <c r="H47" i="147"/>
  <c r="B71" i="147"/>
  <c r="E47" i="147"/>
  <c r="F47" i="147"/>
  <c r="G47" i="147"/>
  <c r="K69" i="147"/>
  <c r="AL22" i="17"/>
  <c r="K47" i="147"/>
  <c r="J71" i="147" s="1"/>
  <c r="F24" i="148"/>
  <c r="K58" i="147"/>
  <c r="AL11" i="17"/>
  <c r="G58" i="147"/>
  <c r="J58" i="147"/>
  <c r="K71" i="147"/>
  <c r="C40" i="18"/>
  <c r="L132" i="18"/>
  <c r="C132" i="18" s="1"/>
  <c r="F58" i="147"/>
  <c r="D69" i="147"/>
  <c r="E69" i="147"/>
  <c r="F69" i="147"/>
  <c r="G69" i="147"/>
  <c r="I69" i="147"/>
  <c r="H69" i="147"/>
  <c r="C69" i="147"/>
  <c r="J69" i="147"/>
  <c r="C80" i="149" l="1"/>
  <c r="AH25" i="3"/>
  <c r="AH20" i="3"/>
  <c r="C71" i="150"/>
  <c r="F24" i="152"/>
  <c r="K71" i="150"/>
  <c r="AM24" i="17"/>
  <c r="AM26" i="17" s="1"/>
  <c r="G71" i="150"/>
  <c r="F71" i="150"/>
  <c r="H71" i="150"/>
  <c r="I71" i="150"/>
  <c r="J71" i="150"/>
  <c r="G80" i="149"/>
  <c r="D80" i="149"/>
  <c r="E80" i="149"/>
  <c r="F80" i="149"/>
  <c r="H80" i="149"/>
  <c r="D71" i="150"/>
  <c r="E71" i="150"/>
  <c r="C71" i="147"/>
  <c r="I71" i="147"/>
  <c r="F71" i="147"/>
  <c r="AL24" i="17"/>
  <c r="AL26" i="17" s="1"/>
  <c r="E71" i="147"/>
  <c r="D71" i="147"/>
  <c r="G71" i="147"/>
  <c r="H71" i="147"/>
  <c r="B70" i="146"/>
  <c r="B69" i="146"/>
  <c r="B66" i="146"/>
  <c r="B65" i="146"/>
  <c r="B64" i="146"/>
  <c r="B63" i="146"/>
  <c r="B62" i="146"/>
  <c r="B59" i="146"/>
  <c r="B58" i="146"/>
  <c r="B57" i="146"/>
  <c r="B56" i="146"/>
  <c r="B55" i="146"/>
  <c r="B54" i="146"/>
  <c r="B52" i="146"/>
  <c r="B44" i="146"/>
  <c r="E44" i="146" s="1"/>
  <c r="B43" i="146"/>
  <c r="F43" i="146" s="1"/>
  <c r="B40" i="146"/>
  <c r="D40" i="146" s="1"/>
  <c r="B39" i="146"/>
  <c r="G39" i="146" s="1"/>
  <c r="B38" i="146"/>
  <c r="D38" i="146" s="1"/>
  <c r="B37" i="146"/>
  <c r="G37" i="146" s="1"/>
  <c r="B36" i="146"/>
  <c r="F36" i="146" s="1"/>
  <c r="B33" i="146"/>
  <c r="D33" i="146" s="1"/>
  <c r="B32" i="146"/>
  <c r="G32" i="146" s="1"/>
  <c r="B31" i="146"/>
  <c r="F31" i="146" s="1"/>
  <c r="B30" i="146"/>
  <c r="G30" i="146" s="1"/>
  <c r="B29" i="146"/>
  <c r="G29" i="146" s="1"/>
  <c r="B28" i="146"/>
  <c r="C28" i="146" s="1"/>
  <c r="B26" i="146"/>
  <c r="G21" i="146"/>
  <c r="F21" i="146"/>
  <c r="E21" i="146"/>
  <c r="D21" i="146"/>
  <c r="C21" i="146"/>
  <c r="B21" i="146"/>
  <c r="H20" i="146"/>
  <c r="H19" i="146"/>
  <c r="G17" i="146"/>
  <c r="F17" i="146"/>
  <c r="E17" i="146"/>
  <c r="D17" i="146"/>
  <c r="C17" i="146"/>
  <c r="B17" i="146"/>
  <c r="B41" i="146" s="1"/>
  <c r="H16" i="146"/>
  <c r="H15" i="146"/>
  <c r="H14" i="146"/>
  <c r="H13" i="146"/>
  <c r="H12" i="146"/>
  <c r="G10" i="146"/>
  <c r="F10" i="146"/>
  <c r="E10" i="146"/>
  <c r="D10" i="146"/>
  <c r="C10" i="146"/>
  <c r="B10" i="146"/>
  <c r="B34" i="146" s="1"/>
  <c r="H9" i="146"/>
  <c r="H8" i="146"/>
  <c r="H7" i="146"/>
  <c r="H31" i="146" s="1"/>
  <c r="H6" i="146"/>
  <c r="H30" i="146" s="1"/>
  <c r="H56" i="146" s="1"/>
  <c r="H5" i="146"/>
  <c r="H29" i="146" s="1"/>
  <c r="H55" i="146" s="1"/>
  <c r="H4" i="146"/>
  <c r="H3" i="146"/>
  <c r="H27" i="146" s="1"/>
  <c r="G3" i="146"/>
  <c r="G27" i="146" s="1"/>
  <c r="F3" i="146"/>
  <c r="F27" i="146" s="1"/>
  <c r="E3" i="146"/>
  <c r="E27" i="146" s="1"/>
  <c r="D3" i="146"/>
  <c r="D27" i="146" s="1"/>
  <c r="C3" i="146"/>
  <c r="C27" i="146" s="1"/>
  <c r="B3" i="146"/>
  <c r="B27" i="146" s="1"/>
  <c r="AG21" i="16"/>
  <c r="AG20" i="16"/>
  <c r="AG17" i="16"/>
  <c r="AG16" i="16"/>
  <c r="AG15" i="16"/>
  <c r="AG14" i="16"/>
  <c r="AG13" i="16"/>
  <c r="AG10" i="16"/>
  <c r="AG9" i="16"/>
  <c r="AG8" i="16"/>
  <c r="AG7" i="16"/>
  <c r="AG6" i="16"/>
  <c r="AG5" i="16"/>
  <c r="AN21" i="2"/>
  <c r="B57" i="145"/>
  <c r="B50" i="145"/>
  <c r="E50" i="145" s="1"/>
  <c r="B49" i="145"/>
  <c r="B51" i="145" s="1"/>
  <c r="B45" i="145"/>
  <c r="D45" i="145" s="1"/>
  <c r="B44" i="145"/>
  <c r="H44" i="145" s="1"/>
  <c r="B43" i="145"/>
  <c r="F43" i="145" s="1"/>
  <c r="B42" i="145"/>
  <c r="H42" i="145" s="1"/>
  <c r="B41" i="145"/>
  <c r="H41" i="145" s="1"/>
  <c r="B37" i="145"/>
  <c r="F37" i="145" s="1"/>
  <c r="B36" i="145"/>
  <c r="C36" i="145" s="1"/>
  <c r="B35" i="145"/>
  <c r="H35" i="145" s="1"/>
  <c r="B34" i="145"/>
  <c r="E34" i="145" s="1"/>
  <c r="B33" i="145"/>
  <c r="H33" i="145" s="1"/>
  <c r="D32" i="145"/>
  <c r="B32" i="145"/>
  <c r="G32" i="145" s="1"/>
  <c r="B29" i="145"/>
  <c r="I23" i="145"/>
  <c r="H23" i="145"/>
  <c r="G23" i="145"/>
  <c r="F23" i="145"/>
  <c r="E23" i="145"/>
  <c r="D23" i="145"/>
  <c r="C23" i="145"/>
  <c r="B23" i="145"/>
  <c r="J22" i="145"/>
  <c r="L22" i="145" s="1"/>
  <c r="I22" i="145"/>
  <c r="J21" i="145"/>
  <c r="I21" i="145"/>
  <c r="H18" i="145"/>
  <c r="G18" i="145"/>
  <c r="F18" i="145"/>
  <c r="E18" i="145"/>
  <c r="D18" i="145"/>
  <c r="C18" i="145"/>
  <c r="B18" i="145"/>
  <c r="AG18" i="16" s="1"/>
  <c r="J17" i="145"/>
  <c r="L17" i="145" s="1"/>
  <c r="AN17" i="2" s="1"/>
  <c r="I17" i="145"/>
  <c r="K17" i="145" s="1"/>
  <c r="AO17" i="2" s="1"/>
  <c r="J16" i="145"/>
  <c r="I16" i="145"/>
  <c r="J15" i="145"/>
  <c r="L15" i="145" s="1"/>
  <c r="AN15" i="2" s="1"/>
  <c r="I15" i="145"/>
  <c r="K15" i="145" s="1"/>
  <c r="AO15" i="2" s="1"/>
  <c r="J14" i="145"/>
  <c r="I14" i="145"/>
  <c r="I42" i="145" s="1"/>
  <c r="J13" i="145"/>
  <c r="I13" i="145"/>
  <c r="H10" i="145"/>
  <c r="G10" i="145"/>
  <c r="F10" i="145"/>
  <c r="E10" i="145"/>
  <c r="D10" i="145"/>
  <c r="C10" i="145"/>
  <c r="B10" i="145"/>
  <c r="AG11" i="16" s="1"/>
  <c r="J9" i="145"/>
  <c r="I9" i="145"/>
  <c r="J8" i="145"/>
  <c r="L8" i="145" s="1"/>
  <c r="AN9" i="2" s="1"/>
  <c r="I8" i="145"/>
  <c r="I36" i="145" s="1"/>
  <c r="J7" i="145"/>
  <c r="L7" i="145" s="1"/>
  <c r="AN8" i="2" s="1"/>
  <c r="I7" i="145"/>
  <c r="K7" i="145" s="1"/>
  <c r="AO8" i="2" s="1"/>
  <c r="J6" i="145"/>
  <c r="L6" i="145" s="1"/>
  <c r="AN7" i="2" s="1"/>
  <c r="I6" i="145"/>
  <c r="K6" i="145" s="1"/>
  <c r="AO7" i="2" s="1"/>
  <c r="J5" i="145"/>
  <c r="I5" i="145"/>
  <c r="J4" i="145"/>
  <c r="J32" i="145" s="1"/>
  <c r="I4" i="145"/>
  <c r="L3" i="145"/>
  <c r="J30" i="145" s="1"/>
  <c r="K3" i="145"/>
  <c r="I30" i="145" s="1"/>
  <c r="J3" i="145"/>
  <c r="I3" i="145"/>
  <c r="H3" i="145"/>
  <c r="H58" i="145" s="1"/>
  <c r="G3" i="145"/>
  <c r="G58" i="145" s="1"/>
  <c r="F3" i="145"/>
  <c r="F58" i="145" s="1"/>
  <c r="E3" i="145"/>
  <c r="E58" i="145" s="1"/>
  <c r="D3" i="145"/>
  <c r="D58" i="145" s="1"/>
  <c r="C3" i="145"/>
  <c r="C58" i="145" s="1"/>
  <c r="B3" i="145"/>
  <c r="B30" i="145" s="1"/>
  <c r="AK14" i="17"/>
  <c r="AK9" i="17"/>
  <c r="AF22" i="16"/>
  <c r="AF21" i="16"/>
  <c r="AF20" i="16"/>
  <c r="AF17" i="16"/>
  <c r="AF16" i="16"/>
  <c r="AF15" i="16"/>
  <c r="AF14" i="16"/>
  <c r="AF13" i="16"/>
  <c r="AF10" i="16"/>
  <c r="AF9" i="16"/>
  <c r="AF8" i="16"/>
  <c r="AF7" i="16"/>
  <c r="AF6" i="16"/>
  <c r="AF5" i="16"/>
  <c r="AL8" i="2"/>
  <c r="B57" i="144"/>
  <c r="E50" i="144"/>
  <c r="D50" i="144"/>
  <c r="D77" i="144" s="1"/>
  <c r="B50" i="144"/>
  <c r="H50" i="144" s="1"/>
  <c r="B49" i="144"/>
  <c r="H49" i="144" s="1"/>
  <c r="H45" i="144"/>
  <c r="B45" i="144"/>
  <c r="F45" i="144" s="1"/>
  <c r="H44" i="144"/>
  <c r="G44" i="144"/>
  <c r="B44" i="144"/>
  <c r="E44" i="144" s="1"/>
  <c r="B43" i="144"/>
  <c r="F43" i="144" s="1"/>
  <c r="B42" i="144"/>
  <c r="G42" i="144" s="1"/>
  <c r="B41" i="144"/>
  <c r="H41" i="144" s="1"/>
  <c r="G37" i="144"/>
  <c r="F37" i="144"/>
  <c r="E37" i="144"/>
  <c r="D37" i="144"/>
  <c r="B37" i="144"/>
  <c r="H37" i="144" s="1"/>
  <c r="F36" i="144"/>
  <c r="E36" i="144"/>
  <c r="E63" i="144" s="1"/>
  <c r="B36" i="144"/>
  <c r="C36" i="144" s="1"/>
  <c r="D35" i="144"/>
  <c r="C35" i="144"/>
  <c r="B35" i="144"/>
  <c r="H35" i="144" s="1"/>
  <c r="H34" i="144"/>
  <c r="E34" i="144"/>
  <c r="B34" i="144"/>
  <c r="D34" i="144" s="1"/>
  <c r="H33" i="144"/>
  <c r="F33" i="144"/>
  <c r="B33" i="144"/>
  <c r="E33" i="144" s="1"/>
  <c r="I32" i="144"/>
  <c r="B32" i="144"/>
  <c r="F32" i="144" s="1"/>
  <c r="B29" i="144"/>
  <c r="H23" i="144"/>
  <c r="G23" i="144"/>
  <c r="F23" i="144"/>
  <c r="E23" i="144"/>
  <c r="D23" i="144"/>
  <c r="C23" i="144"/>
  <c r="B23" i="144"/>
  <c r="K22" i="144"/>
  <c r="AM21" i="2" s="1"/>
  <c r="J22" i="144"/>
  <c r="J50" i="144" s="1"/>
  <c r="I22" i="144"/>
  <c r="I50" i="144" s="1"/>
  <c r="J21" i="144"/>
  <c r="J23" i="144" s="1"/>
  <c r="L23" i="144" s="1"/>
  <c r="AL22" i="2" s="1"/>
  <c r="I21" i="144"/>
  <c r="I23" i="144" s="1"/>
  <c r="K23" i="144" s="1"/>
  <c r="AM22" i="2" s="1"/>
  <c r="H18" i="144"/>
  <c r="G18" i="144"/>
  <c r="F18" i="144"/>
  <c r="F25" i="144" s="1"/>
  <c r="AF9" i="3" s="1"/>
  <c r="E18" i="144"/>
  <c r="D18" i="144"/>
  <c r="C18" i="144"/>
  <c r="B18" i="144"/>
  <c r="AF18" i="16" s="1"/>
  <c r="J17" i="144"/>
  <c r="J45" i="144" s="1"/>
  <c r="I17" i="144"/>
  <c r="K17" i="144" s="1"/>
  <c r="AM17" i="2" s="1"/>
  <c r="L16" i="144"/>
  <c r="AL16" i="2" s="1"/>
  <c r="J16" i="144"/>
  <c r="J44" i="144" s="1"/>
  <c r="I16" i="144"/>
  <c r="I44" i="144" s="1"/>
  <c r="J15" i="144"/>
  <c r="J43" i="144" s="1"/>
  <c r="I15" i="144"/>
  <c r="K15" i="144" s="1"/>
  <c r="AM15" i="2" s="1"/>
  <c r="L14" i="144"/>
  <c r="AL14" i="2" s="1"/>
  <c r="K14" i="144"/>
  <c r="AM14" i="2" s="1"/>
  <c r="J14" i="144"/>
  <c r="I14" i="144"/>
  <c r="I42" i="144" s="1"/>
  <c r="J13" i="144"/>
  <c r="L13" i="144" s="1"/>
  <c r="AL13" i="2" s="1"/>
  <c r="I13" i="144"/>
  <c r="H10" i="144"/>
  <c r="H25" i="144" s="1"/>
  <c r="AF11" i="3" s="1"/>
  <c r="G10" i="144"/>
  <c r="F10" i="144"/>
  <c r="E10" i="144"/>
  <c r="D10" i="144"/>
  <c r="C10" i="144"/>
  <c r="C25" i="144" s="1"/>
  <c r="AF6" i="3" s="1"/>
  <c r="B10" i="144"/>
  <c r="AF11" i="16" s="1"/>
  <c r="L9" i="144"/>
  <c r="AL10" i="2" s="1"/>
  <c r="J9" i="144"/>
  <c r="J37" i="144" s="1"/>
  <c r="I9" i="144"/>
  <c r="I37" i="144" s="1"/>
  <c r="J8" i="144"/>
  <c r="J36" i="144" s="1"/>
  <c r="I8" i="144"/>
  <c r="I36" i="144" s="1"/>
  <c r="L7" i="144"/>
  <c r="K7" i="144"/>
  <c r="AM8" i="2" s="1"/>
  <c r="J7" i="144"/>
  <c r="J35" i="144" s="1"/>
  <c r="I7" i="144"/>
  <c r="I35" i="144" s="1"/>
  <c r="J6" i="144"/>
  <c r="J34" i="144" s="1"/>
  <c r="I6" i="144"/>
  <c r="I34" i="144" s="1"/>
  <c r="L5" i="144"/>
  <c r="AL6" i="2" s="1"/>
  <c r="J5" i="144"/>
  <c r="J33" i="144" s="1"/>
  <c r="I5" i="144"/>
  <c r="K5" i="144" s="1"/>
  <c r="AM6" i="2" s="1"/>
  <c r="K4" i="144"/>
  <c r="AM5" i="2" s="1"/>
  <c r="J4" i="144"/>
  <c r="L4" i="144" s="1"/>
  <c r="AL5" i="2" s="1"/>
  <c r="I4" i="144"/>
  <c r="L3" i="144"/>
  <c r="J30" i="144" s="1"/>
  <c r="K3" i="144"/>
  <c r="I30" i="144" s="1"/>
  <c r="J3" i="144"/>
  <c r="I3" i="144"/>
  <c r="H3" i="144"/>
  <c r="H58" i="144" s="1"/>
  <c r="G3" i="144"/>
  <c r="G30" i="144" s="1"/>
  <c r="F3" i="144"/>
  <c r="F58" i="144" s="1"/>
  <c r="E3" i="144"/>
  <c r="E58" i="144" s="1"/>
  <c r="D3" i="144"/>
  <c r="D58" i="144" s="1"/>
  <c r="C3" i="144"/>
  <c r="C58" i="144" s="1"/>
  <c r="B3" i="144"/>
  <c r="B30" i="144" s="1"/>
  <c r="B57" i="142"/>
  <c r="B56" i="142"/>
  <c r="B55" i="142"/>
  <c r="B54" i="142"/>
  <c r="B53" i="142"/>
  <c r="B52" i="142"/>
  <c r="B58" i="142" s="1"/>
  <c r="C50" i="142"/>
  <c r="B44" i="142"/>
  <c r="D44" i="142" s="1"/>
  <c r="H43" i="142"/>
  <c r="B43" i="142"/>
  <c r="B45" i="142" s="1"/>
  <c r="K40" i="142"/>
  <c r="K64" i="142" s="1"/>
  <c r="B40" i="142"/>
  <c r="J40" i="142" s="1"/>
  <c r="I39" i="142"/>
  <c r="H39" i="142"/>
  <c r="C39" i="142"/>
  <c r="B39" i="142"/>
  <c r="D39" i="142" s="1"/>
  <c r="H38" i="142"/>
  <c r="G38" i="142"/>
  <c r="B38" i="142"/>
  <c r="F38" i="142" s="1"/>
  <c r="B37" i="142"/>
  <c r="H37" i="142" s="1"/>
  <c r="I36" i="142"/>
  <c r="G36" i="142"/>
  <c r="F36" i="142"/>
  <c r="E36" i="142"/>
  <c r="D36" i="142"/>
  <c r="B36" i="142"/>
  <c r="J36" i="142" s="1"/>
  <c r="H33" i="142"/>
  <c r="G33" i="142"/>
  <c r="B33" i="142"/>
  <c r="F33" i="142" s="1"/>
  <c r="B32" i="142"/>
  <c r="H32" i="142" s="1"/>
  <c r="G31" i="142"/>
  <c r="F31" i="142"/>
  <c r="E31" i="142"/>
  <c r="D31" i="142"/>
  <c r="C31" i="142"/>
  <c r="B31" i="142"/>
  <c r="J31" i="142" s="1"/>
  <c r="G30" i="142"/>
  <c r="F30" i="142"/>
  <c r="B30" i="142"/>
  <c r="D30" i="142" s="1"/>
  <c r="H29" i="142"/>
  <c r="B29" i="142"/>
  <c r="F29" i="142" s="1"/>
  <c r="B28" i="142"/>
  <c r="H28" i="142" s="1"/>
  <c r="B26" i="142"/>
  <c r="J21" i="142"/>
  <c r="I21" i="142"/>
  <c r="H21" i="142"/>
  <c r="G21" i="142"/>
  <c r="F21" i="142"/>
  <c r="E21" i="142"/>
  <c r="D21" i="142"/>
  <c r="C21" i="142"/>
  <c r="B21" i="142"/>
  <c r="K20" i="142"/>
  <c r="K44" i="142" s="1"/>
  <c r="AK21" i="17" s="1"/>
  <c r="K19" i="142"/>
  <c r="K21" i="142" s="1"/>
  <c r="J17" i="142"/>
  <c r="J23" i="142" s="1"/>
  <c r="K39" i="18" s="1"/>
  <c r="I17" i="142"/>
  <c r="H17" i="142"/>
  <c r="G17" i="142"/>
  <c r="F17" i="142"/>
  <c r="E17" i="142"/>
  <c r="D17" i="142"/>
  <c r="C17" i="142"/>
  <c r="B17" i="142"/>
  <c r="B23" i="142" s="1"/>
  <c r="B39" i="18" s="1"/>
  <c r="K16" i="142"/>
  <c r="K15" i="142"/>
  <c r="K39" i="142" s="1"/>
  <c r="AK16" i="17" s="1"/>
  <c r="K14" i="142"/>
  <c r="K38" i="142" s="1"/>
  <c r="K62" i="142" s="1"/>
  <c r="K13" i="142"/>
  <c r="K37" i="142" s="1"/>
  <c r="K61" i="142" s="1"/>
  <c r="K12" i="142"/>
  <c r="J10" i="142"/>
  <c r="I10" i="142"/>
  <c r="H10" i="142"/>
  <c r="G10" i="142"/>
  <c r="G23" i="142" s="1"/>
  <c r="H39" i="18" s="1"/>
  <c r="F10" i="142"/>
  <c r="E10" i="142"/>
  <c r="D10" i="142"/>
  <c r="C10" i="142"/>
  <c r="B10" i="142"/>
  <c r="K9" i="142"/>
  <c r="K33" i="142" s="1"/>
  <c r="K57" i="142" s="1"/>
  <c r="K8" i="142"/>
  <c r="K32" i="142" s="1"/>
  <c r="K56" i="142" s="1"/>
  <c r="K7" i="142"/>
  <c r="K31" i="142" s="1"/>
  <c r="K6" i="142"/>
  <c r="K30" i="142" s="1"/>
  <c r="AK7" i="17" s="1"/>
  <c r="K5" i="142"/>
  <c r="K4" i="142"/>
  <c r="K3" i="142"/>
  <c r="K51" i="142" s="1"/>
  <c r="J3" i="142"/>
  <c r="J27" i="142" s="1"/>
  <c r="I3" i="142"/>
  <c r="I27" i="142" s="1"/>
  <c r="H3" i="142"/>
  <c r="H27" i="142" s="1"/>
  <c r="G3" i="142"/>
  <c r="G27" i="142" s="1"/>
  <c r="F3" i="142"/>
  <c r="F27" i="142" s="1"/>
  <c r="E3" i="142"/>
  <c r="E51" i="142" s="1"/>
  <c r="D3" i="142"/>
  <c r="D27" i="142" s="1"/>
  <c r="C3" i="142"/>
  <c r="C27" i="142" s="1"/>
  <c r="B3" i="142"/>
  <c r="B27" i="142" s="1"/>
  <c r="B70" i="141"/>
  <c r="B69" i="141"/>
  <c r="B67" i="141"/>
  <c r="B66" i="141"/>
  <c r="B65" i="141"/>
  <c r="B64" i="141"/>
  <c r="B63" i="141"/>
  <c r="B62" i="141"/>
  <c r="B59" i="141"/>
  <c r="B58" i="141"/>
  <c r="B57" i="141"/>
  <c r="B56" i="141"/>
  <c r="B55" i="141"/>
  <c r="B54" i="141"/>
  <c r="B52" i="141"/>
  <c r="B44" i="141"/>
  <c r="B43" i="141"/>
  <c r="C43" i="141" s="1"/>
  <c r="F40" i="141"/>
  <c r="B40" i="141"/>
  <c r="D40" i="141" s="1"/>
  <c r="B39" i="141"/>
  <c r="C39" i="141" s="1"/>
  <c r="G38" i="141"/>
  <c r="B38" i="141"/>
  <c r="F38" i="141" s="1"/>
  <c r="F37" i="141"/>
  <c r="E37" i="141"/>
  <c r="D37" i="141"/>
  <c r="B37" i="141"/>
  <c r="C37" i="141" s="1"/>
  <c r="B36" i="141"/>
  <c r="G36" i="141" s="1"/>
  <c r="B34" i="141"/>
  <c r="B33" i="141"/>
  <c r="C33" i="141" s="1"/>
  <c r="B32" i="141"/>
  <c r="G32" i="141" s="1"/>
  <c r="G58" i="141" s="1"/>
  <c r="F31" i="141"/>
  <c r="B31" i="141"/>
  <c r="D31" i="141" s="1"/>
  <c r="H30" i="141"/>
  <c r="H56" i="141" s="1"/>
  <c r="B30" i="141"/>
  <c r="C30" i="141" s="1"/>
  <c r="F29" i="141"/>
  <c r="E29" i="141"/>
  <c r="D29" i="141"/>
  <c r="C29" i="141"/>
  <c r="B29" i="141"/>
  <c r="G29" i="141" s="1"/>
  <c r="E28" i="141"/>
  <c r="B28" i="141"/>
  <c r="C28" i="141" s="1"/>
  <c r="B26" i="141"/>
  <c r="G21" i="141"/>
  <c r="F21" i="141"/>
  <c r="E21" i="141"/>
  <c r="D21" i="141"/>
  <c r="C21" i="141"/>
  <c r="B21" i="141"/>
  <c r="B45" i="141" s="1"/>
  <c r="H20" i="141"/>
  <c r="H19" i="141"/>
  <c r="H43" i="141" s="1"/>
  <c r="H69" i="141" s="1"/>
  <c r="G17" i="141"/>
  <c r="F17" i="141"/>
  <c r="F23" i="141" s="1"/>
  <c r="G81" i="18" s="1"/>
  <c r="E17" i="141"/>
  <c r="D17" i="141"/>
  <c r="C17" i="141"/>
  <c r="B17" i="141"/>
  <c r="B41" i="141" s="1"/>
  <c r="G41" i="141" s="1"/>
  <c r="H16" i="141"/>
  <c r="H40" i="141" s="1"/>
  <c r="H66" i="141" s="1"/>
  <c r="H15" i="141"/>
  <c r="H39" i="141" s="1"/>
  <c r="H14" i="141"/>
  <c r="H38" i="141" s="1"/>
  <c r="H64" i="141" s="1"/>
  <c r="H13" i="141"/>
  <c r="H37" i="141" s="1"/>
  <c r="H12" i="141"/>
  <c r="H36" i="141" s="1"/>
  <c r="G10" i="141"/>
  <c r="F10" i="141"/>
  <c r="E10" i="141"/>
  <c r="D10" i="141"/>
  <c r="C10" i="141"/>
  <c r="B10" i="141"/>
  <c r="H9" i="141"/>
  <c r="H33" i="141" s="1"/>
  <c r="H59" i="141" s="1"/>
  <c r="H8" i="141"/>
  <c r="H32" i="141" s="1"/>
  <c r="H58" i="141" s="1"/>
  <c r="H7" i="141"/>
  <c r="H31" i="141" s="1"/>
  <c r="H57" i="141" s="1"/>
  <c r="H6" i="141"/>
  <c r="H5" i="141"/>
  <c r="H29" i="141" s="1"/>
  <c r="H4" i="141"/>
  <c r="H28" i="141" s="1"/>
  <c r="H3" i="141"/>
  <c r="H27" i="141" s="1"/>
  <c r="G3" i="141"/>
  <c r="G27" i="141" s="1"/>
  <c r="F3" i="141"/>
  <c r="F53" i="141" s="1"/>
  <c r="E3" i="141"/>
  <c r="E27" i="141" s="1"/>
  <c r="D3" i="141"/>
  <c r="D53" i="141" s="1"/>
  <c r="C3" i="141"/>
  <c r="C53" i="141" s="1"/>
  <c r="B3" i="141"/>
  <c r="B27" i="141" s="1"/>
  <c r="B17" i="139"/>
  <c r="C17" i="139"/>
  <c r="D17" i="139"/>
  <c r="E17" i="139"/>
  <c r="F17" i="139"/>
  <c r="G17" i="139"/>
  <c r="H17" i="139"/>
  <c r="I17" i="139"/>
  <c r="J17" i="139"/>
  <c r="E38" i="146" l="1"/>
  <c r="F38" i="146"/>
  <c r="H36" i="146"/>
  <c r="H62" i="146" s="1"/>
  <c r="H37" i="146"/>
  <c r="H63" i="146" s="1"/>
  <c r="H40" i="146"/>
  <c r="H66" i="146" s="1"/>
  <c r="K23" i="145"/>
  <c r="AO22" i="2" s="1"/>
  <c r="C43" i="145"/>
  <c r="J42" i="145"/>
  <c r="I37" i="145"/>
  <c r="J37" i="145"/>
  <c r="H44" i="146"/>
  <c r="H70" i="146" s="1"/>
  <c r="D44" i="146"/>
  <c r="D70" i="146" s="1"/>
  <c r="C39" i="146"/>
  <c r="C40" i="146"/>
  <c r="C66" i="146" s="1"/>
  <c r="F57" i="146"/>
  <c r="G31" i="146"/>
  <c r="G57" i="146" s="1"/>
  <c r="H25" i="145"/>
  <c r="AG11" i="3" s="1"/>
  <c r="AG22" i="16"/>
  <c r="F51" i="145"/>
  <c r="E45" i="145"/>
  <c r="I44" i="145"/>
  <c r="F41" i="145"/>
  <c r="J44" i="145"/>
  <c r="G41" i="145"/>
  <c r="D42" i="145"/>
  <c r="D69" i="145" s="1"/>
  <c r="E42" i="145"/>
  <c r="E69" i="145" s="1"/>
  <c r="J10" i="145"/>
  <c r="G36" i="145"/>
  <c r="G63" i="145" s="1"/>
  <c r="H36" i="145"/>
  <c r="J36" i="145"/>
  <c r="C63" i="145" s="1"/>
  <c r="E36" i="145"/>
  <c r="E63" i="145" s="1"/>
  <c r="F36" i="145"/>
  <c r="B25" i="145"/>
  <c r="AG24" i="16" s="1"/>
  <c r="C37" i="145"/>
  <c r="C25" i="145"/>
  <c r="AG6" i="3" s="1"/>
  <c r="I33" i="145"/>
  <c r="D36" i="145"/>
  <c r="D63" i="145" s="1"/>
  <c r="J33" i="145"/>
  <c r="F44" i="146"/>
  <c r="H43" i="146"/>
  <c r="H69" i="146" s="1"/>
  <c r="G44" i="146"/>
  <c r="C43" i="146"/>
  <c r="C69" i="146" s="1"/>
  <c r="E43" i="146"/>
  <c r="G43" i="146"/>
  <c r="C41" i="146"/>
  <c r="C67" i="146" s="1"/>
  <c r="G38" i="146"/>
  <c r="D39" i="146"/>
  <c r="D65" i="146" s="1"/>
  <c r="G41" i="146"/>
  <c r="E39" i="146"/>
  <c r="H17" i="146"/>
  <c r="H41" i="146" s="1"/>
  <c r="H67" i="146" s="1"/>
  <c r="E36" i="146"/>
  <c r="E62" i="146" s="1"/>
  <c r="E40" i="146"/>
  <c r="E66" i="146" s="1"/>
  <c r="F40" i="146"/>
  <c r="F66" i="146" s="1"/>
  <c r="G63" i="146"/>
  <c r="G40" i="146"/>
  <c r="G66" i="146" s="1"/>
  <c r="F62" i="146"/>
  <c r="D23" i="146"/>
  <c r="E82" i="18" s="1"/>
  <c r="C37" i="146"/>
  <c r="C63" i="146" s="1"/>
  <c r="H38" i="146"/>
  <c r="C38" i="146"/>
  <c r="H39" i="146"/>
  <c r="H65" i="146" s="1"/>
  <c r="H10" i="146"/>
  <c r="H34" i="146" s="1"/>
  <c r="H60" i="146" s="1"/>
  <c r="D28" i="146"/>
  <c r="C33" i="146"/>
  <c r="H32" i="146"/>
  <c r="H58" i="146" s="1"/>
  <c r="E23" i="146"/>
  <c r="E28" i="146"/>
  <c r="E33" i="146"/>
  <c r="H33" i="146"/>
  <c r="F28" i="146"/>
  <c r="F33" i="146"/>
  <c r="F59" i="146" s="1"/>
  <c r="G28" i="146"/>
  <c r="G33" i="146"/>
  <c r="G59" i="146" s="1"/>
  <c r="C34" i="146"/>
  <c r="G55" i="146"/>
  <c r="D34" i="146"/>
  <c r="B60" i="146"/>
  <c r="E34" i="146"/>
  <c r="E60" i="146" s="1"/>
  <c r="E30" i="146"/>
  <c r="E56" i="146" s="1"/>
  <c r="F34" i="146"/>
  <c r="B23" i="146"/>
  <c r="F30" i="146"/>
  <c r="F56" i="146" s="1"/>
  <c r="G34" i="146"/>
  <c r="C31" i="146"/>
  <c r="C57" i="146" s="1"/>
  <c r="D31" i="146"/>
  <c r="D57" i="146" s="1"/>
  <c r="F23" i="146"/>
  <c r="G82" i="18" s="1"/>
  <c r="E31" i="146"/>
  <c r="E57" i="146" s="1"/>
  <c r="C54" i="146"/>
  <c r="D59" i="146"/>
  <c r="H57" i="146"/>
  <c r="C65" i="146"/>
  <c r="H59" i="146"/>
  <c r="G56" i="146"/>
  <c r="E70" i="146"/>
  <c r="E41" i="146"/>
  <c r="E67" i="146" s="1"/>
  <c r="F41" i="146"/>
  <c r="F67" i="146" s="1"/>
  <c r="D41" i="146"/>
  <c r="D67" i="146" s="1"/>
  <c r="G23" i="146"/>
  <c r="H82" i="18" s="1"/>
  <c r="H28" i="146"/>
  <c r="G36" i="146"/>
  <c r="G62" i="146" s="1"/>
  <c r="C29" i="146"/>
  <c r="C55" i="146" s="1"/>
  <c r="B53" i="146"/>
  <c r="B71" i="146"/>
  <c r="D29" i="146"/>
  <c r="D55" i="146" s="1"/>
  <c r="B45" i="146"/>
  <c r="D45" i="146" s="1"/>
  <c r="C53" i="146"/>
  <c r="E29" i="146"/>
  <c r="E55" i="146" s="1"/>
  <c r="D37" i="146"/>
  <c r="D63" i="146" s="1"/>
  <c r="F39" i="146"/>
  <c r="D53" i="146"/>
  <c r="F29" i="146"/>
  <c r="F55" i="146" s="1"/>
  <c r="E37" i="146"/>
  <c r="E63" i="146" s="1"/>
  <c r="E53" i="146"/>
  <c r="F37" i="146"/>
  <c r="F63" i="146" s="1"/>
  <c r="F53" i="146"/>
  <c r="C32" i="146"/>
  <c r="D43" i="146"/>
  <c r="G53" i="146"/>
  <c r="D32" i="146"/>
  <c r="H53" i="146"/>
  <c r="C30" i="146"/>
  <c r="C56" i="146" s="1"/>
  <c r="E32" i="146"/>
  <c r="E58" i="146" s="1"/>
  <c r="H21" i="146"/>
  <c r="D30" i="146"/>
  <c r="D56" i="146" s="1"/>
  <c r="F32" i="146"/>
  <c r="C23" i="146"/>
  <c r="D82" i="18" s="1"/>
  <c r="C36" i="146"/>
  <c r="C62" i="146" s="1"/>
  <c r="D36" i="146"/>
  <c r="D62" i="146" s="1"/>
  <c r="C44" i="146"/>
  <c r="B67" i="146"/>
  <c r="D51" i="145"/>
  <c r="E51" i="145"/>
  <c r="C49" i="145"/>
  <c r="D25" i="145"/>
  <c r="AG7" i="3" s="1"/>
  <c r="D49" i="145"/>
  <c r="D76" i="145" s="1"/>
  <c r="E49" i="145"/>
  <c r="E76" i="145" s="1"/>
  <c r="F25" i="145"/>
  <c r="AG9" i="3" s="1"/>
  <c r="H51" i="145"/>
  <c r="F49" i="145"/>
  <c r="F76" i="145" s="1"/>
  <c r="G25" i="145"/>
  <c r="AG10" i="3" s="1"/>
  <c r="I51" i="145"/>
  <c r="G49" i="145"/>
  <c r="H49" i="145"/>
  <c r="H76" i="145" s="1"/>
  <c r="F50" i="145"/>
  <c r="E25" i="145"/>
  <c r="AG8" i="3" s="1"/>
  <c r="I49" i="145"/>
  <c r="G50" i="145"/>
  <c r="J49" i="145"/>
  <c r="H50" i="145"/>
  <c r="K21" i="145"/>
  <c r="AO20" i="2" s="1"/>
  <c r="J50" i="145"/>
  <c r="E77" i="145" s="1"/>
  <c r="I50" i="145"/>
  <c r="K16" i="145"/>
  <c r="AO16" i="2" s="1"/>
  <c r="D43" i="145"/>
  <c r="E43" i="145"/>
  <c r="G43" i="145"/>
  <c r="H43" i="145"/>
  <c r="I43" i="145"/>
  <c r="I18" i="145"/>
  <c r="J43" i="145"/>
  <c r="J18" i="145"/>
  <c r="L18" i="145" s="1"/>
  <c r="AN18" i="2" s="1"/>
  <c r="H71" i="145"/>
  <c r="E41" i="145"/>
  <c r="C44" i="145"/>
  <c r="C71" i="145" s="1"/>
  <c r="H69" i="145"/>
  <c r="H45" i="145"/>
  <c r="C42" i="145"/>
  <c r="C69" i="145" s="1"/>
  <c r="J45" i="145"/>
  <c r="D72" i="145" s="1"/>
  <c r="F63" i="145"/>
  <c r="E32" i="145"/>
  <c r="E59" i="145" s="1"/>
  <c r="G37" i="145"/>
  <c r="F32" i="145"/>
  <c r="F59" i="145" s="1"/>
  <c r="H37" i="145"/>
  <c r="H64" i="145" s="1"/>
  <c r="H32" i="145"/>
  <c r="H59" i="145" s="1"/>
  <c r="B38" i="145"/>
  <c r="E38" i="145" s="1"/>
  <c r="I10" i="145"/>
  <c r="F34" i="145"/>
  <c r="L4" i="145"/>
  <c r="AN5" i="2" s="1"/>
  <c r="I34" i="145"/>
  <c r="G59" i="145"/>
  <c r="F64" i="145"/>
  <c r="D59" i="145"/>
  <c r="C64" i="145"/>
  <c r="G64" i="145"/>
  <c r="H60" i="145"/>
  <c r="I41" i="145"/>
  <c r="I32" i="145"/>
  <c r="G34" i="145"/>
  <c r="J41" i="145"/>
  <c r="H68" i="145" s="1"/>
  <c r="F45" i="145"/>
  <c r="F72" i="145" s="1"/>
  <c r="K4" i="145"/>
  <c r="AO5" i="2" s="1"/>
  <c r="K8" i="145"/>
  <c r="AO9" i="2" s="1"/>
  <c r="L10" i="145"/>
  <c r="AN11" i="2" s="1"/>
  <c r="L16" i="145"/>
  <c r="AN16" i="2" s="1"/>
  <c r="J23" i="145"/>
  <c r="C30" i="145"/>
  <c r="H34" i="145"/>
  <c r="G45" i="145"/>
  <c r="C51" i="145"/>
  <c r="D30" i="145"/>
  <c r="E30" i="145"/>
  <c r="C33" i="145"/>
  <c r="J34" i="145"/>
  <c r="E61" i="145" s="1"/>
  <c r="I45" i="145"/>
  <c r="K13" i="145"/>
  <c r="AO13" i="2" s="1"/>
  <c r="L21" i="145"/>
  <c r="AN20" i="2" s="1"/>
  <c r="F30" i="145"/>
  <c r="D33" i="145"/>
  <c r="K5" i="145"/>
  <c r="AO6" i="2" s="1"/>
  <c r="K9" i="145"/>
  <c r="AO10" i="2" s="1"/>
  <c r="L13" i="145"/>
  <c r="AN13" i="2" s="1"/>
  <c r="G30" i="145"/>
  <c r="E33" i="145"/>
  <c r="C35" i="145"/>
  <c r="F42" i="145"/>
  <c r="F69" i="145" s="1"/>
  <c r="D44" i="145"/>
  <c r="D71" i="145" s="1"/>
  <c r="B46" i="145"/>
  <c r="F46" i="145" s="1"/>
  <c r="G51" i="145"/>
  <c r="L5" i="145"/>
  <c r="AN6" i="2" s="1"/>
  <c r="L9" i="145"/>
  <c r="AN10" i="2" s="1"/>
  <c r="H30" i="145"/>
  <c r="F33" i="145"/>
  <c r="D35" i="145"/>
  <c r="G42" i="145"/>
  <c r="G69" i="145" s="1"/>
  <c r="E44" i="145"/>
  <c r="E71" i="145" s="1"/>
  <c r="K22" i="145"/>
  <c r="AO21" i="2" s="1"/>
  <c r="G33" i="145"/>
  <c r="E35" i="145"/>
  <c r="F44" i="145"/>
  <c r="F71" i="145" s="1"/>
  <c r="K14" i="145"/>
  <c r="AO14" i="2" s="1"/>
  <c r="F35" i="145"/>
  <c r="D37" i="145"/>
  <c r="D64" i="145" s="1"/>
  <c r="G44" i="145"/>
  <c r="G71" i="145" s="1"/>
  <c r="C50" i="145"/>
  <c r="L14" i="145"/>
  <c r="AN14" i="2" s="1"/>
  <c r="G35" i="145"/>
  <c r="E37" i="145"/>
  <c r="E64" i="145" s="1"/>
  <c r="C41" i="145"/>
  <c r="D50" i="145"/>
  <c r="C32" i="145"/>
  <c r="C59" i="145" s="1"/>
  <c r="D41" i="145"/>
  <c r="I35" i="145"/>
  <c r="C34" i="145"/>
  <c r="J35" i="145"/>
  <c r="H62" i="145" s="1"/>
  <c r="D34" i="145"/>
  <c r="C45" i="145"/>
  <c r="C49" i="144"/>
  <c r="L22" i="144"/>
  <c r="AL21" i="2" s="1"/>
  <c r="D49" i="144"/>
  <c r="B51" i="144"/>
  <c r="J51" i="144" s="1"/>
  <c r="G51" i="144"/>
  <c r="G78" i="144" s="1"/>
  <c r="E49" i="144"/>
  <c r="E77" i="144"/>
  <c r="F49" i="144"/>
  <c r="I49" i="144"/>
  <c r="D51" i="144"/>
  <c r="D78" i="144" s="1"/>
  <c r="G49" i="144"/>
  <c r="H51" i="144"/>
  <c r="H78" i="144" s="1"/>
  <c r="J49" i="144"/>
  <c r="H76" i="144" s="1"/>
  <c r="E51" i="144"/>
  <c r="E78" i="144" s="1"/>
  <c r="G25" i="144"/>
  <c r="AF10" i="3" s="1"/>
  <c r="F51" i="144"/>
  <c r="F78" i="144" s="1"/>
  <c r="C50" i="144"/>
  <c r="K16" i="144"/>
  <c r="AM16" i="2" s="1"/>
  <c r="G45" i="144"/>
  <c r="H71" i="144"/>
  <c r="H72" i="144"/>
  <c r="I18" i="144"/>
  <c r="L17" i="144"/>
  <c r="AL17" i="2" s="1"/>
  <c r="J18" i="144"/>
  <c r="L18" i="144" s="1"/>
  <c r="AL18" i="2" s="1"/>
  <c r="B25" i="144"/>
  <c r="AF24" i="16" s="1"/>
  <c r="C45" i="144"/>
  <c r="L15" i="144"/>
  <c r="AL15" i="2" s="1"/>
  <c r="D45" i="144"/>
  <c r="H43" i="144"/>
  <c r="E45" i="144"/>
  <c r="I43" i="144"/>
  <c r="K8" i="144"/>
  <c r="AM9" i="2" s="1"/>
  <c r="I33" i="144"/>
  <c r="E35" i="144"/>
  <c r="E62" i="144" s="1"/>
  <c r="G36" i="144"/>
  <c r="G63" i="144" s="1"/>
  <c r="K6" i="144"/>
  <c r="AM7" i="2" s="1"/>
  <c r="D61" i="144"/>
  <c r="F35" i="144"/>
  <c r="F62" i="144" s="1"/>
  <c r="H36" i="144"/>
  <c r="H63" i="144" s="1"/>
  <c r="G35" i="144"/>
  <c r="H62" i="144"/>
  <c r="K9" i="144"/>
  <c r="AM10" i="2" s="1"/>
  <c r="G34" i="144"/>
  <c r="C37" i="144"/>
  <c r="I10" i="144"/>
  <c r="K10" i="144" s="1"/>
  <c r="AM11" i="2" s="1"/>
  <c r="D36" i="144"/>
  <c r="D63" i="144" s="1"/>
  <c r="E64" i="144"/>
  <c r="F23" i="142"/>
  <c r="G39" i="18" s="1"/>
  <c r="G131" i="18" s="1"/>
  <c r="G43" i="142"/>
  <c r="I44" i="142"/>
  <c r="B67" i="142"/>
  <c r="C44" i="142"/>
  <c r="I45" i="142"/>
  <c r="E44" i="142"/>
  <c r="E68" i="142" s="1"/>
  <c r="J45" i="142"/>
  <c r="F44" i="142"/>
  <c r="G44" i="142"/>
  <c r="H44" i="142"/>
  <c r="J64" i="142"/>
  <c r="AK15" i="17"/>
  <c r="C40" i="142"/>
  <c r="C64" i="142" s="1"/>
  <c r="B62" i="142"/>
  <c r="K17" i="142"/>
  <c r="D40" i="142"/>
  <c r="D64" i="142" s="1"/>
  <c r="AK17" i="17"/>
  <c r="K36" i="142"/>
  <c r="J60" i="142" s="1"/>
  <c r="E39" i="142"/>
  <c r="E40" i="142"/>
  <c r="E64" i="142" s="1"/>
  <c r="F39" i="142"/>
  <c r="F40" i="142"/>
  <c r="C36" i="142"/>
  <c r="C60" i="142" s="1"/>
  <c r="I37" i="142"/>
  <c r="I61" i="142" s="1"/>
  <c r="G39" i="142"/>
  <c r="G63" i="142" s="1"/>
  <c r="G40" i="142"/>
  <c r="H131" i="18"/>
  <c r="D60" i="142"/>
  <c r="F62" i="142"/>
  <c r="I40" i="142"/>
  <c r="I64" i="142" s="1"/>
  <c r="AK8" i="17"/>
  <c r="K131" i="18"/>
  <c r="E23" i="142"/>
  <c r="F39" i="18" s="1"/>
  <c r="F131" i="18" s="1"/>
  <c r="E30" i="142"/>
  <c r="E55" i="142"/>
  <c r="F57" i="142"/>
  <c r="I28" i="142"/>
  <c r="AK10" i="17"/>
  <c r="H30" i="142"/>
  <c r="H31" i="142"/>
  <c r="H55" i="142" s="1"/>
  <c r="D23" i="142"/>
  <c r="E39" i="18" s="1"/>
  <c r="E131" i="18" s="1"/>
  <c r="G29" i="142"/>
  <c r="I30" i="142"/>
  <c r="I31" i="142"/>
  <c r="I55" i="142" s="1"/>
  <c r="J55" i="142"/>
  <c r="K28" i="142"/>
  <c r="C23" i="142"/>
  <c r="D39" i="18" s="1"/>
  <c r="D131" i="18" s="1"/>
  <c r="C55" i="142"/>
  <c r="H56" i="142"/>
  <c r="K10" i="142"/>
  <c r="C30" i="142"/>
  <c r="D55" i="142"/>
  <c r="I32" i="142"/>
  <c r="I56" i="142" s="1"/>
  <c r="C69" i="141"/>
  <c r="H44" i="141"/>
  <c r="C44" i="141"/>
  <c r="D44" i="141"/>
  <c r="H65" i="141"/>
  <c r="F64" i="141"/>
  <c r="G64" i="141"/>
  <c r="E40" i="141"/>
  <c r="E66" i="141" s="1"/>
  <c r="D39" i="141"/>
  <c r="D65" i="141" s="1"/>
  <c r="G40" i="141"/>
  <c r="G66" i="141" s="1"/>
  <c r="C36" i="141"/>
  <c r="C62" i="141" s="1"/>
  <c r="C38" i="141"/>
  <c r="C64" i="141" s="1"/>
  <c r="E39" i="141"/>
  <c r="E65" i="141" s="1"/>
  <c r="D36" i="141"/>
  <c r="D62" i="141" s="1"/>
  <c r="D38" i="141"/>
  <c r="D64" i="141" s="1"/>
  <c r="F39" i="141"/>
  <c r="F65" i="141" s="1"/>
  <c r="E36" i="141"/>
  <c r="E62" i="141" s="1"/>
  <c r="E38" i="141"/>
  <c r="E64" i="141" s="1"/>
  <c r="G39" i="141"/>
  <c r="G65" i="141" s="1"/>
  <c r="C65" i="141"/>
  <c r="C41" i="141"/>
  <c r="D66" i="141"/>
  <c r="D34" i="141"/>
  <c r="E34" i="141"/>
  <c r="C34" i="141"/>
  <c r="C54" i="141"/>
  <c r="D57" i="141"/>
  <c r="F34" i="141"/>
  <c r="F60" i="141" s="1"/>
  <c r="D28" i="141"/>
  <c r="D54" i="141" s="1"/>
  <c r="E31" i="141"/>
  <c r="E57" i="141" s="1"/>
  <c r="C56" i="141"/>
  <c r="H10" i="141"/>
  <c r="H34" i="141" s="1"/>
  <c r="H60" i="141" s="1"/>
  <c r="D23" i="141"/>
  <c r="E81" i="18" s="1"/>
  <c r="F28" i="141"/>
  <c r="F54" i="141" s="1"/>
  <c r="D30" i="141"/>
  <c r="D56" i="141" s="1"/>
  <c r="G31" i="141"/>
  <c r="G57" i="141" s="1"/>
  <c r="E23" i="141"/>
  <c r="F81" i="18" s="1"/>
  <c r="E30" i="141"/>
  <c r="B60" i="141"/>
  <c r="E56" i="141"/>
  <c r="G34" i="141"/>
  <c r="C55" i="141"/>
  <c r="F30" i="141"/>
  <c r="F56" i="141" s="1"/>
  <c r="G23" i="141"/>
  <c r="H81" i="18" s="1"/>
  <c r="G30" i="141"/>
  <c r="G56" i="141" s="1"/>
  <c r="F51" i="142"/>
  <c r="G51" i="142"/>
  <c r="C30" i="144"/>
  <c r="H30" i="144"/>
  <c r="F38" i="144"/>
  <c r="F72" i="144"/>
  <c r="F60" i="144"/>
  <c r="C62" i="144"/>
  <c r="F64" i="144"/>
  <c r="E71" i="144"/>
  <c r="G72" i="144"/>
  <c r="H77" i="144"/>
  <c r="E60" i="144"/>
  <c r="G76" i="144"/>
  <c r="H60" i="144"/>
  <c r="D62" i="144"/>
  <c r="F63" i="144"/>
  <c r="G64" i="144"/>
  <c r="G71" i="144"/>
  <c r="C77" i="144"/>
  <c r="G69" i="144"/>
  <c r="C76" i="144"/>
  <c r="K18" i="144"/>
  <c r="AM18" i="2" s="1"/>
  <c r="E61" i="144"/>
  <c r="G62" i="144"/>
  <c r="H64" i="144"/>
  <c r="C72" i="144"/>
  <c r="D76" i="144"/>
  <c r="G61" i="144"/>
  <c r="C64" i="144"/>
  <c r="F70" i="144"/>
  <c r="D72" i="144"/>
  <c r="E76" i="144"/>
  <c r="H61" i="144"/>
  <c r="C63" i="144"/>
  <c r="D64" i="144"/>
  <c r="H70" i="144"/>
  <c r="E72" i="144"/>
  <c r="F76" i="144"/>
  <c r="D25" i="144"/>
  <c r="AF7" i="3" s="1"/>
  <c r="G32" i="144"/>
  <c r="J10" i="144"/>
  <c r="E25" i="144"/>
  <c r="AF8" i="3" s="1"/>
  <c r="H32" i="144"/>
  <c r="G33" i="144"/>
  <c r="G60" i="144" s="1"/>
  <c r="F34" i="144"/>
  <c r="F61" i="144" s="1"/>
  <c r="B38" i="144"/>
  <c r="I41" i="144"/>
  <c r="H42" i="144"/>
  <c r="G43" i="144"/>
  <c r="G70" i="144" s="1"/>
  <c r="F44" i="144"/>
  <c r="F71" i="144" s="1"/>
  <c r="I51" i="144"/>
  <c r="G58" i="144"/>
  <c r="J32" i="144"/>
  <c r="F59" i="144" s="1"/>
  <c r="C41" i="144"/>
  <c r="C51" i="144"/>
  <c r="C78" i="144" s="1"/>
  <c r="L6" i="144"/>
  <c r="AL7" i="2" s="1"/>
  <c r="L8" i="144"/>
  <c r="AL9" i="2" s="1"/>
  <c r="D30" i="144"/>
  <c r="C32" i="144"/>
  <c r="D41" i="144"/>
  <c r="C42" i="144"/>
  <c r="J41" i="144"/>
  <c r="H68" i="144" s="1"/>
  <c r="K21" i="144"/>
  <c r="AM20" i="2" s="1"/>
  <c r="E30" i="144"/>
  <c r="D32" i="144"/>
  <c r="C33" i="144"/>
  <c r="C60" i="144" s="1"/>
  <c r="E41" i="144"/>
  <c r="D42" i="144"/>
  <c r="D69" i="144" s="1"/>
  <c r="C43" i="144"/>
  <c r="C70" i="144" s="1"/>
  <c r="I45" i="144"/>
  <c r="F50" i="144"/>
  <c r="F77" i="144" s="1"/>
  <c r="J42" i="144"/>
  <c r="K13" i="144"/>
  <c r="AM13" i="2" s="1"/>
  <c r="L21" i="144"/>
  <c r="AL20" i="2" s="1"/>
  <c r="F30" i="144"/>
  <c r="E32" i="144"/>
  <c r="E59" i="144" s="1"/>
  <c r="D33" i="144"/>
  <c r="D60" i="144" s="1"/>
  <c r="C34" i="144"/>
  <c r="C61" i="144" s="1"/>
  <c r="F41" i="144"/>
  <c r="E42" i="144"/>
  <c r="E69" i="144" s="1"/>
  <c r="D43" i="144"/>
  <c r="D70" i="144" s="1"/>
  <c r="C44" i="144"/>
  <c r="C71" i="144" s="1"/>
  <c r="G50" i="144"/>
  <c r="G77" i="144" s="1"/>
  <c r="C38" i="144"/>
  <c r="G41" i="144"/>
  <c r="F42" i="144"/>
  <c r="E43" i="144"/>
  <c r="E70" i="144" s="1"/>
  <c r="D44" i="144"/>
  <c r="D71" i="144" s="1"/>
  <c r="B46" i="144"/>
  <c r="D46" i="144" s="1"/>
  <c r="F68" i="142"/>
  <c r="D54" i="142"/>
  <c r="G62" i="142"/>
  <c r="G68" i="142"/>
  <c r="K54" i="142"/>
  <c r="H54" i="142"/>
  <c r="C54" i="142"/>
  <c r="I54" i="142"/>
  <c r="K63" i="142"/>
  <c r="C63" i="142"/>
  <c r="I63" i="142"/>
  <c r="H63" i="142"/>
  <c r="E54" i="142"/>
  <c r="D63" i="142"/>
  <c r="D45" i="142"/>
  <c r="C45" i="142"/>
  <c r="F45" i="142"/>
  <c r="H52" i="142"/>
  <c r="F54" i="142"/>
  <c r="G57" i="142"/>
  <c r="G45" i="142"/>
  <c r="I52" i="142"/>
  <c r="G54" i="142"/>
  <c r="H57" i="142"/>
  <c r="E63" i="142"/>
  <c r="D68" i="142"/>
  <c r="K68" i="142"/>
  <c r="H68" i="142"/>
  <c r="I68" i="142"/>
  <c r="C68" i="142"/>
  <c r="K34" i="142"/>
  <c r="H62" i="142"/>
  <c r="K45" i="142"/>
  <c r="H45" i="142"/>
  <c r="H69" i="142" s="1"/>
  <c r="H61" i="142"/>
  <c r="F63" i="142"/>
  <c r="H23" i="142"/>
  <c r="I39" i="18" s="1"/>
  <c r="I131" i="18" s="1"/>
  <c r="E27" i="142"/>
  <c r="C28" i="142"/>
  <c r="I29" i="142"/>
  <c r="C32" i="142"/>
  <c r="C56" i="142" s="1"/>
  <c r="I33" i="142"/>
  <c r="I57" i="142" s="1"/>
  <c r="C37" i="142"/>
  <c r="C61" i="142" s="1"/>
  <c r="I38" i="142"/>
  <c r="I62" i="142" s="1"/>
  <c r="I43" i="142"/>
  <c r="E45" i="142"/>
  <c r="H51" i="142"/>
  <c r="B63" i="142"/>
  <c r="B68" i="142"/>
  <c r="B69" i="142" s="1"/>
  <c r="F55" i="142"/>
  <c r="G60" i="142"/>
  <c r="G64" i="142"/>
  <c r="I23" i="142"/>
  <c r="J39" i="18" s="1"/>
  <c r="J131" i="18" s="1"/>
  <c r="K27" i="142"/>
  <c r="J28" i="142"/>
  <c r="J52" i="142" s="1"/>
  <c r="G55" i="142"/>
  <c r="J29" i="142"/>
  <c r="D32" i="142"/>
  <c r="D56" i="142" s="1"/>
  <c r="J38" i="142"/>
  <c r="J62" i="142" s="1"/>
  <c r="I51" i="142"/>
  <c r="I60" i="142"/>
  <c r="E28" i="142"/>
  <c r="C29" i="142"/>
  <c r="K29" i="142"/>
  <c r="E32" i="142"/>
  <c r="E56" i="142" s="1"/>
  <c r="C33" i="142"/>
  <c r="C57" i="142" s="1"/>
  <c r="E37" i="142"/>
  <c r="E61" i="142" s="1"/>
  <c r="C38" i="142"/>
  <c r="C62" i="142" s="1"/>
  <c r="C43" i="142"/>
  <c r="K43" i="142"/>
  <c r="B51" i="142"/>
  <c r="J51" i="142"/>
  <c r="B60" i="142"/>
  <c r="B64" i="142"/>
  <c r="F60" i="142"/>
  <c r="F64" i="142"/>
  <c r="J37" i="142"/>
  <c r="J61" i="142" s="1"/>
  <c r="D28" i="142"/>
  <c r="J43" i="142"/>
  <c r="F28" i="142"/>
  <c r="D29" i="142"/>
  <c r="D53" i="142" s="1"/>
  <c r="J30" i="142"/>
  <c r="J54" i="142" s="1"/>
  <c r="F32" i="142"/>
  <c r="F56" i="142" s="1"/>
  <c r="D33" i="142"/>
  <c r="D57" i="142" s="1"/>
  <c r="B34" i="142"/>
  <c r="D34" i="142" s="1"/>
  <c r="H36" i="142"/>
  <c r="H60" i="142" s="1"/>
  <c r="F37" i="142"/>
  <c r="F61" i="142" s="1"/>
  <c r="D38" i="142"/>
  <c r="D62" i="142" s="1"/>
  <c r="J39" i="142"/>
  <c r="J63" i="142" s="1"/>
  <c r="H40" i="142"/>
  <c r="H64" i="142" s="1"/>
  <c r="D43" i="142"/>
  <c r="J44" i="142"/>
  <c r="J68" i="142" s="1"/>
  <c r="C51" i="142"/>
  <c r="K55" i="142"/>
  <c r="G28" i="142"/>
  <c r="G52" i="142" s="1"/>
  <c r="E29" i="142"/>
  <c r="G32" i="142"/>
  <c r="G56" i="142" s="1"/>
  <c r="E33" i="142"/>
  <c r="E57" i="142" s="1"/>
  <c r="G37" i="142"/>
  <c r="G61" i="142" s="1"/>
  <c r="E38" i="142"/>
  <c r="E62" i="142" s="1"/>
  <c r="E43" i="142"/>
  <c r="E67" i="142" s="1"/>
  <c r="D51" i="142"/>
  <c r="B61" i="142"/>
  <c r="J32" i="142"/>
  <c r="J56" i="142" s="1"/>
  <c r="B41" i="142"/>
  <c r="H41" i="142" s="1"/>
  <c r="J33" i="142"/>
  <c r="J57" i="142" s="1"/>
  <c r="D37" i="142"/>
  <c r="D61" i="142" s="1"/>
  <c r="F43" i="142"/>
  <c r="C27" i="141"/>
  <c r="C63" i="141"/>
  <c r="H70" i="141"/>
  <c r="D70" i="141"/>
  <c r="H54" i="141"/>
  <c r="C59" i="141"/>
  <c r="D63" i="141"/>
  <c r="C70" i="141"/>
  <c r="E55" i="141"/>
  <c r="E63" i="141"/>
  <c r="F63" i="141"/>
  <c r="H63" i="141"/>
  <c r="E45" i="141"/>
  <c r="D45" i="141"/>
  <c r="G45" i="141"/>
  <c r="F45" i="141"/>
  <c r="F55" i="141"/>
  <c r="C60" i="141"/>
  <c r="H62" i="141"/>
  <c r="C45" i="141"/>
  <c r="G62" i="141"/>
  <c r="H55" i="141"/>
  <c r="D55" i="141"/>
  <c r="G55" i="141"/>
  <c r="E54" i="141"/>
  <c r="D27" i="141"/>
  <c r="F27" i="141"/>
  <c r="G28" i="141"/>
  <c r="G54" i="141" s="1"/>
  <c r="C32" i="141"/>
  <c r="C58" i="141" s="1"/>
  <c r="D33" i="141"/>
  <c r="D59" i="141" s="1"/>
  <c r="F36" i="141"/>
  <c r="F62" i="141" s="1"/>
  <c r="G37" i="141"/>
  <c r="G63" i="141" s="1"/>
  <c r="D43" i="141"/>
  <c r="D69" i="141" s="1"/>
  <c r="E44" i="141"/>
  <c r="E70" i="141" s="1"/>
  <c r="G53" i="141"/>
  <c r="C31" i="141"/>
  <c r="C57" i="141" s="1"/>
  <c r="D32" i="141"/>
  <c r="D58" i="141" s="1"/>
  <c r="E33" i="141"/>
  <c r="E59" i="141" s="1"/>
  <c r="C40" i="141"/>
  <c r="C66" i="141" s="1"/>
  <c r="D41" i="141"/>
  <c r="E43" i="141"/>
  <c r="E69" i="141" s="1"/>
  <c r="F44" i="141"/>
  <c r="F70" i="141" s="1"/>
  <c r="H53" i="141"/>
  <c r="E53" i="141"/>
  <c r="H17" i="141"/>
  <c r="H41" i="141" s="1"/>
  <c r="H67" i="141" s="1"/>
  <c r="E32" i="141"/>
  <c r="E58" i="141" s="1"/>
  <c r="F33" i="141"/>
  <c r="F59" i="141" s="1"/>
  <c r="E41" i="141"/>
  <c r="F43" i="141"/>
  <c r="F69" i="141" s="1"/>
  <c r="G44" i="141"/>
  <c r="G70" i="141" s="1"/>
  <c r="H21" i="141"/>
  <c r="F32" i="141"/>
  <c r="F58" i="141" s="1"/>
  <c r="G33" i="141"/>
  <c r="G59" i="141" s="1"/>
  <c r="F41" i="141"/>
  <c r="G43" i="141"/>
  <c r="G69" i="141" s="1"/>
  <c r="B53" i="141"/>
  <c r="F57" i="141"/>
  <c r="F66" i="141"/>
  <c r="B71" i="141"/>
  <c r="B73" i="141" s="1"/>
  <c r="B23" i="141"/>
  <c r="C23" i="141"/>
  <c r="AJ6" i="17"/>
  <c r="K37" i="18"/>
  <c r="J37" i="18"/>
  <c r="I37" i="18"/>
  <c r="H37" i="18"/>
  <c r="G37" i="18"/>
  <c r="F37" i="18"/>
  <c r="E37" i="18"/>
  <c r="D37" i="18"/>
  <c r="B37" i="18"/>
  <c r="H79" i="18"/>
  <c r="G79" i="18"/>
  <c r="F79" i="18"/>
  <c r="E79" i="18"/>
  <c r="D79" i="18"/>
  <c r="B79" i="18"/>
  <c r="C16" i="136"/>
  <c r="C31" i="136"/>
  <c r="D46" i="136"/>
  <c r="G41" i="136"/>
  <c r="J38" i="136"/>
  <c r="J29" i="136"/>
  <c r="J8" i="136"/>
  <c r="G5" i="136"/>
  <c r="B57" i="139"/>
  <c r="B56" i="139"/>
  <c r="B55" i="139"/>
  <c r="B54" i="139"/>
  <c r="B53" i="139"/>
  <c r="B52" i="139"/>
  <c r="C50" i="139"/>
  <c r="B44" i="139"/>
  <c r="J44" i="139" s="1"/>
  <c r="I43" i="139"/>
  <c r="C43" i="139"/>
  <c r="B43" i="139"/>
  <c r="H43" i="139" s="1"/>
  <c r="B40" i="139"/>
  <c r="J40" i="139" s="1"/>
  <c r="B39" i="139"/>
  <c r="J39" i="139" s="1"/>
  <c r="B38" i="139"/>
  <c r="F38" i="139" s="1"/>
  <c r="B37" i="139"/>
  <c r="H37" i="139" s="1"/>
  <c r="B36" i="139"/>
  <c r="J36" i="139" s="1"/>
  <c r="B33" i="139"/>
  <c r="F33" i="139" s="1"/>
  <c r="B32" i="139"/>
  <c r="H32" i="139" s="1"/>
  <c r="E31" i="139"/>
  <c r="B31" i="139"/>
  <c r="J31" i="139" s="1"/>
  <c r="C30" i="139"/>
  <c r="B30" i="139"/>
  <c r="J30" i="139" s="1"/>
  <c r="B29" i="139"/>
  <c r="F29" i="139" s="1"/>
  <c r="B28" i="139"/>
  <c r="H28" i="139" s="1"/>
  <c r="B26" i="139"/>
  <c r="J21" i="139"/>
  <c r="I21" i="139"/>
  <c r="H21" i="139"/>
  <c r="G21" i="139"/>
  <c r="F21" i="139"/>
  <c r="E21" i="139"/>
  <c r="D21" i="139"/>
  <c r="C21" i="139"/>
  <c r="B21" i="139"/>
  <c r="K20" i="139"/>
  <c r="K19" i="139"/>
  <c r="K43" i="139" s="1"/>
  <c r="K67" i="139" s="1"/>
  <c r="K16" i="139"/>
  <c r="K15" i="139"/>
  <c r="K14" i="139"/>
  <c r="K13" i="139"/>
  <c r="K37" i="139" s="1"/>
  <c r="K61" i="139" s="1"/>
  <c r="K12" i="139"/>
  <c r="J10" i="139"/>
  <c r="I10" i="139"/>
  <c r="H10" i="139"/>
  <c r="G10" i="139"/>
  <c r="F10" i="139"/>
  <c r="E10" i="139"/>
  <c r="D10" i="139"/>
  <c r="C10" i="139"/>
  <c r="B10" i="139"/>
  <c r="K9" i="139"/>
  <c r="K8" i="139"/>
  <c r="K7" i="139"/>
  <c r="K31" i="139" s="1"/>
  <c r="AJ8" i="17" s="1"/>
  <c r="K6" i="139"/>
  <c r="K30" i="139" s="1"/>
  <c r="AJ7" i="17" s="1"/>
  <c r="K5" i="139"/>
  <c r="K29" i="139" s="1"/>
  <c r="K4" i="139"/>
  <c r="K3" i="139"/>
  <c r="K51" i="139" s="1"/>
  <c r="J3" i="139"/>
  <c r="J27" i="139" s="1"/>
  <c r="I3" i="139"/>
  <c r="I27" i="139" s="1"/>
  <c r="H3" i="139"/>
  <c r="H27" i="139" s="1"/>
  <c r="G3" i="139"/>
  <c r="G27" i="139" s="1"/>
  <c r="F3" i="139"/>
  <c r="F27" i="139" s="1"/>
  <c r="E3" i="139"/>
  <c r="E51" i="139" s="1"/>
  <c r="D3" i="139"/>
  <c r="D51" i="139" s="1"/>
  <c r="C3" i="139"/>
  <c r="C51" i="139" s="1"/>
  <c r="B3" i="139"/>
  <c r="B27" i="139" s="1"/>
  <c r="G70" i="146" l="1"/>
  <c r="F70" i="146"/>
  <c r="C70" i="146"/>
  <c r="G65" i="146"/>
  <c r="C64" i="146"/>
  <c r="F65" i="146"/>
  <c r="D66" i="146"/>
  <c r="F64" i="146"/>
  <c r="E65" i="146"/>
  <c r="D58" i="146"/>
  <c r="C58" i="146"/>
  <c r="D60" i="146"/>
  <c r="C60" i="146"/>
  <c r="G58" i="146"/>
  <c r="F54" i="146"/>
  <c r="C59" i="146"/>
  <c r="E46" i="145"/>
  <c r="H70" i="145"/>
  <c r="I46" i="145"/>
  <c r="G38" i="145"/>
  <c r="D60" i="145"/>
  <c r="F60" i="145"/>
  <c r="F61" i="145"/>
  <c r="D69" i="146"/>
  <c r="G69" i="146"/>
  <c r="F69" i="146"/>
  <c r="E69" i="146"/>
  <c r="G64" i="146"/>
  <c r="E59" i="146"/>
  <c r="G60" i="146"/>
  <c r="F82" i="18"/>
  <c r="I82" i="18" s="1"/>
  <c r="B47" i="146"/>
  <c r="E47" i="146" s="1"/>
  <c r="B82" i="18"/>
  <c r="E174" i="18" s="1"/>
  <c r="F60" i="146"/>
  <c r="F58" i="146"/>
  <c r="C77" i="145"/>
  <c r="F77" i="145"/>
  <c r="D70" i="145"/>
  <c r="K18" i="145"/>
  <c r="AO18" i="2" s="1"/>
  <c r="E72" i="145"/>
  <c r="I25" i="145"/>
  <c r="K25" i="145" s="1"/>
  <c r="AO24" i="2" s="1"/>
  <c r="F38" i="145"/>
  <c r="C38" i="145"/>
  <c r="C60" i="145"/>
  <c r="H38" i="145"/>
  <c r="D61" i="145"/>
  <c r="E60" i="145"/>
  <c r="H63" i="145"/>
  <c r="G60" i="145"/>
  <c r="K10" i="145"/>
  <c r="AO11" i="2" s="1"/>
  <c r="H61" i="145"/>
  <c r="I38" i="145"/>
  <c r="H64" i="146"/>
  <c r="E64" i="146"/>
  <c r="G67" i="146"/>
  <c r="D64" i="146"/>
  <c r="B73" i="146"/>
  <c r="D71" i="146"/>
  <c r="H54" i="146"/>
  <c r="G54" i="146"/>
  <c r="E54" i="146"/>
  <c r="F45" i="146"/>
  <c r="D54" i="146"/>
  <c r="E45" i="146"/>
  <c r="C45" i="146"/>
  <c r="H45" i="146"/>
  <c r="H71" i="146" s="1"/>
  <c r="H23" i="146"/>
  <c r="G45" i="146"/>
  <c r="H77" i="145"/>
  <c r="G76" i="145"/>
  <c r="C76" i="145"/>
  <c r="D77" i="145"/>
  <c r="G77" i="145"/>
  <c r="C68" i="145"/>
  <c r="C72" i="145"/>
  <c r="C70" i="145"/>
  <c r="G72" i="145"/>
  <c r="D46" i="145"/>
  <c r="G70" i="145"/>
  <c r="G68" i="145"/>
  <c r="E70" i="145"/>
  <c r="F68" i="145"/>
  <c r="F70" i="145"/>
  <c r="H72" i="145"/>
  <c r="G61" i="145"/>
  <c r="J38" i="145"/>
  <c r="E65" i="145" s="1"/>
  <c r="C61" i="145"/>
  <c r="D38" i="145"/>
  <c r="E73" i="145"/>
  <c r="E68" i="145"/>
  <c r="C62" i="145"/>
  <c r="E62" i="145"/>
  <c r="D68" i="145"/>
  <c r="D62" i="145"/>
  <c r="J51" i="145"/>
  <c r="C78" i="145" s="1"/>
  <c r="L23" i="145"/>
  <c r="AN22" i="2" s="1"/>
  <c r="C46" i="145"/>
  <c r="H46" i="145"/>
  <c r="G62" i="145"/>
  <c r="G46" i="145"/>
  <c r="J46" i="145"/>
  <c r="F73" i="145" s="1"/>
  <c r="F62" i="145"/>
  <c r="B53" i="145"/>
  <c r="I53" i="145" s="1"/>
  <c r="J25" i="145"/>
  <c r="AG13" i="3" s="1"/>
  <c r="AG23" i="3" s="1"/>
  <c r="F68" i="144"/>
  <c r="D59" i="144"/>
  <c r="H59" i="144"/>
  <c r="I25" i="144"/>
  <c r="K25" i="144" s="1"/>
  <c r="AM24" i="2" s="1"/>
  <c r="G59" i="144"/>
  <c r="C59" i="144"/>
  <c r="I38" i="144"/>
  <c r="K69" i="142"/>
  <c r="AK22" i="17"/>
  <c r="J67" i="142"/>
  <c r="K67" i="142"/>
  <c r="AK20" i="17"/>
  <c r="C69" i="142"/>
  <c r="D69" i="142"/>
  <c r="H67" i="142"/>
  <c r="K23" i="142"/>
  <c r="K60" i="142"/>
  <c r="AK13" i="17"/>
  <c r="E60" i="142"/>
  <c r="L39" i="18"/>
  <c r="K52" i="142"/>
  <c r="AK5" i="17"/>
  <c r="K58" i="142"/>
  <c r="AK11" i="17"/>
  <c r="F52" i="142"/>
  <c r="K53" i="142"/>
  <c r="AK6" i="17"/>
  <c r="D52" i="142"/>
  <c r="E52" i="142"/>
  <c r="C52" i="142"/>
  <c r="D58" i="142"/>
  <c r="I34" i="142"/>
  <c r="I58" i="142" s="1"/>
  <c r="G60" i="141"/>
  <c r="E60" i="141"/>
  <c r="D60" i="141"/>
  <c r="B47" i="141"/>
  <c r="C47" i="141" s="1"/>
  <c r="B81" i="18"/>
  <c r="D81" i="18"/>
  <c r="F69" i="144"/>
  <c r="H69" i="144"/>
  <c r="H46" i="144"/>
  <c r="H38" i="144"/>
  <c r="J25" i="144"/>
  <c r="AF13" i="3" s="1"/>
  <c r="L10" i="144"/>
  <c r="AL11" i="2" s="1"/>
  <c r="J38" i="144"/>
  <c r="F65" i="144" s="1"/>
  <c r="G68" i="144"/>
  <c r="B53" i="144"/>
  <c r="D53" i="144" s="1"/>
  <c r="C46" i="144"/>
  <c r="C73" i="144" s="1"/>
  <c r="G38" i="144"/>
  <c r="C68" i="144"/>
  <c r="D38" i="144"/>
  <c r="E68" i="144"/>
  <c r="C69" i="144"/>
  <c r="G46" i="144"/>
  <c r="E38" i="144"/>
  <c r="J46" i="144"/>
  <c r="D73" i="144" s="1"/>
  <c r="D68" i="144"/>
  <c r="I46" i="144"/>
  <c r="F46" i="144"/>
  <c r="E46" i="144"/>
  <c r="E53" i="142"/>
  <c r="B65" i="142"/>
  <c r="J53" i="142"/>
  <c r="G41" i="142"/>
  <c r="G65" i="142" s="1"/>
  <c r="J41" i="142"/>
  <c r="I41" i="142"/>
  <c r="H53" i="142"/>
  <c r="D41" i="142"/>
  <c r="C53" i="142"/>
  <c r="I53" i="142"/>
  <c r="C34" i="142"/>
  <c r="C58" i="142" s="1"/>
  <c r="E41" i="142"/>
  <c r="E65" i="142" s="1"/>
  <c r="G53" i="142"/>
  <c r="F34" i="142"/>
  <c r="F58" i="142" s="1"/>
  <c r="E34" i="142"/>
  <c r="E58" i="142" s="1"/>
  <c r="H34" i="142"/>
  <c r="H58" i="142" s="1"/>
  <c r="G34" i="142"/>
  <c r="G58" i="142" s="1"/>
  <c r="J34" i="142"/>
  <c r="J58" i="142" s="1"/>
  <c r="F41" i="142"/>
  <c r="F67" i="142"/>
  <c r="C67" i="142"/>
  <c r="E69" i="142"/>
  <c r="B47" i="142"/>
  <c r="K47" i="142" s="1"/>
  <c r="G67" i="142"/>
  <c r="J69" i="142"/>
  <c r="B71" i="142"/>
  <c r="F53" i="142"/>
  <c r="K41" i="142"/>
  <c r="D67" i="142"/>
  <c r="I67" i="142"/>
  <c r="C41" i="142"/>
  <c r="G69" i="142"/>
  <c r="F69" i="142"/>
  <c r="I69" i="142"/>
  <c r="E67" i="141"/>
  <c r="F67" i="141"/>
  <c r="C67" i="141"/>
  <c r="H45" i="141"/>
  <c r="H71" i="141" s="1"/>
  <c r="H23" i="141"/>
  <c r="G67" i="141"/>
  <c r="D67" i="141"/>
  <c r="AJ20" i="17"/>
  <c r="K40" i="139"/>
  <c r="AJ17" i="17" s="1"/>
  <c r="K38" i="139"/>
  <c r="K62" i="139" s="1"/>
  <c r="G39" i="139"/>
  <c r="AJ14" i="17"/>
  <c r="AJ15" i="17"/>
  <c r="G40" i="139"/>
  <c r="G64" i="139" s="1"/>
  <c r="E36" i="139"/>
  <c r="E60" i="139" s="1"/>
  <c r="H38" i="139"/>
  <c r="H62" i="139" s="1"/>
  <c r="F30" i="139"/>
  <c r="D23" i="139"/>
  <c r="E38" i="18" s="1"/>
  <c r="C29" i="139"/>
  <c r="E29" i="139"/>
  <c r="E53" i="139" s="1"/>
  <c r="I29" i="139"/>
  <c r="B58" i="139"/>
  <c r="C67" i="139"/>
  <c r="K44" i="139"/>
  <c r="AJ21" i="17" s="1"/>
  <c r="B45" i="139"/>
  <c r="D44" i="139"/>
  <c r="E44" i="139"/>
  <c r="E43" i="139"/>
  <c r="E67" i="139" s="1"/>
  <c r="F44" i="139"/>
  <c r="F68" i="139" s="1"/>
  <c r="H67" i="139"/>
  <c r="G44" i="139"/>
  <c r="G68" i="139" s="1"/>
  <c r="H44" i="139"/>
  <c r="H23" i="139"/>
  <c r="I38" i="18" s="1"/>
  <c r="I67" i="139"/>
  <c r="I44" i="139"/>
  <c r="H45" i="139"/>
  <c r="C44" i="139"/>
  <c r="C68" i="139" s="1"/>
  <c r="B68" i="139"/>
  <c r="C36" i="139"/>
  <c r="D36" i="139"/>
  <c r="E38" i="139"/>
  <c r="E62" i="139" s="1"/>
  <c r="F39" i="139"/>
  <c r="F40" i="139"/>
  <c r="F64" i="139" s="1"/>
  <c r="B60" i="139"/>
  <c r="K39" i="139"/>
  <c r="K63" i="139" s="1"/>
  <c r="F36" i="139"/>
  <c r="I38" i="139"/>
  <c r="I62" i="139" s="1"/>
  <c r="H39" i="139"/>
  <c r="H63" i="139" s="1"/>
  <c r="I40" i="139"/>
  <c r="I64" i="139" s="1"/>
  <c r="G36" i="139"/>
  <c r="I39" i="139"/>
  <c r="B63" i="139"/>
  <c r="G23" i="139"/>
  <c r="H38" i="18" s="1"/>
  <c r="B64" i="139"/>
  <c r="I36" i="139"/>
  <c r="J64" i="139"/>
  <c r="C39" i="139"/>
  <c r="C40" i="139"/>
  <c r="C64" i="139" s="1"/>
  <c r="F62" i="139"/>
  <c r="D39" i="139"/>
  <c r="D40" i="139"/>
  <c r="D64" i="139" s="1"/>
  <c r="K17" i="139"/>
  <c r="C38" i="139"/>
  <c r="C62" i="139" s="1"/>
  <c r="E39" i="139"/>
  <c r="E40" i="139"/>
  <c r="E64" i="139" s="1"/>
  <c r="C54" i="139"/>
  <c r="J28" i="139"/>
  <c r="J52" i="139" s="1"/>
  <c r="D30" i="139"/>
  <c r="D54" i="139" s="1"/>
  <c r="C31" i="139"/>
  <c r="C55" i="139" s="1"/>
  <c r="C33" i="139"/>
  <c r="K33" i="139"/>
  <c r="F53" i="139"/>
  <c r="E30" i="139"/>
  <c r="E54" i="139" s="1"/>
  <c r="D31" i="139"/>
  <c r="D55" i="139" s="1"/>
  <c r="E33" i="139"/>
  <c r="E55" i="139"/>
  <c r="H33" i="139"/>
  <c r="G30" i="139"/>
  <c r="G54" i="139" s="1"/>
  <c r="I33" i="139"/>
  <c r="F54" i="139"/>
  <c r="B23" i="139"/>
  <c r="B38" i="18" s="1"/>
  <c r="F31" i="139"/>
  <c r="F55" i="139" s="1"/>
  <c r="K28" i="139"/>
  <c r="C23" i="139"/>
  <c r="D38" i="18" s="1"/>
  <c r="H29" i="139"/>
  <c r="H53" i="139" s="1"/>
  <c r="H30" i="139"/>
  <c r="H54" i="139" s="1"/>
  <c r="G31" i="139"/>
  <c r="G55" i="139" s="1"/>
  <c r="I30" i="139"/>
  <c r="I54" i="139" s="1"/>
  <c r="I31" i="139"/>
  <c r="I55" i="139" s="1"/>
  <c r="E23" i="139"/>
  <c r="F38" i="18" s="1"/>
  <c r="J54" i="139"/>
  <c r="H51" i="139"/>
  <c r="G51" i="139"/>
  <c r="J45" i="139"/>
  <c r="H61" i="139"/>
  <c r="E45" i="139"/>
  <c r="G45" i="139"/>
  <c r="D45" i="139"/>
  <c r="C53" i="139"/>
  <c r="K53" i="139"/>
  <c r="I53" i="139"/>
  <c r="H68" i="139"/>
  <c r="I45" i="139"/>
  <c r="K55" i="139"/>
  <c r="K64" i="139"/>
  <c r="F45" i="139"/>
  <c r="J55" i="139"/>
  <c r="J68" i="139"/>
  <c r="D68" i="139"/>
  <c r="K68" i="139"/>
  <c r="G28" i="139"/>
  <c r="K10" i="139"/>
  <c r="F23" i="139"/>
  <c r="G38" i="18" s="1"/>
  <c r="C27" i="139"/>
  <c r="K27" i="139"/>
  <c r="I28" i="139"/>
  <c r="G29" i="139"/>
  <c r="G53" i="139" s="1"/>
  <c r="I32" i="139"/>
  <c r="G33" i="139"/>
  <c r="K36" i="139"/>
  <c r="AJ13" i="17" s="1"/>
  <c r="I37" i="139"/>
  <c r="I61" i="139" s="1"/>
  <c r="G38" i="139"/>
  <c r="G62" i="139" s="1"/>
  <c r="G43" i="139"/>
  <c r="G67" i="139" s="1"/>
  <c r="C45" i="139"/>
  <c r="F51" i="139"/>
  <c r="B62" i="139"/>
  <c r="B67" i="139"/>
  <c r="K21" i="139"/>
  <c r="I23" i="139"/>
  <c r="J38" i="18" s="1"/>
  <c r="D28" i="139"/>
  <c r="D52" i="139" s="1"/>
  <c r="J29" i="139"/>
  <c r="J53" i="139" s="1"/>
  <c r="D32" i="139"/>
  <c r="J33" i="139"/>
  <c r="D37" i="139"/>
  <c r="D61" i="139" s="1"/>
  <c r="J38" i="139"/>
  <c r="J62" i="139" s="1"/>
  <c r="J43" i="139"/>
  <c r="J67" i="139" s="1"/>
  <c r="I51" i="139"/>
  <c r="K54" i="139"/>
  <c r="D27" i="139"/>
  <c r="E28" i="139"/>
  <c r="E37" i="139"/>
  <c r="E61" i="139" s="1"/>
  <c r="B51" i="139"/>
  <c r="J51" i="139"/>
  <c r="J32" i="139"/>
  <c r="J37" i="139"/>
  <c r="J61" i="139" s="1"/>
  <c r="B41" i="139"/>
  <c r="E41" i="139" s="1"/>
  <c r="C28" i="139"/>
  <c r="C32" i="139"/>
  <c r="J23" i="139"/>
  <c r="K38" i="18" s="1"/>
  <c r="E32" i="139"/>
  <c r="F28" i="139"/>
  <c r="D29" i="139"/>
  <c r="D53" i="139" s="1"/>
  <c r="H31" i="139"/>
  <c r="H55" i="139" s="1"/>
  <c r="F32" i="139"/>
  <c r="D33" i="139"/>
  <c r="B34" i="139"/>
  <c r="J34" i="139" s="1"/>
  <c r="H36" i="139"/>
  <c r="F37" i="139"/>
  <c r="F61" i="139" s="1"/>
  <c r="D38" i="139"/>
  <c r="D62" i="139" s="1"/>
  <c r="H40" i="139"/>
  <c r="H64" i="139" s="1"/>
  <c r="D43" i="139"/>
  <c r="D67" i="139" s="1"/>
  <c r="K32" i="139"/>
  <c r="C37" i="139"/>
  <c r="C61" i="139" s="1"/>
  <c r="G32" i="139"/>
  <c r="G37" i="139"/>
  <c r="G61" i="139" s="1"/>
  <c r="B61" i="139"/>
  <c r="E27" i="139"/>
  <c r="F43" i="139"/>
  <c r="F67" i="139" s="1"/>
  <c r="D174" i="18" l="1"/>
  <c r="C47" i="146"/>
  <c r="G47" i="146"/>
  <c r="D73" i="145"/>
  <c r="G71" i="146"/>
  <c r="H47" i="146"/>
  <c r="C73" i="146" s="1"/>
  <c r="F47" i="146"/>
  <c r="D47" i="146"/>
  <c r="C82" i="18"/>
  <c r="I174" i="18"/>
  <c r="B132" i="18"/>
  <c r="B174" i="18"/>
  <c r="F174" i="18"/>
  <c r="C174" i="18"/>
  <c r="H174" i="18"/>
  <c r="G174" i="18"/>
  <c r="AG18" i="3"/>
  <c r="H73" i="145"/>
  <c r="AG21" i="3"/>
  <c r="AG22" i="3"/>
  <c r="AG17" i="3"/>
  <c r="AG19" i="3"/>
  <c r="C71" i="146"/>
  <c r="E71" i="146"/>
  <c r="F71" i="146"/>
  <c r="H73" i="146"/>
  <c r="F73" i="146"/>
  <c r="D73" i="146"/>
  <c r="E73" i="146"/>
  <c r="G73" i="146"/>
  <c r="C73" i="145"/>
  <c r="G65" i="145"/>
  <c r="C65" i="145"/>
  <c r="F65" i="145"/>
  <c r="D65" i="145"/>
  <c r="H65" i="145"/>
  <c r="D78" i="145"/>
  <c r="F78" i="145"/>
  <c r="H78" i="145"/>
  <c r="E78" i="145"/>
  <c r="F53" i="145"/>
  <c r="D53" i="145"/>
  <c r="G53" i="145"/>
  <c r="C53" i="145"/>
  <c r="H53" i="145"/>
  <c r="E53" i="145"/>
  <c r="L25" i="145"/>
  <c r="AN24" i="2" s="1"/>
  <c r="J53" i="145"/>
  <c r="G78" i="145"/>
  <c r="G73" i="145"/>
  <c r="H73" i="144"/>
  <c r="G73" i="144"/>
  <c r="AF21" i="3"/>
  <c r="AF17" i="3"/>
  <c r="AF23" i="3"/>
  <c r="AF22" i="3"/>
  <c r="AF19" i="3"/>
  <c r="G65" i="144"/>
  <c r="AF18" i="3"/>
  <c r="H65" i="144"/>
  <c r="D65" i="144"/>
  <c r="E65" i="144"/>
  <c r="H47" i="142"/>
  <c r="D46" i="143" s="1"/>
  <c r="I65" i="142"/>
  <c r="K65" i="142"/>
  <c r="AK18" i="17"/>
  <c r="K71" i="142"/>
  <c r="AK24" i="17"/>
  <c r="AK26" i="17" s="1"/>
  <c r="I47" i="142"/>
  <c r="C39" i="18"/>
  <c r="L131" i="18"/>
  <c r="C131" i="18" s="1"/>
  <c r="C71" i="141"/>
  <c r="D71" i="141"/>
  <c r="B173" i="18"/>
  <c r="B131" i="18"/>
  <c r="G173" i="18"/>
  <c r="G47" i="141"/>
  <c r="H47" i="141"/>
  <c r="H73" i="141" s="1"/>
  <c r="I81" i="18"/>
  <c r="D173" i="18"/>
  <c r="E173" i="18"/>
  <c r="E47" i="141"/>
  <c r="D47" i="141"/>
  <c r="F47" i="141"/>
  <c r="F73" i="141" s="1"/>
  <c r="H173" i="18"/>
  <c r="F173" i="18"/>
  <c r="E73" i="144"/>
  <c r="F73" i="144"/>
  <c r="H53" i="144"/>
  <c r="F53" i="144"/>
  <c r="F80" i="144" s="1"/>
  <c r="G53" i="144"/>
  <c r="G80" i="144" s="1"/>
  <c r="C53" i="144"/>
  <c r="E53" i="144"/>
  <c r="C65" i="144"/>
  <c r="J53" i="144"/>
  <c r="D80" i="144" s="1"/>
  <c r="L25" i="144"/>
  <c r="AL24" i="2" s="1"/>
  <c r="I53" i="144"/>
  <c r="J65" i="142"/>
  <c r="F65" i="142"/>
  <c r="C65" i="142"/>
  <c r="H71" i="142"/>
  <c r="J47" i="142"/>
  <c r="D47" i="142"/>
  <c r="C47" i="142"/>
  <c r="G47" i="142"/>
  <c r="F47" i="142"/>
  <c r="E47" i="142"/>
  <c r="D65" i="142"/>
  <c r="H65" i="142"/>
  <c r="G71" i="141"/>
  <c r="E71" i="141"/>
  <c r="F71" i="141"/>
  <c r="I68" i="139"/>
  <c r="E68" i="139"/>
  <c r="D63" i="139"/>
  <c r="C63" i="139"/>
  <c r="J60" i="139"/>
  <c r="F63" i="139"/>
  <c r="F130" i="18"/>
  <c r="J130" i="18"/>
  <c r="G130" i="18"/>
  <c r="H130" i="18"/>
  <c r="J63" i="139"/>
  <c r="AJ16" i="17"/>
  <c r="K130" i="18"/>
  <c r="D130" i="18"/>
  <c r="K52" i="139"/>
  <c r="AJ5" i="17"/>
  <c r="L38" i="18"/>
  <c r="G52" i="139"/>
  <c r="F52" i="139"/>
  <c r="H52" i="139"/>
  <c r="E34" i="139"/>
  <c r="H57" i="139"/>
  <c r="AJ10" i="17"/>
  <c r="I130" i="18"/>
  <c r="E130" i="18"/>
  <c r="K56" i="139"/>
  <c r="AJ9" i="17"/>
  <c r="E52" i="139"/>
  <c r="I52" i="139"/>
  <c r="C52" i="139"/>
  <c r="B69" i="139"/>
  <c r="I63" i="139"/>
  <c r="G63" i="139"/>
  <c r="B65" i="139"/>
  <c r="E63" i="139"/>
  <c r="G57" i="139"/>
  <c r="I34" i="139"/>
  <c r="K57" i="139"/>
  <c r="I57" i="139"/>
  <c r="C57" i="139"/>
  <c r="J57" i="139"/>
  <c r="D57" i="139"/>
  <c r="H34" i="139"/>
  <c r="F57" i="139"/>
  <c r="E57" i="139"/>
  <c r="F56" i="139"/>
  <c r="C41" i="139"/>
  <c r="G41" i="139"/>
  <c r="J41" i="139"/>
  <c r="B47" i="139"/>
  <c r="J56" i="139"/>
  <c r="K23" i="139"/>
  <c r="K45" i="139"/>
  <c r="K60" i="139"/>
  <c r="G60" i="139"/>
  <c r="K34" i="139"/>
  <c r="D60" i="139"/>
  <c r="C60" i="139"/>
  <c r="F41" i="139"/>
  <c r="D41" i="139"/>
  <c r="E56" i="139"/>
  <c r="I56" i="139"/>
  <c r="H56" i="139"/>
  <c r="D34" i="139"/>
  <c r="K41" i="139"/>
  <c r="E65" i="139" s="1"/>
  <c r="H60" i="139"/>
  <c r="I41" i="139"/>
  <c r="G56" i="139"/>
  <c r="C34" i="139"/>
  <c r="F34" i="139"/>
  <c r="G34" i="139"/>
  <c r="C56" i="139"/>
  <c r="D56" i="139"/>
  <c r="F60" i="139"/>
  <c r="H41" i="139"/>
  <c r="I60" i="139"/>
  <c r="AG20" i="3" l="1"/>
  <c r="AG25" i="3"/>
  <c r="D80" i="145"/>
  <c r="F80" i="145"/>
  <c r="E80" i="145"/>
  <c r="H80" i="145"/>
  <c r="C80" i="145"/>
  <c r="G80" i="145"/>
  <c r="H80" i="144"/>
  <c r="C80" i="144"/>
  <c r="AF20" i="3"/>
  <c r="AF25" i="3"/>
  <c r="E80" i="144"/>
  <c r="E71" i="142"/>
  <c r="C16" i="143"/>
  <c r="F71" i="142"/>
  <c r="J38" i="143"/>
  <c r="G71" i="142"/>
  <c r="G41" i="143"/>
  <c r="C71" i="142"/>
  <c r="G5" i="143"/>
  <c r="D71" i="142"/>
  <c r="J8" i="143"/>
  <c r="J71" i="142"/>
  <c r="J29" i="143"/>
  <c r="I71" i="142"/>
  <c r="C31" i="143"/>
  <c r="G73" i="141"/>
  <c r="C81" i="18"/>
  <c r="I173" i="18"/>
  <c r="C173" i="18" s="1"/>
  <c r="D73" i="141"/>
  <c r="E73" i="141"/>
  <c r="C73" i="141"/>
  <c r="I69" i="139"/>
  <c r="AJ22" i="17"/>
  <c r="B71" i="139"/>
  <c r="D65" i="139"/>
  <c r="K65" i="139"/>
  <c r="AJ18" i="17"/>
  <c r="C38" i="18"/>
  <c r="L130" i="18"/>
  <c r="C130" i="18" s="1"/>
  <c r="K58" i="139"/>
  <c r="AJ11" i="17"/>
  <c r="J69" i="139"/>
  <c r="F69" i="139"/>
  <c r="D69" i="139"/>
  <c r="D47" i="139"/>
  <c r="J8" i="140" s="1"/>
  <c r="H47" i="139"/>
  <c r="D46" i="140" s="1"/>
  <c r="C47" i="139"/>
  <c r="G5" i="140" s="1"/>
  <c r="E47" i="139"/>
  <c r="C16" i="140" s="1"/>
  <c r="G47" i="139"/>
  <c r="G41" i="140" s="1"/>
  <c r="G58" i="139"/>
  <c r="I65" i="139"/>
  <c r="I58" i="139"/>
  <c r="F47" i="139"/>
  <c r="J38" i="140" s="1"/>
  <c r="H58" i="139"/>
  <c r="F58" i="139"/>
  <c r="F65" i="139"/>
  <c r="J65" i="139"/>
  <c r="C58" i="139"/>
  <c r="D58" i="139"/>
  <c r="G65" i="139"/>
  <c r="J47" i="139"/>
  <c r="J29" i="140" s="1"/>
  <c r="H65" i="139"/>
  <c r="K69" i="139"/>
  <c r="H69" i="139"/>
  <c r="C65" i="139"/>
  <c r="I47" i="139"/>
  <c r="C31" i="140" s="1"/>
  <c r="K47" i="139"/>
  <c r="E58" i="139"/>
  <c r="C69" i="139"/>
  <c r="G69" i="139"/>
  <c r="E69" i="139"/>
  <c r="J58" i="139"/>
  <c r="F24" i="143" l="1"/>
  <c r="F24" i="140"/>
  <c r="K71" i="139"/>
  <c r="AJ24" i="17"/>
  <c r="AJ26" i="17" s="1"/>
  <c r="D71" i="139"/>
  <c r="F71" i="139"/>
  <c r="J71" i="139"/>
  <c r="G71" i="139"/>
  <c r="I71" i="139"/>
  <c r="E71" i="139"/>
  <c r="C71" i="139"/>
  <c r="H71" i="139"/>
  <c r="B70" i="138" l="1"/>
  <c r="B69" i="138"/>
  <c r="B66" i="138"/>
  <c r="B65" i="138"/>
  <c r="B64" i="138"/>
  <c r="B63" i="138"/>
  <c r="B62" i="138"/>
  <c r="B59" i="138"/>
  <c r="B58" i="138"/>
  <c r="B57" i="138"/>
  <c r="B56" i="138"/>
  <c r="B55" i="138"/>
  <c r="B54" i="138"/>
  <c r="B52" i="138"/>
  <c r="B44" i="138"/>
  <c r="E44" i="138" s="1"/>
  <c r="F43" i="138"/>
  <c r="B43" i="138"/>
  <c r="G43" i="138" s="1"/>
  <c r="B40" i="138"/>
  <c r="E40" i="138" s="1"/>
  <c r="B39" i="138"/>
  <c r="G39" i="138" s="1"/>
  <c r="B38" i="138"/>
  <c r="F38" i="138" s="1"/>
  <c r="G37" i="138"/>
  <c r="F37" i="138"/>
  <c r="D37" i="138"/>
  <c r="B37" i="138"/>
  <c r="E37" i="138" s="1"/>
  <c r="B36" i="138"/>
  <c r="F36" i="138" s="1"/>
  <c r="B33" i="138"/>
  <c r="G33" i="138" s="1"/>
  <c r="B32" i="138"/>
  <c r="C32" i="138" s="1"/>
  <c r="F31" i="138"/>
  <c r="B31" i="138"/>
  <c r="E31" i="138" s="1"/>
  <c r="B30" i="138"/>
  <c r="G30" i="138" s="1"/>
  <c r="B29" i="138"/>
  <c r="F29" i="138" s="1"/>
  <c r="H28" i="138"/>
  <c r="H54" i="138" s="1"/>
  <c r="B28" i="138"/>
  <c r="E28" i="138" s="1"/>
  <c r="B26" i="138"/>
  <c r="G21" i="138"/>
  <c r="F21" i="138"/>
  <c r="F45" i="138" s="1"/>
  <c r="E21" i="138"/>
  <c r="D21" i="138"/>
  <c r="C21" i="138"/>
  <c r="B21" i="138"/>
  <c r="B45" i="138" s="1"/>
  <c r="G45" i="138" s="1"/>
  <c r="H20" i="138"/>
  <c r="H19" i="138"/>
  <c r="H43" i="138" s="1"/>
  <c r="G17" i="138"/>
  <c r="F17" i="138"/>
  <c r="F41" i="138" s="1"/>
  <c r="E17" i="138"/>
  <c r="D17" i="138"/>
  <c r="C17" i="138"/>
  <c r="B17" i="138"/>
  <c r="B41" i="138" s="1"/>
  <c r="H16" i="138"/>
  <c r="H15" i="138"/>
  <c r="H39" i="138" s="1"/>
  <c r="H65" i="138" s="1"/>
  <c r="H14" i="138"/>
  <c r="H38" i="138" s="1"/>
  <c r="H64" i="138" s="1"/>
  <c r="H13" i="138"/>
  <c r="H37" i="138" s="1"/>
  <c r="H63" i="138" s="1"/>
  <c r="H12" i="138"/>
  <c r="G10" i="138"/>
  <c r="F10" i="138"/>
  <c r="E10" i="138"/>
  <c r="D10" i="138"/>
  <c r="C10" i="138"/>
  <c r="B10" i="138"/>
  <c r="B34" i="138" s="1"/>
  <c r="H9" i="138"/>
  <c r="H8" i="138"/>
  <c r="H32" i="138" s="1"/>
  <c r="H58" i="138" s="1"/>
  <c r="H7" i="138"/>
  <c r="H31" i="138" s="1"/>
  <c r="H6" i="138"/>
  <c r="H30" i="138" s="1"/>
  <c r="H56" i="138" s="1"/>
  <c r="H5" i="138"/>
  <c r="H4" i="138"/>
  <c r="H3" i="138"/>
  <c r="H27" i="138" s="1"/>
  <c r="G3" i="138"/>
  <c r="G53" i="138" s="1"/>
  <c r="F3" i="138"/>
  <c r="F27" i="138" s="1"/>
  <c r="E3" i="138"/>
  <c r="E27" i="138" s="1"/>
  <c r="D3" i="138"/>
  <c r="D27" i="138" s="1"/>
  <c r="C3" i="138"/>
  <c r="C27" i="138" s="1"/>
  <c r="B3" i="138"/>
  <c r="B27" i="138" s="1"/>
  <c r="AE21" i="16"/>
  <c r="AE20" i="16"/>
  <c r="AE17" i="16"/>
  <c r="AE16" i="16"/>
  <c r="AE15" i="16"/>
  <c r="AE14" i="16"/>
  <c r="AE13" i="16"/>
  <c r="AE10" i="16"/>
  <c r="AE9" i="16"/>
  <c r="AE8" i="16"/>
  <c r="AE7" i="16"/>
  <c r="AE6" i="16"/>
  <c r="AE5" i="16"/>
  <c r="I30" i="137"/>
  <c r="J14" i="137"/>
  <c r="J15" i="137"/>
  <c r="J16" i="137"/>
  <c r="J17" i="137"/>
  <c r="J5" i="137"/>
  <c r="J6" i="137"/>
  <c r="J7" i="137"/>
  <c r="J8" i="137"/>
  <c r="J9" i="137"/>
  <c r="K6" i="137"/>
  <c r="AK7" i="2" s="1"/>
  <c r="K8" i="137"/>
  <c r="AK9" i="2" s="1"/>
  <c r="K17" i="137"/>
  <c r="AK17" i="2" s="1"/>
  <c r="K3" i="137"/>
  <c r="L3" i="137"/>
  <c r="J3" i="137"/>
  <c r="I3" i="137"/>
  <c r="I22" i="137"/>
  <c r="I21" i="137"/>
  <c r="K21" i="137" s="1"/>
  <c r="AK20" i="2" s="1"/>
  <c r="I14" i="137"/>
  <c r="I18" i="137" s="1"/>
  <c r="I15" i="137"/>
  <c r="K15" i="137" s="1"/>
  <c r="AK15" i="2" s="1"/>
  <c r="I16" i="137"/>
  <c r="K16" i="137" s="1"/>
  <c r="AK16" i="2" s="1"/>
  <c r="I17" i="137"/>
  <c r="I13" i="137"/>
  <c r="K13" i="137" s="1"/>
  <c r="AK13" i="2" s="1"/>
  <c r="I5" i="137"/>
  <c r="I6" i="137"/>
  <c r="I7" i="137"/>
  <c r="I8" i="137"/>
  <c r="I9" i="137"/>
  <c r="I4" i="137"/>
  <c r="K4" i="137" s="1"/>
  <c r="AK5" i="2" s="1"/>
  <c r="J22" i="137"/>
  <c r="J21" i="137"/>
  <c r="J13" i="137"/>
  <c r="J4" i="137"/>
  <c r="H10" i="137"/>
  <c r="H18" i="137"/>
  <c r="H23" i="137"/>
  <c r="H58" i="137"/>
  <c r="H30" i="137"/>
  <c r="H3" i="137"/>
  <c r="I23" i="137" l="1"/>
  <c r="K22" i="137"/>
  <c r="AK21" i="2" s="1"/>
  <c r="K14" i="137"/>
  <c r="AK14" i="2" s="1"/>
  <c r="K7" i="137"/>
  <c r="AK8" i="2" s="1"/>
  <c r="K5" i="137"/>
  <c r="AK6" i="2" s="1"/>
  <c r="I10" i="137"/>
  <c r="K9" i="137"/>
  <c r="AK10" i="2" s="1"/>
  <c r="F44" i="138"/>
  <c r="H44" i="138"/>
  <c r="H70" i="138" s="1"/>
  <c r="E43" i="138"/>
  <c r="E69" i="138" s="1"/>
  <c r="D41" i="138"/>
  <c r="C33" i="138"/>
  <c r="D33" i="138"/>
  <c r="H33" i="138"/>
  <c r="E33" i="138"/>
  <c r="E59" i="138" s="1"/>
  <c r="F33" i="138"/>
  <c r="F59" i="138" s="1"/>
  <c r="G31" i="138"/>
  <c r="G57" i="138" s="1"/>
  <c r="F34" i="138"/>
  <c r="F57" i="138"/>
  <c r="D28" i="138"/>
  <c r="D32" i="138"/>
  <c r="C43" i="138"/>
  <c r="D43" i="138"/>
  <c r="D69" i="138" s="1"/>
  <c r="D63" i="138"/>
  <c r="F63" i="138"/>
  <c r="C40" i="138"/>
  <c r="C66" i="138" s="1"/>
  <c r="G63" i="138"/>
  <c r="D40" i="138"/>
  <c r="H40" i="138"/>
  <c r="D66" i="138" s="1"/>
  <c r="C36" i="138"/>
  <c r="F40" i="138"/>
  <c r="F66" i="138" s="1"/>
  <c r="E36" i="138"/>
  <c r="E62" i="138" s="1"/>
  <c r="F64" i="138"/>
  <c r="G40" i="138"/>
  <c r="G36" i="138"/>
  <c r="E38" i="138"/>
  <c r="E64" i="138" s="1"/>
  <c r="E63" i="138"/>
  <c r="G38" i="138"/>
  <c r="G64" i="138" s="1"/>
  <c r="H36" i="138"/>
  <c r="H62" i="138" s="1"/>
  <c r="C37" i="138"/>
  <c r="C63" i="138" s="1"/>
  <c r="E23" i="138"/>
  <c r="F80" i="18" s="1"/>
  <c r="G28" i="138"/>
  <c r="G54" i="138" s="1"/>
  <c r="D31" i="138"/>
  <c r="E29" i="138"/>
  <c r="E55" i="138" s="1"/>
  <c r="C58" i="138"/>
  <c r="H10" i="138"/>
  <c r="H34" i="138" s="1"/>
  <c r="H60" i="138" s="1"/>
  <c r="D34" i="138"/>
  <c r="D60" i="138" s="1"/>
  <c r="E54" i="138"/>
  <c r="G29" i="138"/>
  <c r="D58" i="138"/>
  <c r="H29" i="138"/>
  <c r="H55" i="138" s="1"/>
  <c r="E34" i="138"/>
  <c r="C28" i="138"/>
  <c r="C54" i="138" s="1"/>
  <c r="D54" i="138"/>
  <c r="B60" i="138"/>
  <c r="F28" i="138"/>
  <c r="F54" i="138" s="1"/>
  <c r="C31" i="138"/>
  <c r="C57" i="138" s="1"/>
  <c r="G27" i="138"/>
  <c r="H59" i="138"/>
  <c r="C34" i="138"/>
  <c r="H69" i="138"/>
  <c r="F69" i="138"/>
  <c r="F55" i="138"/>
  <c r="E70" i="138"/>
  <c r="H66" i="138"/>
  <c r="C41" i="138"/>
  <c r="C45" i="138"/>
  <c r="G59" i="138"/>
  <c r="G69" i="138"/>
  <c r="G55" i="138"/>
  <c r="H57" i="138"/>
  <c r="D57" i="138"/>
  <c r="G34" i="138"/>
  <c r="D45" i="138"/>
  <c r="E57" i="138"/>
  <c r="C59" i="138"/>
  <c r="C69" i="138"/>
  <c r="F70" i="138"/>
  <c r="G56" i="138"/>
  <c r="E45" i="138"/>
  <c r="D59" i="138"/>
  <c r="G65" i="138"/>
  <c r="G41" i="138"/>
  <c r="G23" i="138"/>
  <c r="H80" i="18" s="1"/>
  <c r="H53" i="138"/>
  <c r="H17" i="138"/>
  <c r="H41" i="138" s="1"/>
  <c r="H67" i="138" s="1"/>
  <c r="C30" i="138"/>
  <c r="C56" i="138" s="1"/>
  <c r="E32" i="138"/>
  <c r="E58" i="138" s="1"/>
  <c r="C39" i="138"/>
  <c r="C65" i="138" s="1"/>
  <c r="E41" i="138"/>
  <c r="G44" i="138"/>
  <c r="G70" i="138" s="1"/>
  <c r="H21" i="138"/>
  <c r="C29" i="138"/>
  <c r="C55" i="138" s="1"/>
  <c r="D30" i="138"/>
  <c r="D56" i="138" s="1"/>
  <c r="F32" i="138"/>
  <c r="F58" i="138" s="1"/>
  <c r="C38" i="138"/>
  <c r="C64" i="138" s="1"/>
  <c r="D39" i="138"/>
  <c r="D65" i="138" s="1"/>
  <c r="B53" i="138"/>
  <c r="B71" i="138"/>
  <c r="B23" i="138"/>
  <c r="D29" i="138"/>
  <c r="D55" i="138" s="1"/>
  <c r="E30" i="138"/>
  <c r="E56" i="138" s="1"/>
  <c r="G32" i="138"/>
  <c r="G58" i="138" s="1"/>
  <c r="D38" i="138"/>
  <c r="D64" i="138" s="1"/>
  <c r="E39" i="138"/>
  <c r="E65" i="138" s="1"/>
  <c r="C53" i="138"/>
  <c r="C23" i="138"/>
  <c r="D80" i="18" s="1"/>
  <c r="F30" i="138"/>
  <c r="F56" i="138" s="1"/>
  <c r="F39" i="138"/>
  <c r="F65" i="138" s="1"/>
  <c r="D53" i="138"/>
  <c r="D23" i="138"/>
  <c r="E80" i="18" s="1"/>
  <c r="D36" i="138"/>
  <c r="D62" i="138" s="1"/>
  <c r="C44" i="138"/>
  <c r="C70" i="138" s="1"/>
  <c r="E53" i="138"/>
  <c r="B67" i="138"/>
  <c r="D44" i="138"/>
  <c r="D70" i="138" s="1"/>
  <c r="F53" i="138"/>
  <c r="F23" i="138"/>
  <c r="G80" i="18" s="1"/>
  <c r="H25" i="137"/>
  <c r="I25" i="137" l="1"/>
  <c r="AE11" i="3"/>
  <c r="E66" i="138"/>
  <c r="C62" i="138"/>
  <c r="G66" i="138"/>
  <c r="F62" i="138"/>
  <c r="G60" i="138"/>
  <c r="I80" i="18"/>
  <c r="B47" i="138"/>
  <c r="E47" i="138" s="1"/>
  <c r="B80" i="18"/>
  <c r="G62" i="138"/>
  <c r="E60" i="138"/>
  <c r="F60" i="138"/>
  <c r="C60" i="138"/>
  <c r="C67" i="138"/>
  <c r="H45" i="138"/>
  <c r="E71" i="138" s="1"/>
  <c r="H23" i="138"/>
  <c r="D67" i="138"/>
  <c r="B73" i="138"/>
  <c r="E67" i="138"/>
  <c r="G67" i="138"/>
  <c r="F67" i="138"/>
  <c r="B130" i="18" l="1"/>
  <c r="B172" i="18"/>
  <c r="E172" i="18"/>
  <c r="C47" i="138"/>
  <c r="C73" i="138" s="1"/>
  <c r="C80" i="18"/>
  <c r="I172" i="18"/>
  <c r="D47" i="138"/>
  <c r="D73" i="138" s="1"/>
  <c r="D172" i="18"/>
  <c r="G172" i="18"/>
  <c r="G47" i="138"/>
  <c r="H47" i="138"/>
  <c r="H73" i="138" s="1"/>
  <c r="F47" i="138"/>
  <c r="F73" i="138" s="1"/>
  <c r="H172" i="18"/>
  <c r="F172" i="18"/>
  <c r="H71" i="138"/>
  <c r="G71" i="138"/>
  <c r="F71" i="138"/>
  <c r="C71" i="138"/>
  <c r="D71" i="138"/>
  <c r="E73" i="138"/>
  <c r="C172" i="18" l="1"/>
  <c r="G73" i="138"/>
  <c r="B57" i="137"/>
  <c r="B50" i="137"/>
  <c r="B49" i="137"/>
  <c r="B45" i="137"/>
  <c r="B44" i="137"/>
  <c r="B43" i="137"/>
  <c r="B42" i="137"/>
  <c r="B41" i="137"/>
  <c r="B37" i="137"/>
  <c r="B36" i="137"/>
  <c r="B35" i="137"/>
  <c r="B34" i="137"/>
  <c r="B33" i="137"/>
  <c r="B32" i="137"/>
  <c r="B29" i="137"/>
  <c r="G23" i="137"/>
  <c r="F23" i="137"/>
  <c r="E23" i="137"/>
  <c r="D23" i="137"/>
  <c r="C23" i="137"/>
  <c r="B23" i="137"/>
  <c r="J50" i="137"/>
  <c r="G18" i="137"/>
  <c r="F18" i="137"/>
  <c r="E18" i="137"/>
  <c r="D18" i="137"/>
  <c r="C18" i="137"/>
  <c r="B18" i="137"/>
  <c r="L16" i="137"/>
  <c r="AJ16" i="2" s="1"/>
  <c r="L15" i="137"/>
  <c r="AJ15" i="2" s="1"/>
  <c r="J42" i="137"/>
  <c r="J41" i="137"/>
  <c r="G10" i="137"/>
  <c r="F10" i="137"/>
  <c r="E10" i="137"/>
  <c r="D10" i="137"/>
  <c r="C10" i="137"/>
  <c r="B10" i="137"/>
  <c r="L8" i="137"/>
  <c r="AJ9" i="2" s="1"/>
  <c r="L7" i="137"/>
  <c r="AJ8" i="2" s="1"/>
  <c r="J34" i="137"/>
  <c r="L5" i="137"/>
  <c r="AJ6" i="2" s="1"/>
  <c r="L4" i="137"/>
  <c r="AJ5" i="2" s="1"/>
  <c r="J30" i="137"/>
  <c r="G3" i="137"/>
  <c r="G30" i="137" s="1"/>
  <c r="F3" i="137"/>
  <c r="F30" i="137" s="1"/>
  <c r="E3" i="137"/>
  <c r="E30" i="137" s="1"/>
  <c r="D3" i="137"/>
  <c r="D58" i="137" s="1"/>
  <c r="C3" i="137"/>
  <c r="C58" i="137" s="1"/>
  <c r="B3" i="137"/>
  <c r="B30" i="137" s="1"/>
  <c r="AE22" i="16" l="1"/>
  <c r="K23" i="137"/>
  <c r="AK22" i="2" s="1"/>
  <c r="E49" i="137"/>
  <c r="H49" i="137"/>
  <c r="I49" i="137"/>
  <c r="F50" i="137"/>
  <c r="F77" i="137" s="1"/>
  <c r="H50" i="137"/>
  <c r="H77" i="137" s="1"/>
  <c r="I50" i="137"/>
  <c r="C45" i="137"/>
  <c r="H45" i="137"/>
  <c r="I45" i="137"/>
  <c r="F45" i="137"/>
  <c r="F72" i="137" s="1"/>
  <c r="G41" i="137"/>
  <c r="H41" i="137"/>
  <c r="H68" i="137" s="1"/>
  <c r="I41" i="137"/>
  <c r="D43" i="137"/>
  <c r="H43" i="137"/>
  <c r="I43" i="137"/>
  <c r="D45" i="137"/>
  <c r="C42" i="137"/>
  <c r="C69" i="137" s="1"/>
  <c r="H42" i="137"/>
  <c r="H69" i="137" s="1"/>
  <c r="I42" i="137"/>
  <c r="J45" i="137"/>
  <c r="D72" i="137" s="1"/>
  <c r="G43" i="137"/>
  <c r="AE18" i="16"/>
  <c r="K18" i="137"/>
  <c r="AK18" i="2" s="1"/>
  <c r="G44" i="137"/>
  <c r="I44" i="137"/>
  <c r="H44" i="137"/>
  <c r="E37" i="137"/>
  <c r="H37" i="137"/>
  <c r="I37" i="137"/>
  <c r="J37" i="137"/>
  <c r="F37" i="137"/>
  <c r="F64" i="137" s="1"/>
  <c r="C32" i="137"/>
  <c r="I32" i="137"/>
  <c r="H32" i="137"/>
  <c r="D33" i="137"/>
  <c r="H33" i="137"/>
  <c r="I33" i="137"/>
  <c r="AE11" i="16"/>
  <c r="K10" i="137"/>
  <c r="AK11" i="2" s="1"/>
  <c r="G34" i="137"/>
  <c r="G61" i="137" s="1"/>
  <c r="H34" i="137"/>
  <c r="H61" i="137" s="1"/>
  <c r="I34" i="137"/>
  <c r="C35" i="137"/>
  <c r="H35" i="137"/>
  <c r="I35" i="137"/>
  <c r="G37" i="137"/>
  <c r="G36" i="137"/>
  <c r="H36" i="137"/>
  <c r="H63" i="137" s="1"/>
  <c r="I36" i="137"/>
  <c r="C25" i="137"/>
  <c r="AE6" i="3" s="1"/>
  <c r="J49" i="137"/>
  <c r="B51" i="137"/>
  <c r="F49" i="137"/>
  <c r="G49" i="137"/>
  <c r="G76" i="137" s="1"/>
  <c r="C49" i="137"/>
  <c r="C76" i="137" s="1"/>
  <c r="D50" i="137"/>
  <c r="D77" i="137" s="1"/>
  <c r="G50" i="137"/>
  <c r="G77" i="137" s="1"/>
  <c r="C44" i="137"/>
  <c r="E41" i="137"/>
  <c r="E68" i="137" s="1"/>
  <c r="D44" i="137"/>
  <c r="E44" i="137"/>
  <c r="F42" i="137"/>
  <c r="F69" i="137" s="1"/>
  <c r="C43" i="137"/>
  <c r="E45" i="137"/>
  <c r="E72" i="137" s="1"/>
  <c r="G64" i="137"/>
  <c r="G33" i="137"/>
  <c r="E35" i="137"/>
  <c r="F35" i="137"/>
  <c r="C34" i="137"/>
  <c r="G35" i="137"/>
  <c r="C33" i="137"/>
  <c r="D34" i="137"/>
  <c r="D61" i="137" s="1"/>
  <c r="E34" i="137"/>
  <c r="D35" i="137"/>
  <c r="B25" i="137"/>
  <c r="F32" i="137"/>
  <c r="F34" i="137"/>
  <c r="F61" i="137" s="1"/>
  <c r="C37" i="137"/>
  <c r="G68" i="137"/>
  <c r="C61" i="137"/>
  <c r="E61" i="137"/>
  <c r="E64" i="137"/>
  <c r="J18" i="137"/>
  <c r="D25" i="137"/>
  <c r="AE7" i="3" s="1"/>
  <c r="C30" i="137"/>
  <c r="D32" i="137"/>
  <c r="E33" i="137"/>
  <c r="J36" i="137"/>
  <c r="G63" i="137" s="1"/>
  <c r="B38" i="137"/>
  <c r="C41" i="137"/>
  <c r="C68" i="137" s="1"/>
  <c r="D42" i="137"/>
  <c r="D69" i="137" s="1"/>
  <c r="E43" i="137"/>
  <c r="F44" i="137"/>
  <c r="G45" i="137"/>
  <c r="G72" i="137" s="1"/>
  <c r="E58" i="137"/>
  <c r="L6" i="137"/>
  <c r="AJ7" i="2" s="1"/>
  <c r="L13" i="137"/>
  <c r="AJ13" i="2" s="1"/>
  <c r="L17" i="137"/>
  <c r="AJ17" i="2" s="1"/>
  <c r="E25" i="137"/>
  <c r="AE8" i="3" s="1"/>
  <c r="D30" i="137"/>
  <c r="E32" i="137"/>
  <c r="F33" i="137"/>
  <c r="J35" i="137"/>
  <c r="E62" i="137" s="1"/>
  <c r="D41" i="137"/>
  <c r="D68" i="137" s="1"/>
  <c r="E42" i="137"/>
  <c r="E69" i="137" s="1"/>
  <c r="F43" i="137"/>
  <c r="C50" i="137"/>
  <c r="C77" i="137" s="1"/>
  <c r="F58" i="137"/>
  <c r="F25" i="137"/>
  <c r="AE9" i="3" s="1"/>
  <c r="J44" i="137"/>
  <c r="D71" i="137" s="1"/>
  <c r="B46" i="137"/>
  <c r="G58" i="137"/>
  <c r="L14" i="137"/>
  <c r="AJ14" i="2" s="1"/>
  <c r="L21" i="137"/>
  <c r="AJ20" i="2" s="1"/>
  <c r="G25" i="137"/>
  <c r="AE10" i="3" s="1"/>
  <c r="G32" i="137"/>
  <c r="J33" i="137"/>
  <c r="D60" i="137" s="1"/>
  <c r="C36" i="137"/>
  <c r="D37" i="137"/>
  <c r="D64" i="137" s="1"/>
  <c r="F41" i="137"/>
  <c r="F68" i="137" s="1"/>
  <c r="G42" i="137"/>
  <c r="G69" i="137" s="1"/>
  <c r="J43" i="137"/>
  <c r="D49" i="137"/>
  <c r="D76" i="137" s="1"/>
  <c r="E50" i="137"/>
  <c r="E77" i="137" s="1"/>
  <c r="J23" i="137"/>
  <c r="J32" i="137"/>
  <c r="F59" i="137" s="1"/>
  <c r="D36" i="137"/>
  <c r="L22" i="137"/>
  <c r="AJ21" i="2" s="1"/>
  <c r="E36" i="137"/>
  <c r="J10" i="137"/>
  <c r="F36" i="137"/>
  <c r="L9" i="137"/>
  <c r="AJ10" i="2" s="1"/>
  <c r="AD16" i="16"/>
  <c r="C51" i="137" l="1"/>
  <c r="H51" i="137"/>
  <c r="H78" i="137" s="1"/>
  <c r="I51" i="137"/>
  <c r="F76" i="137"/>
  <c r="H76" i="137"/>
  <c r="C72" i="137"/>
  <c r="H71" i="137"/>
  <c r="H72" i="137"/>
  <c r="G46" i="137"/>
  <c r="I46" i="137"/>
  <c r="H46" i="137"/>
  <c r="H73" i="137" s="1"/>
  <c r="H70" i="137"/>
  <c r="F38" i="137"/>
  <c r="H38" i="137"/>
  <c r="I38" i="137"/>
  <c r="H59" i="137"/>
  <c r="AE24" i="16"/>
  <c r="K25" i="137"/>
  <c r="AK24" i="2" s="1"/>
  <c r="H62" i="137"/>
  <c r="H60" i="137"/>
  <c r="H64" i="137"/>
  <c r="C64" i="137"/>
  <c r="E76" i="137"/>
  <c r="C59" i="137"/>
  <c r="G62" i="137"/>
  <c r="G71" i="137"/>
  <c r="C60" i="137"/>
  <c r="G60" i="137"/>
  <c r="E60" i="137"/>
  <c r="F62" i="137"/>
  <c r="F51" i="137"/>
  <c r="E51" i="137"/>
  <c r="D51" i="137"/>
  <c r="G51" i="137"/>
  <c r="D46" i="137"/>
  <c r="F71" i="137"/>
  <c r="E70" i="137"/>
  <c r="F46" i="137"/>
  <c r="C70" i="137"/>
  <c r="E71" i="137"/>
  <c r="C71" i="137"/>
  <c r="D38" i="137"/>
  <c r="E59" i="137"/>
  <c r="C62" i="137"/>
  <c r="D63" i="137"/>
  <c r="E38" i="137"/>
  <c r="G59" i="137"/>
  <c r="F63" i="137"/>
  <c r="L10" i="137"/>
  <c r="AJ11" i="2" s="1"/>
  <c r="J38" i="137"/>
  <c r="F65" i="137" s="1"/>
  <c r="J25" i="137"/>
  <c r="AE13" i="3" s="1"/>
  <c r="AE21" i="3" s="1"/>
  <c r="F70" i="137"/>
  <c r="L18" i="137"/>
  <c r="AJ18" i="2" s="1"/>
  <c r="J46" i="137"/>
  <c r="G73" i="137" s="1"/>
  <c r="G70" i="137"/>
  <c r="E46" i="137"/>
  <c r="E63" i="137"/>
  <c r="C46" i="137"/>
  <c r="D62" i="137"/>
  <c r="D70" i="137"/>
  <c r="G38" i="137"/>
  <c r="B53" i="137"/>
  <c r="C38" i="137"/>
  <c r="C63" i="137"/>
  <c r="J51" i="137"/>
  <c r="L23" i="137"/>
  <c r="AJ22" i="2" s="1"/>
  <c r="F60" i="137"/>
  <c r="D59" i="137"/>
  <c r="B70" i="135"/>
  <c r="B69" i="135"/>
  <c r="B66" i="135"/>
  <c r="B65" i="135"/>
  <c r="B64" i="135"/>
  <c r="B63" i="135"/>
  <c r="B62" i="135"/>
  <c r="B59" i="135"/>
  <c r="B58" i="135"/>
  <c r="B57" i="135"/>
  <c r="B56" i="135"/>
  <c r="B55" i="135"/>
  <c r="B54" i="135"/>
  <c r="B52" i="135"/>
  <c r="G44" i="135"/>
  <c r="F44" i="135"/>
  <c r="B44" i="135"/>
  <c r="E44" i="135" s="1"/>
  <c r="B43" i="135"/>
  <c r="D43" i="135" s="1"/>
  <c r="B40" i="135"/>
  <c r="E40" i="135" s="1"/>
  <c r="B39" i="135"/>
  <c r="C39" i="135" s="1"/>
  <c r="B38" i="135"/>
  <c r="G38" i="135" s="1"/>
  <c r="B37" i="135"/>
  <c r="G37" i="135" s="1"/>
  <c r="B36" i="135"/>
  <c r="F36" i="135" s="1"/>
  <c r="E33" i="135"/>
  <c r="B33" i="135"/>
  <c r="D33" i="135" s="1"/>
  <c r="B32" i="135"/>
  <c r="C32" i="135" s="1"/>
  <c r="G31" i="135"/>
  <c r="G57" i="135" s="1"/>
  <c r="B31" i="135"/>
  <c r="E31" i="135" s="1"/>
  <c r="B30" i="135"/>
  <c r="C30" i="135" s="1"/>
  <c r="B29" i="135"/>
  <c r="G29" i="135" s="1"/>
  <c r="B28" i="135"/>
  <c r="G28" i="135" s="1"/>
  <c r="B26" i="135"/>
  <c r="G21" i="135"/>
  <c r="F21" i="135"/>
  <c r="E21" i="135"/>
  <c r="D21" i="135"/>
  <c r="C21" i="135"/>
  <c r="B21" i="135"/>
  <c r="B45" i="135" s="1"/>
  <c r="H20" i="135"/>
  <c r="H44" i="135" s="1"/>
  <c r="H19" i="135"/>
  <c r="H43" i="135" s="1"/>
  <c r="G17" i="135"/>
  <c r="F17" i="135"/>
  <c r="E17" i="135"/>
  <c r="D17" i="135"/>
  <c r="C17" i="135"/>
  <c r="B17" i="135"/>
  <c r="B41" i="135" s="1"/>
  <c r="H16" i="135"/>
  <c r="H40" i="135" s="1"/>
  <c r="H15" i="135"/>
  <c r="H39" i="135" s="1"/>
  <c r="H65" i="135" s="1"/>
  <c r="H14" i="135"/>
  <c r="H13" i="135"/>
  <c r="H12" i="135"/>
  <c r="H36" i="135" s="1"/>
  <c r="H62" i="135" s="1"/>
  <c r="G10" i="135"/>
  <c r="F10" i="135"/>
  <c r="E10" i="135"/>
  <c r="D10" i="135"/>
  <c r="D34" i="135" s="1"/>
  <c r="C10" i="135"/>
  <c r="B10" i="135"/>
  <c r="B34" i="135" s="1"/>
  <c r="H9" i="135"/>
  <c r="H33" i="135" s="1"/>
  <c r="H8" i="135"/>
  <c r="H32" i="135" s="1"/>
  <c r="H7" i="135"/>
  <c r="H31" i="135" s="1"/>
  <c r="H6" i="135"/>
  <c r="H30" i="135" s="1"/>
  <c r="H56" i="135" s="1"/>
  <c r="H5" i="135"/>
  <c r="H29" i="135" s="1"/>
  <c r="H55" i="135" s="1"/>
  <c r="H4" i="135"/>
  <c r="H3" i="135"/>
  <c r="H27" i="135" s="1"/>
  <c r="G3" i="135"/>
  <c r="G53" i="135" s="1"/>
  <c r="F3" i="135"/>
  <c r="F27" i="135" s="1"/>
  <c r="E3" i="135"/>
  <c r="E27" i="135" s="1"/>
  <c r="D3" i="135"/>
  <c r="D27" i="135" s="1"/>
  <c r="C3" i="135"/>
  <c r="C27" i="135" s="1"/>
  <c r="B3" i="135"/>
  <c r="B27" i="135" s="1"/>
  <c r="B62" i="134"/>
  <c r="B57" i="134"/>
  <c r="B56" i="134"/>
  <c r="B55" i="134"/>
  <c r="B54" i="134"/>
  <c r="B53" i="134"/>
  <c r="B52" i="134"/>
  <c r="C50" i="134"/>
  <c r="H44" i="134"/>
  <c r="B44" i="134"/>
  <c r="D44" i="134" s="1"/>
  <c r="I43" i="134"/>
  <c r="G43" i="134"/>
  <c r="B43" i="134"/>
  <c r="B67" i="134" s="1"/>
  <c r="G40" i="134"/>
  <c r="F40" i="134"/>
  <c r="E40" i="134"/>
  <c r="C40" i="134"/>
  <c r="B40" i="134"/>
  <c r="J40" i="134" s="1"/>
  <c r="B39" i="134"/>
  <c r="D39" i="134" s="1"/>
  <c r="B38" i="134"/>
  <c r="F38" i="134" s="1"/>
  <c r="I37" i="134"/>
  <c r="B37" i="134"/>
  <c r="H37" i="134" s="1"/>
  <c r="I36" i="134"/>
  <c r="D36" i="134"/>
  <c r="C36" i="134"/>
  <c r="B36" i="134"/>
  <c r="J36" i="134" s="1"/>
  <c r="I33" i="134"/>
  <c r="I57" i="134" s="1"/>
  <c r="H33" i="134"/>
  <c r="H57" i="134" s="1"/>
  <c r="G33" i="134"/>
  <c r="G57" i="134" s="1"/>
  <c r="B33" i="134"/>
  <c r="F33" i="134" s="1"/>
  <c r="B32" i="134"/>
  <c r="H32" i="134" s="1"/>
  <c r="G31" i="134"/>
  <c r="B31" i="134"/>
  <c r="J31" i="134" s="1"/>
  <c r="G30" i="134"/>
  <c r="G54" i="134" s="1"/>
  <c r="B30" i="134"/>
  <c r="J30" i="134" s="1"/>
  <c r="I29" i="134"/>
  <c r="G29" i="134"/>
  <c r="G53" i="134" s="1"/>
  <c r="B29" i="134"/>
  <c r="F29" i="134" s="1"/>
  <c r="B28" i="134"/>
  <c r="H28" i="134" s="1"/>
  <c r="B26" i="134"/>
  <c r="J21" i="134"/>
  <c r="I21" i="134"/>
  <c r="H21" i="134"/>
  <c r="G21" i="134"/>
  <c r="F21" i="134"/>
  <c r="E21" i="134"/>
  <c r="D21" i="134"/>
  <c r="C21" i="134"/>
  <c r="B21" i="134"/>
  <c r="K20" i="134"/>
  <c r="K44" i="134" s="1"/>
  <c r="AH21" i="17" s="1"/>
  <c r="K19" i="134"/>
  <c r="K43" i="134" s="1"/>
  <c r="J17" i="134"/>
  <c r="I17" i="134"/>
  <c r="H17" i="134"/>
  <c r="G17" i="134"/>
  <c r="G23" i="134" s="1"/>
  <c r="H36" i="18" s="1"/>
  <c r="F17" i="134"/>
  <c r="F23" i="134" s="1"/>
  <c r="G36" i="18" s="1"/>
  <c r="E17" i="134"/>
  <c r="D17" i="134"/>
  <c r="C17" i="134"/>
  <c r="B17" i="134"/>
  <c r="K16" i="134"/>
  <c r="K40" i="134" s="1"/>
  <c r="K15" i="134"/>
  <c r="K14" i="134"/>
  <c r="K38" i="134" s="1"/>
  <c r="K13" i="134"/>
  <c r="K37" i="134" s="1"/>
  <c r="K12" i="134"/>
  <c r="K10" i="134"/>
  <c r="J10" i="134"/>
  <c r="I10" i="134"/>
  <c r="H10" i="134"/>
  <c r="G10" i="134"/>
  <c r="F10" i="134"/>
  <c r="E10" i="134"/>
  <c r="D10" i="134"/>
  <c r="C10" i="134"/>
  <c r="B10" i="134"/>
  <c r="K9" i="134"/>
  <c r="K33" i="134" s="1"/>
  <c r="K8" i="134"/>
  <c r="K7" i="134"/>
  <c r="K31" i="134" s="1"/>
  <c r="K6" i="134"/>
  <c r="K30" i="134" s="1"/>
  <c r="AH7" i="17" s="1"/>
  <c r="K5" i="134"/>
  <c r="K29" i="134" s="1"/>
  <c r="K4" i="134"/>
  <c r="K28" i="134" s="1"/>
  <c r="K3" i="134"/>
  <c r="K27" i="134" s="1"/>
  <c r="J3" i="134"/>
  <c r="J27" i="134" s="1"/>
  <c r="I3" i="134"/>
  <c r="I27" i="134" s="1"/>
  <c r="H3" i="134"/>
  <c r="H27" i="134" s="1"/>
  <c r="G3" i="134"/>
  <c r="G27" i="134" s="1"/>
  <c r="F3" i="134"/>
  <c r="F27" i="134" s="1"/>
  <c r="E3" i="134"/>
  <c r="E51" i="134" s="1"/>
  <c r="D3" i="134"/>
  <c r="D51" i="134" s="1"/>
  <c r="C3" i="134"/>
  <c r="C51" i="134" s="1"/>
  <c r="B3" i="134"/>
  <c r="B27" i="134" s="1"/>
  <c r="AD21" i="16"/>
  <c r="AD20" i="16"/>
  <c r="AD17" i="16"/>
  <c r="AD15" i="16"/>
  <c r="AD14" i="16"/>
  <c r="AD13" i="16"/>
  <c r="AD10" i="16"/>
  <c r="AD9" i="16"/>
  <c r="AD8" i="16"/>
  <c r="AD7" i="16"/>
  <c r="AD6" i="16"/>
  <c r="AD5" i="16"/>
  <c r="B57" i="133"/>
  <c r="F50" i="133"/>
  <c r="B50" i="133"/>
  <c r="E50" i="133" s="1"/>
  <c r="B49" i="133"/>
  <c r="D49" i="133" s="1"/>
  <c r="B45" i="133"/>
  <c r="G45" i="133" s="1"/>
  <c r="B44" i="133"/>
  <c r="G44" i="133" s="1"/>
  <c r="D43" i="133"/>
  <c r="B43" i="133"/>
  <c r="C43" i="133" s="1"/>
  <c r="B42" i="133"/>
  <c r="G42" i="133" s="1"/>
  <c r="B41" i="133"/>
  <c r="B37" i="133"/>
  <c r="D37" i="133" s="1"/>
  <c r="B36" i="133"/>
  <c r="C36" i="133" s="1"/>
  <c r="B35" i="133"/>
  <c r="D35" i="133" s="1"/>
  <c r="D34" i="133"/>
  <c r="B34" i="133"/>
  <c r="G34" i="133" s="1"/>
  <c r="D33" i="133"/>
  <c r="B33" i="133"/>
  <c r="C33" i="133" s="1"/>
  <c r="B32" i="133"/>
  <c r="G32" i="133" s="1"/>
  <c r="B29" i="133"/>
  <c r="G23" i="133"/>
  <c r="F23" i="133"/>
  <c r="E23" i="133"/>
  <c r="D23" i="133"/>
  <c r="C23" i="133"/>
  <c r="B23" i="133"/>
  <c r="AD22" i="16" s="1"/>
  <c r="H22" i="133"/>
  <c r="H21" i="133"/>
  <c r="H23" i="133" s="1"/>
  <c r="G18" i="133"/>
  <c r="F18" i="133"/>
  <c r="E18" i="133"/>
  <c r="D18" i="133"/>
  <c r="C18" i="133"/>
  <c r="B18" i="133"/>
  <c r="AD18" i="16" s="1"/>
  <c r="H17" i="133"/>
  <c r="H16" i="133"/>
  <c r="H15" i="133"/>
  <c r="H43" i="133" s="1"/>
  <c r="H14" i="133"/>
  <c r="H13" i="133"/>
  <c r="I13" i="133" s="1"/>
  <c r="AI13" i="2" s="1"/>
  <c r="G10" i="133"/>
  <c r="F10" i="133"/>
  <c r="E10" i="133"/>
  <c r="D10" i="133"/>
  <c r="C10" i="133"/>
  <c r="B10" i="133"/>
  <c r="AD11" i="16" s="1"/>
  <c r="H9" i="133"/>
  <c r="I9" i="133" s="1"/>
  <c r="AI10" i="2" s="1"/>
  <c r="H8" i="133"/>
  <c r="H36" i="133" s="1"/>
  <c r="H7" i="133"/>
  <c r="I7" i="133" s="1"/>
  <c r="AI8" i="2" s="1"/>
  <c r="H6" i="133"/>
  <c r="H34" i="133" s="1"/>
  <c r="H5" i="133"/>
  <c r="H4" i="133"/>
  <c r="H32" i="133" s="1"/>
  <c r="I3" i="133"/>
  <c r="H30" i="133" s="1"/>
  <c r="H3" i="133"/>
  <c r="G3" i="133"/>
  <c r="G30" i="133" s="1"/>
  <c r="F3" i="133"/>
  <c r="F30" i="133" s="1"/>
  <c r="E3" i="133"/>
  <c r="E30" i="133" s="1"/>
  <c r="D3" i="133"/>
  <c r="D58" i="133" s="1"/>
  <c r="C3" i="133"/>
  <c r="C58" i="133" s="1"/>
  <c r="B3" i="133"/>
  <c r="B30" i="133" s="1"/>
  <c r="AE19" i="3" l="1"/>
  <c r="AE18" i="3"/>
  <c r="AE22" i="3"/>
  <c r="C53" i="137"/>
  <c r="H53" i="137"/>
  <c r="I53" i="137"/>
  <c r="AE17" i="3"/>
  <c r="AE23" i="3"/>
  <c r="H65" i="137"/>
  <c r="E73" i="137"/>
  <c r="C73" i="137"/>
  <c r="D73" i="137"/>
  <c r="G65" i="137"/>
  <c r="E65" i="137"/>
  <c r="D65" i="137"/>
  <c r="C65" i="137"/>
  <c r="D53" i="137"/>
  <c r="F53" i="137"/>
  <c r="E53" i="137"/>
  <c r="G53" i="137"/>
  <c r="F73" i="137"/>
  <c r="F78" i="137"/>
  <c r="C78" i="137"/>
  <c r="E78" i="137"/>
  <c r="D78" i="137"/>
  <c r="G78" i="137"/>
  <c r="L25" i="137"/>
  <c r="AJ24" i="2" s="1"/>
  <c r="J53" i="137"/>
  <c r="C80" i="137" s="1"/>
  <c r="AH8" i="17"/>
  <c r="G64" i="134"/>
  <c r="AH17" i="17"/>
  <c r="K62" i="134"/>
  <c r="AH15" i="17"/>
  <c r="D23" i="134"/>
  <c r="E36" i="18" s="1"/>
  <c r="J55" i="134"/>
  <c r="F39" i="134"/>
  <c r="F63" i="134" s="1"/>
  <c r="F51" i="134"/>
  <c r="C64" i="134"/>
  <c r="H44" i="133"/>
  <c r="D71" i="133" s="1"/>
  <c r="E35" i="133"/>
  <c r="E44" i="133"/>
  <c r="K39" i="134"/>
  <c r="AH16" i="17" s="1"/>
  <c r="E23" i="134"/>
  <c r="F36" i="18" s="1"/>
  <c r="C30" i="134"/>
  <c r="C31" i="134"/>
  <c r="C55" i="134" s="1"/>
  <c r="I32" i="134"/>
  <c r="D60" i="134"/>
  <c r="G39" i="134"/>
  <c r="C44" i="134"/>
  <c r="G51" i="134"/>
  <c r="B63" i="134"/>
  <c r="H50" i="133"/>
  <c r="K32" i="134"/>
  <c r="D30" i="134"/>
  <c r="D31" i="134"/>
  <c r="D55" i="134" s="1"/>
  <c r="J32" i="134"/>
  <c r="E36" i="134"/>
  <c r="G38" i="134"/>
  <c r="H39" i="134"/>
  <c r="I40" i="134"/>
  <c r="I64" i="134" s="1"/>
  <c r="E44" i="134"/>
  <c r="H10" i="133"/>
  <c r="I22" i="133"/>
  <c r="AI21" i="2" s="1"/>
  <c r="K57" i="134"/>
  <c r="AH10" i="17"/>
  <c r="I28" i="134"/>
  <c r="E30" i="134"/>
  <c r="E31" i="134"/>
  <c r="E55" i="134" s="1"/>
  <c r="F36" i="134"/>
  <c r="H38" i="134"/>
  <c r="I39" i="134"/>
  <c r="I63" i="134" s="1"/>
  <c r="F44" i="134"/>
  <c r="B58" i="134"/>
  <c r="B68" i="134"/>
  <c r="B69" i="134" s="1"/>
  <c r="H10" i="135"/>
  <c r="H34" i="135" s="1"/>
  <c r="H60" i="135" s="1"/>
  <c r="E59" i="135"/>
  <c r="B60" i="135"/>
  <c r="K67" i="134"/>
  <c r="AH20" i="17"/>
  <c r="F53" i="134"/>
  <c r="F30" i="134"/>
  <c r="F54" i="134" s="1"/>
  <c r="F31" i="134"/>
  <c r="F55" i="134" s="1"/>
  <c r="G36" i="134"/>
  <c r="I38" i="134"/>
  <c r="I62" i="134" s="1"/>
  <c r="J64" i="134"/>
  <c r="B45" i="134"/>
  <c r="H45" i="134" s="1"/>
  <c r="G44" i="134"/>
  <c r="G68" i="134" s="1"/>
  <c r="E34" i="135"/>
  <c r="G45" i="135"/>
  <c r="F33" i="135"/>
  <c r="F40" i="135"/>
  <c r="G33" i="135"/>
  <c r="G40" i="135"/>
  <c r="K52" i="134"/>
  <c r="AH5" i="17"/>
  <c r="K17" i="134"/>
  <c r="B23" i="134"/>
  <c r="B36" i="18" s="1"/>
  <c r="H29" i="134"/>
  <c r="H30" i="134"/>
  <c r="I31" i="134"/>
  <c r="I55" i="134" s="1"/>
  <c r="K36" i="134"/>
  <c r="C39" i="134"/>
  <c r="C63" i="134" s="1"/>
  <c r="D40" i="134"/>
  <c r="D64" i="134" s="1"/>
  <c r="H43" i="134"/>
  <c r="I44" i="134"/>
  <c r="D63" i="134"/>
  <c r="H42" i="133"/>
  <c r="K53" i="134"/>
  <c r="AH6" i="17"/>
  <c r="K61" i="134"/>
  <c r="AH14" i="17"/>
  <c r="C23" i="134"/>
  <c r="D36" i="18" s="1"/>
  <c r="I30" i="134"/>
  <c r="J60" i="134"/>
  <c r="E39" i="134"/>
  <c r="E63" i="134" s="1"/>
  <c r="E64" i="134"/>
  <c r="F31" i="135"/>
  <c r="F57" i="135" s="1"/>
  <c r="C36" i="135"/>
  <c r="C62" i="135" s="1"/>
  <c r="D69" i="135"/>
  <c r="E43" i="135"/>
  <c r="E69" i="135" s="1"/>
  <c r="F43" i="135"/>
  <c r="G43" i="135"/>
  <c r="H37" i="135"/>
  <c r="H63" i="135" s="1"/>
  <c r="G66" i="135"/>
  <c r="C65" i="135"/>
  <c r="F62" i="135"/>
  <c r="C40" i="135"/>
  <c r="G36" i="135"/>
  <c r="G62" i="135" s="1"/>
  <c r="D40" i="135"/>
  <c r="H38" i="135"/>
  <c r="H64" i="135" s="1"/>
  <c r="E60" i="135"/>
  <c r="H28" i="135"/>
  <c r="H54" i="135" s="1"/>
  <c r="C58" i="135"/>
  <c r="D32" i="135"/>
  <c r="E32" i="135"/>
  <c r="C31" i="135"/>
  <c r="C57" i="135" s="1"/>
  <c r="F32" i="135"/>
  <c r="F58" i="135" s="1"/>
  <c r="D31" i="135"/>
  <c r="D57" i="135" s="1"/>
  <c r="G32" i="135"/>
  <c r="G54" i="135"/>
  <c r="D59" i="135"/>
  <c r="G49" i="133"/>
  <c r="F49" i="133"/>
  <c r="E51" i="133"/>
  <c r="H49" i="133"/>
  <c r="F76" i="133" s="1"/>
  <c r="G50" i="133"/>
  <c r="B51" i="133"/>
  <c r="D51" i="133" s="1"/>
  <c r="E49" i="133"/>
  <c r="C42" i="133"/>
  <c r="C45" i="133"/>
  <c r="I15" i="133"/>
  <c r="AI15" i="2" s="1"/>
  <c r="D45" i="133"/>
  <c r="E45" i="133"/>
  <c r="H41" i="133"/>
  <c r="I16" i="133"/>
  <c r="AI16" i="2" s="1"/>
  <c r="F45" i="133"/>
  <c r="H45" i="133"/>
  <c r="G72" i="133" s="1"/>
  <c r="C44" i="133"/>
  <c r="D44" i="133"/>
  <c r="I5" i="133"/>
  <c r="AI6" i="2" s="1"/>
  <c r="G61" i="133"/>
  <c r="F35" i="133"/>
  <c r="C37" i="133"/>
  <c r="C34" i="133"/>
  <c r="G35" i="133"/>
  <c r="E37" i="133"/>
  <c r="F37" i="133"/>
  <c r="E34" i="133"/>
  <c r="D36" i="133"/>
  <c r="G37" i="133"/>
  <c r="I8" i="133"/>
  <c r="AI9" i="2" s="1"/>
  <c r="G59" i="133"/>
  <c r="E36" i="133"/>
  <c r="H37" i="133"/>
  <c r="D64" i="133"/>
  <c r="B25" i="133"/>
  <c r="AD24" i="16" s="1"/>
  <c r="C32" i="133"/>
  <c r="C35" i="133"/>
  <c r="F36" i="133"/>
  <c r="I4" i="133"/>
  <c r="AI5" i="2" s="1"/>
  <c r="C25" i="133"/>
  <c r="AD6" i="3" s="1"/>
  <c r="G36" i="133"/>
  <c r="G63" i="133" s="1"/>
  <c r="G27" i="135"/>
  <c r="D60" i="135"/>
  <c r="D66" i="135"/>
  <c r="H66" i="135"/>
  <c r="E66" i="135"/>
  <c r="G70" i="135"/>
  <c r="H70" i="135"/>
  <c r="F66" i="135"/>
  <c r="D45" i="135"/>
  <c r="C41" i="135"/>
  <c r="C56" i="135"/>
  <c r="D58" i="135"/>
  <c r="E41" i="135"/>
  <c r="D41" i="135"/>
  <c r="G55" i="135"/>
  <c r="H58" i="135"/>
  <c r="E58" i="135"/>
  <c r="G59" i="135"/>
  <c r="F59" i="135"/>
  <c r="H59" i="135"/>
  <c r="F41" i="135"/>
  <c r="F45" i="135"/>
  <c r="C66" i="135"/>
  <c r="H57" i="135"/>
  <c r="E57" i="135"/>
  <c r="F34" i="135"/>
  <c r="F60" i="135" s="1"/>
  <c r="G34" i="135"/>
  <c r="G60" i="135" s="1"/>
  <c r="G41" i="135"/>
  <c r="E70" i="135"/>
  <c r="C45" i="135"/>
  <c r="E45" i="135"/>
  <c r="C34" i="135"/>
  <c r="C60" i="135" s="1"/>
  <c r="G69" i="135"/>
  <c r="F69" i="135"/>
  <c r="H69" i="135"/>
  <c r="G58" i="135"/>
  <c r="F70" i="135"/>
  <c r="H21" i="135"/>
  <c r="C29" i="135"/>
  <c r="C55" i="135" s="1"/>
  <c r="D30" i="135"/>
  <c r="D56" i="135" s="1"/>
  <c r="C38" i="135"/>
  <c r="C64" i="135" s="1"/>
  <c r="D39" i="135"/>
  <c r="D65" i="135" s="1"/>
  <c r="B53" i="135"/>
  <c r="B71" i="135"/>
  <c r="G23" i="135"/>
  <c r="B23" i="135"/>
  <c r="C28" i="135"/>
  <c r="D29" i="135"/>
  <c r="D55" i="135" s="1"/>
  <c r="E30" i="135"/>
  <c r="E56" i="135" s="1"/>
  <c r="C37" i="135"/>
  <c r="C63" i="135" s="1"/>
  <c r="D38" i="135"/>
  <c r="D64" i="135" s="1"/>
  <c r="E39" i="135"/>
  <c r="E65" i="135" s="1"/>
  <c r="C53" i="135"/>
  <c r="H53" i="135"/>
  <c r="C23" i="135"/>
  <c r="D28" i="135"/>
  <c r="E29" i="135"/>
  <c r="E55" i="135" s="1"/>
  <c r="F30" i="135"/>
  <c r="F56" i="135" s="1"/>
  <c r="D37" i="135"/>
  <c r="D63" i="135" s="1"/>
  <c r="E38" i="135"/>
  <c r="E64" i="135" s="1"/>
  <c r="F39" i="135"/>
  <c r="F65" i="135" s="1"/>
  <c r="D53" i="135"/>
  <c r="D23" i="135"/>
  <c r="E28" i="135"/>
  <c r="F29" i="135"/>
  <c r="F55" i="135" s="1"/>
  <c r="G30" i="135"/>
  <c r="G56" i="135" s="1"/>
  <c r="D36" i="135"/>
  <c r="D62" i="135" s="1"/>
  <c r="E37" i="135"/>
  <c r="E63" i="135" s="1"/>
  <c r="F38" i="135"/>
  <c r="F64" i="135" s="1"/>
  <c r="G39" i="135"/>
  <c r="G65" i="135" s="1"/>
  <c r="C44" i="135"/>
  <c r="C70" i="135" s="1"/>
  <c r="E53" i="135"/>
  <c r="B67" i="135"/>
  <c r="E23" i="135"/>
  <c r="F28" i="135"/>
  <c r="F54" i="135" s="1"/>
  <c r="C33" i="135"/>
  <c r="C59" i="135" s="1"/>
  <c r="E36" i="135"/>
  <c r="E62" i="135" s="1"/>
  <c r="F37" i="135"/>
  <c r="F63" i="135" s="1"/>
  <c r="C43" i="135"/>
  <c r="C69" i="135" s="1"/>
  <c r="D44" i="135"/>
  <c r="D70" i="135" s="1"/>
  <c r="F53" i="135"/>
  <c r="H17" i="135"/>
  <c r="H41" i="135" s="1"/>
  <c r="H67" i="135" s="1"/>
  <c r="F23" i="135"/>
  <c r="H53" i="134"/>
  <c r="H67" i="134"/>
  <c r="I68" i="134"/>
  <c r="H68" i="134"/>
  <c r="K68" i="134"/>
  <c r="I53" i="134"/>
  <c r="H61" i="134"/>
  <c r="I67" i="134"/>
  <c r="J54" i="134"/>
  <c r="I61" i="134"/>
  <c r="D68" i="134"/>
  <c r="G67" i="134"/>
  <c r="H63" i="134"/>
  <c r="K63" i="134"/>
  <c r="C54" i="134"/>
  <c r="I56" i="134"/>
  <c r="F62" i="134"/>
  <c r="G63" i="134"/>
  <c r="C68" i="134"/>
  <c r="D54" i="134"/>
  <c r="J56" i="134"/>
  <c r="G62" i="134"/>
  <c r="E68" i="134"/>
  <c r="I54" i="134"/>
  <c r="H54" i="134"/>
  <c r="K54" i="134"/>
  <c r="H52" i="134"/>
  <c r="I52" i="134"/>
  <c r="E54" i="134"/>
  <c r="F57" i="134"/>
  <c r="H62" i="134"/>
  <c r="F68" i="134"/>
  <c r="C27" i="134"/>
  <c r="G55" i="134"/>
  <c r="H23" i="134"/>
  <c r="E27" i="134"/>
  <c r="C28" i="134"/>
  <c r="C52" i="134" s="1"/>
  <c r="C32" i="134"/>
  <c r="C56" i="134" s="1"/>
  <c r="C37" i="134"/>
  <c r="C61" i="134" s="1"/>
  <c r="H51" i="134"/>
  <c r="B41" i="134"/>
  <c r="K21" i="134"/>
  <c r="I23" i="134"/>
  <c r="D28" i="134"/>
  <c r="D52" i="134" s="1"/>
  <c r="J29" i="134"/>
  <c r="J53" i="134" s="1"/>
  <c r="D32" i="134"/>
  <c r="D56" i="134" s="1"/>
  <c r="J33" i="134"/>
  <c r="J57" i="134" s="1"/>
  <c r="D37" i="134"/>
  <c r="D61" i="134" s="1"/>
  <c r="J38" i="134"/>
  <c r="J62" i="134" s="1"/>
  <c r="J43" i="134"/>
  <c r="J67" i="134" s="1"/>
  <c r="I51" i="134"/>
  <c r="J23" i="134"/>
  <c r="K36" i="18" s="1"/>
  <c r="E28" i="134"/>
  <c r="E52" i="134" s="1"/>
  <c r="C29" i="134"/>
  <c r="C53" i="134" s="1"/>
  <c r="E32" i="134"/>
  <c r="E56" i="134" s="1"/>
  <c r="C33" i="134"/>
  <c r="C57" i="134" s="1"/>
  <c r="E37" i="134"/>
  <c r="E61" i="134" s="1"/>
  <c r="C38" i="134"/>
  <c r="C62" i="134" s="1"/>
  <c r="C43" i="134"/>
  <c r="C67" i="134" s="1"/>
  <c r="B51" i="134"/>
  <c r="J51" i="134"/>
  <c r="B60" i="134"/>
  <c r="B64" i="134"/>
  <c r="F64" i="134"/>
  <c r="D27" i="134"/>
  <c r="J37" i="134"/>
  <c r="J61" i="134" s="1"/>
  <c r="F28" i="134"/>
  <c r="F52" i="134" s="1"/>
  <c r="D29" i="134"/>
  <c r="D53" i="134" s="1"/>
  <c r="H31" i="134"/>
  <c r="H55" i="134" s="1"/>
  <c r="F32" i="134"/>
  <c r="F56" i="134" s="1"/>
  <c r="D33" i="134"/>
  <c r="D57" i="134" s="1"/>
  <c r="B34" i="134"/>
  <c r="I34" i="134" s="1"/>
  <c r="H36" i="134"/>
  <c r="H60" i="134" s="1"/>
  <c r="F37" i="134"/>
  <c r="F61" i="134" s="1"/>
  <c r="D38" i="134"/>
  <c r="D62" i="134" s="1"/>
  <c r="J39" i="134"/>
  <c r="J63" i="134" s="1"/>
  <c r="H40" i="134"/>
  <c r="H64" i="134" s="1"/>
  <c r="D43" i="134"/>
  <c r="D67" i="134" s="1"/>
  <c r="J44" i="134"/>
  <c r="J68" i="134" s="1"/>
  <c r="K51" i="134"/>
  <c r="K55" i="134"/>
  <c r="K60" i="134"/>
  <c r="K64" i="134"/>
  <c r="F60" i="134"/>
  <c r="G28" i="134"/>
  <c r="G52" i="134" s="1"/>
  <c r="E29" i="134"/>
  <c r="E53" i="134" s="1"/>
  <c r="G32" i="134"/>
  <c r="G56" i="134" s="1"/>
  <c r="E33" i="134"/>
  <c r="E57" i="134" s="1"/>
  <c r="G37" i="134"/>
  <c r="G61" i="134" s="1"/>
  <c r="E38" i="134"/>
  <c r="E62" i="134" s="1"/>
  <c r="E43" i="134"/>
  <c r="E67" i="134" s="1"/>
  <c r="B61" i="134"/>
  <c r="J28" i="134"/>
  <c r="J52" i="134" s="1"/>
  <c r="F43" i="134"/>
  <c r="F67" i="134" s="1"/>
  <c r="C61" i="133"/>
  <c r="D70" i="133"/>
  <c r="E77" i="133"/>
  <c r="D61" i="133"/>
  <c r="C63" i="133"/>
  <c r="F77" i="133"/>
  <c r="G69" i="133"/>
  <c r="C69" i="133"/>
  <c r="C70" i="133"/>
  <c r="I23" i="133"/>
  <c r="AI22" i="2" s="1"/>
  <c r="E61" i="133"/>
  <c r="D63" i="133"/>
  <c r="G77" i="133"/>
  <c r="I10" i="133"/>
  <c r="AI11" i="2" s="1"/>
  <c r="E63" i="133"/>
  <c r="C59" i="133"/>
  <c r="F63" i="133"/>
  <c r="H18" i="133"/>
  <c r="H25" i="133" s="1"/>
  <c r="AD13" i="3" s="1"/>
  <c r="D25" i="133"/>
  <c r="AD7" i="3" s="1"/>
  <c r="C30" i="133"/>
  <c r="D32" i="133"/>
  <c r="D59" i="133" s="1"/>
  <c r="E33" i="133"/>
  <c r="F34" i="133"/>
  <c r="F61" i="133" s="1"/>
  <c r="B38" i="133"/>
  <c r="H38" i="133" s="1"/>
  <c r="C41" i="133"/>
  <c r="C68" i="133" s="1"/>
  <c r="D42" i="133"/>
  <c r="D69" i="133" s="1"/>
  <c r="E43" i="133"/>
  <c r="E70" i="133" s="1"/>
  <c r="F44" i="133"/>
  <c r="F71" i="133" s="1"/>
  <c r="E58" i="133"/>
  <c r="I6" i="133"/>
  <c r="AI7" i="2" s="1"/>
  <c r="I17" i="133"/>
  <c r="AI17" i="2" s="1"/>
  <c r="E25" i="133"/>
  <c r="AD8" i="3" s="1"/>
  <c r="D30" i="133"/>
  <c r="E32" i="133"/>
  <c r="E59" i="133" s="1"/>
  <c r="F33" i="133"/>
  <c r="H35" i="133"/>
  <c r="G62" i="133" s="1"/>
  <c r="D41" i="133"/>
  <c r="D68" i="133" s="1"/>
  <c r="E42" i="133"/>
  <c r="E69" i="133" s="1"/>
  <c r="F43" i="133"/>
  <c r="F70" i="133" s="1"/>
  <c r="C50" i="133"/>
  <c r="C77" i="133" s="1"/>
  <c r="F58" i="133"/>
  <c r="F25" i="133"/>
  <c r="AD9" i="3" s="1"/>
  <c r="F32" i="133"/>
  <c r="F59" i="133" s="1"/>
  <c r="G33" i="133"/>
  <c r="E41" i="133"/>
  <c r="E68" i="133" s="1"/>
  <c r="F42" i="133"/>
  <c r="F69" i="133" s="1"/>
  <c r="G43" i="133"/>
  <c r="G70" i="133" s="1"/>
  <c r="B46" i="133"/>
  <c r="D46" i="133" s="1"/>
  <c r="C49" i="133"/>
  <c r="C76" i="133" s="1"/>
  <c r="D50" i="133"/>
  <c r="D77" i="133" s="1"/>
  <c r="G58" i="133"/>
  <c r="I14" i="133"/>
  <c r="AI14" i="2" s="1"/>
  <c r="I21" i="133"/>
  <c r="AI20" i="2" s="1"/>
  <c r="G25" i="133"/>
  <c r="AD10" i="3" s="1"/>
  <c r="H33" i="133"/>
  <c r="D60" i="133" s="1"/>
  <c r="F41" i="133"/>
  <c r="F68" i="133" s="1"/>
  <c r="G41" i="133"/>
  <c r="G68" i="133" s="1"/>
  <c r="E76" i="133"/>
  <c r="A136" i="18"/>
  <c r="B70" i="131"/>
  <c r="B69" i="131"/>
  <c r="B66" i="131"/>
  <c r="B65" i="131"/>
  <c r="B64" i="131"/>
  <c r="B63" i="131"/>
  <c r="B62" i="131"/>
  <c r="B59" i="131"/>
  <c r="B58" i="131"/>
  <c r="B57" i="131"/>
  <c r="B56" i="131"/>
  <c r="B55" i="131"/>
  <c r="B54" i="131"/>
  <c r="B52" i="131"/>
  <c r="B44" i="131"/>
  <c r="E44" i="131" s="1"/>
  <c r="B43" i="131"/>
  <c r="D43" i="131" s="1"/>
  <c r="G40" i="131"/>
  <c r="F40" i="131"/>
  <c r="B40" i="131"/>
  <c r="E40" i="131" s="1"/>
  <c r="B39" i="131"/>
  <c r="G39" i="131" s="1"/>
  <c r="B38" i="131"/>
  <c r="F38" i="131" s="1"/>
  <c r="B37" i="131"/>
  <c r="G37" i="131" s="1"/>
  <c r="B36" i="131"/>
  <c r="F36" i="131" s="1"/>
  <c r="B33" i="131"/>
  <c r="D33" i="131" s="1"/>
  <c r="B32" i="131"/>
  <c r="C32" i="131" s="1"/>
  <c r="B31" i="131"/>
  <c r="G31" i="131" s="1"/>
  <c r="B30" i="131"/>
  <c r="B29" i="131"/>
  <c r="F29" i="131" s="1"/>
  <c r="B28" i="131"/>
  <c r="G28" i="131" s="1"/>
  <c r="B26" i="131"/>
  <c r="G21" i="131"/>
  <c r="F21" i="131"/>
  <c r="E21" i="131"/>
  <c r="D21" i="131"/>
  <c r="C21" i="131"/>
  <c r="B21" i="131"/>
  <c r="B45" i="131" s="1"/>
  <c r="H20" i="131"/>
  <c r="H19" i="131"/>
  <c r="H43" i="131" s="1"/>
  <c r="G17" i="131"/>
  <c r="F17" i="131"/>
  <c r="E17" i="131"/>
  <c r="D17" i="131"/>
  <c r="C17" i="131"/>
  <c r="B17" i="131"/>
  <c r="B67" i="131" s="1"/>
  <c r="H16" i="131"/>
  <c r="H40" i="131" s="1"/>
  <c r="H15" i="131"/>
  <c r="H39" i="131" s="1"/>
  <c r="H65" i="131" s="1"/>
  <c r="H14" i="131"/>
  <c r="H38" i="131" s="1"/>
  <c r="H64" i="131" s="1"/>
  <c r="H13" i="131"/>
  <c r="H12" i="131"/>
  <c r="G10" i="131"/>
  <c r="F10" i="131"/>
  <c r="E10" i="131"/>
  <c r="D10" i="131"/>
  <c r="C10" i="131"/>
  <c r="B10" i="131"/>
  <c r="B34" i="131" s="1"/>
  <c r="H9" i="131"/>
  <c r="H8" i="131"/>
  <c r="H7" i="131"/>
  <c r="H6" i="131"/>
  <c r="H5" i="131"/>
  <c r="H29" i="131" s="1"/>
  <c r="H55" i="131" s="1"/>
  <c r="H4" i="131"/>
  <c r="H3" i="131"/>
  <c r="H27" i="131" s="1"/>
  <c r="G3" i="131"/>
  <c r="G53" i="131" s="1"/>
  <c r="F3" i="131"/>
  <c r="F27" i="131" s="1"/>
  <c r="E3" i="131"/>
  <c r="E27" i="131" s="1"/>
  <c r="D3" i="131"/>
  <c r="D27" i="131" s="1"/>
  <c r="C3" i="131"/>
  <c r="C27" i="131" s="1"/>
  <c r="B3" i="131"/>
  <c r="B27" i="131" s="1"/>
  <c r="AE25" i="3" l="1"/>
  <c r="AE20" i="3"/>
  <c r="H80" i="137"/>
  <c r="E80" i="137"/>
  <c r="F80" i="137"/>
  <c r="G80" i="137"/>
  <c r="D80" i="137"/>
  <c r="F45" i="134"/>
  <c r="F72" i="133"/>
  <c r="G60" i="134"/>
  <c r="AH13" i="17"/>
  <c r="D34" i="131"/>
  <c r="B47" i="134"/>
  <c r="G47" i="134" s="1"/>
  <c r="G41" i="132" s="1"/>
  <c r="K56" i="134"/>
  <c r="AH9" i="17"/>
  <c r="I60" i="134"/>
  <c r="J34" i="134"/>
  <c r="E71" i="133"/>
  <c r="C71" i="133"/>
  <c r="G71" i="133"/>
  <c r="I45" i="134"/>
  <c r="E45" i="134"/>
  <c r="J45" i="134"/>
  <c r="C34" i="134"/>
  <c r="D45" i="134"/>
  <c r="C60" i="134"/>
  <c r="C62" i="133"/>
  <c r="I47" i="134"/>
  <c r="C31" i="132" s="1"/>
  <c r="J36" i="18"/>
  <c r="H47" i="134"/>
  <c r="D46" i="132" s="1"/>
  <c r="I36" i="18"/>
  <c r="G45" i="134"/>
  <c r="C45" i="134"/>
  <c r="D72" i="133"/>
  <c r="H56" i="134"/>
  <c r="E60" i="134"/>
  <c r="E72" i="133"/>
  <c r="E64" i="133"/>
  <c r="C72" i="133"/>
  <c r="G76" i="133"/>
  <c r="D67" i="135"/>
  <c r="F67" i="135"/>
  <c r="B73" i="135"/>
  <c r="G67" i="135"/>
  <c r="G64" i="135"/>
  <c r="G63" i="135"/>
  <c r="E54" i="135"/>
  <c r="D54" i="135"/>
  <c r="C54" i="135"/>
  <c r="B47" i="135"/>
  <c r="G47" i="135" s="1"/>
  <c r="H171" i="18"/>
  <c r="F171" i="18"/>
  <c r="G51" i="133"/>
  <c r="F51" i="133"/>
  <c r="C51" i="133"/>
  <c r="H51" i="133"/>
  <c r="D78" i="133" s="1"/>
  <c r="AD18" i="3"/>
  <c r="D76" i="133"/>
  <c r="AD21" i="3"/>
  <c r="AD22" i="3"/>
  <c r="AD19" i="3"/>
  <c r="F64" i="133"/>
  <c r="AD17" i="3"/>
  <c r="C64" i="133"/>
  <c r="G64" i="133"/>
  <c r="AD20" i="3"/>
  <c r="C60" i="133"/>
  <c r="E67" i="135"/>
  <c r="C67" i="135"/>
  <c r="H45" i="135"/>
  <c r="F71" i="135" s="1"/>
  <c r="H23" i="135"/>
  <c r="C71" i="135"/>
  <c r="D71" i="135"/>
  <c r="E47" i="134"/>
  <c r="C16" i="132" s="1"/>
  <c r="I41" i="134"/>
  <c r="C41" i="134"/>
  <c r="J41" i="134"/>
  <c r="H41" i="134"/>
  <c r="D41" i="134"/>
  <c r="F47" i="134"/>
  <c r="J38" i="132" s="1"/>
  <c r="D47" i="134"/>
  <c r="J8" i="132" s="1"/>
  <c r="F34" i="134"/>
  <c r="E34" i="134"/>
  <c r="E58" i="134" s="1"/>
  <c r="G41" i="134"/>
  <c r="C47" i="134"/>
  <c r="G5" i="132" s="1"/>
  <c r="F41" i="134"/>
  <c r="E41" i="134"/>
  <c r="B65" i="134"/>
  <c r="B71" i="134" s="1"/>
  <c r="K41" i="134"/>
  <c r="G34" i="134"/>
  <c r="G58" i="134" s="1"/>
  <c r="D34" i="134"/>
  <c r="D58" i="134" s="1"/>
  <c r="K23" i="134"/>
  <c r="K47" i="134" s="1"/>
  <c r="K45" i="134"/>
  <c r="J47" i="134"/>
  <c r="J29" i="132" s="1"/>
  <c r="H34" i="134"/>
  <c r="K34" i="134"/>
  <c r="B53" i="133"/>
  <c r="C53" i="133" s="1"/>
  <c r="F46" i="133"/>
  <c r="G53" i="133"/>
  <c r="E60" i="133"/>
  <c r="G38" i="133"/>
  <c r="G65" i="133" s="1"/>
  <c r="G60" i="133"/>
  <c r="C46" i="133"/>
  <c r="C38" i="133"/>
  <c r="C65" i="133" s="1"/>
  <c r="E38" i="133"/>
  <c r="E65" i="133" s="1"/>
  <c r="F38" i="133"/>
  <c r="F65" i="133" s="1"/>
  <c r="F53" i="133"/>
  <c r="I25" i="133"/>
  <c r="AI24" i="2" s="1"/>
  <c r="F62" i="133"/>
  <c r="G46" i="133"/>
  <c r="D38" i="133"/>
  <c r="D65" i="133" s="1"/>
  <c r="E62" i="133"/>
  <c r="F60" i="133"/>
  <c r="E46" i="133"/>
  <c r="I18" i="133"/>
  <c r="AI18" i="2" s="1"/>
  <c r="H46" i="133"/>
  <c r="D73" i="133" s="1"/>
  <c r="D62" i="133"/>
  <c r="H37" i="131"/>
  <c r="H63" i="131" s="1"/>
  <c r="B41" i="131"/>
  <c r="D41" i="131" s="1"/>
  <c r="G41" i="131"/>
  <c r="C41" i="131"/>
  <c r="C67" i="131" s="1"/>
  <c r="E66" i="131"/>
  <c r="H10" i="131"/>
  <c r="H34" i="131" s="1"/>
  <c r="C43" i="131"/>
  <c r="H44" i="131"/>
  <c r="H70" i="131" s="1"/>
  <c r="E43" i="131"/>
  <c r="F44" i="131"/>
  <c r="F70" i="131" s="1"/>
  <c r="F43" i="131"/>
  <c r="F69" i="131" s="1"/>
  <c r="G43" i="131"/>
  <c r="G69" i="131" s="1"/>
  <c r="E38" i="131"/>
  <c r="E64" i="131" s="1"/>
  <c r="E36" i="131"/>
  <c r="G38" i="131"/>
  <c r="G64" i="131" s="1"/>
  <c r="G36" i="131"/>
  <c r="D37" i="131"/>
  <c r="C40" i="131"/>
  <c r="C66" i="131" s="1"/>
  <c r="H36" i="131"/>
  <c r="H62" i="131" s="1"/>
  <c r="F37" i="131"/>
  <c r="D40" i="131"/>
  <c r="F64" i="131"/>
  <c r="C36" i="131"/>
  <c r="F34" i="131"/>
  <c r="E34" i="131"/>
  <c r="D28" i="131"/>
  <c r="C31" i="131"/>
  <c r="C57" i="131" s="1"/>
  <c r="C33" i="131"/>
  <c r="F28" i="131"/>
  <c r="D31" i="131"/>
  <c r="D57" i="131" s="1"/>
  <c r="E33" i="131"/>
  <c r="H31" i="131"/>
  <c r="G57" i="131" s="1"/>
  <c r="G34" i="131"/>
  <c r="H28" i="131"/>
  <c r="H54" i="131" s="1"/>
  <c r="E31" i="131"/>
  <c r="F33" i="131"/>
  <c r="B60" i="131"/>
  <c r="F31" i="131"/>
  <c r="F57" i="131" s="1"/>
  <c r="G33" i="131"/>
  <c r="H33" i="131"/>
  <c r="F59" i="131" s="1"/>
  <c r="E29" i="131"/>
  <c r="E55" i="131" s="1"/>
  <c r="E23" i="131"/>
  <c r="F78" i="18" s="1"/>
  <c r="G29" i="131"/>
  <c r="G55" i="131" s="1"/>
  <c r="C34" i="131"/>
  <c r="H30" i="131"/>
  <c r="H56" i="131" s="1"/>
  <c r="D32" i="131"/>
  <c r="G27" i="131"/>
  <c r="H69" i="131"/>
  <c r="E45" i="131"/>
  <c r="C45" i="131"/>
  <c r="G45" i="131"/>
  <c r="G66" i="131"/>
  <c r="E70" i="131"/>
  <c r="D45" i="131"/>
  <c r="E59" i="131"/>
  <c r="G65" i="131"/>
  <c r="D69" i="131"/>
  <c r="H59" i="131"/>
  <c r="F45" i="131"/>
  <c r="F55" i="131"/>
  <c r="C69" i="131"/>
  <c r="E69" i="131"/>
  <c r="H66" i="131"/>
  <c r="D66" i="131"/>
  <c r="F66" i="131"/>
  <c r="H53" i="131"/>
  <c r="H17" i="131"/>
  <c r="H41" i="131" s="1"/>
  <c r="H67" i="131" s="1"/>
  <c r="C30" i="131"/>
  <c r="E32" i="131"/>
  <c r="C39" i="131"/>
  <c r="C65" i="131" s="1"/>
  <c r="E41" i="131"/>
  <c r="G44" i="131"/>
  <c r="G23" i="131"/>
  <c r="H78" i="18" s="1"/>
  <c r="H21" i="131"/>
  <c r="C29" i="131"/>
  <c r="C55" i="131" s="1"/>
  <c r="D30" i="131"/>
  <c r="F32" i="131"/>
  <c r="C38" i="131"/>
  <c r="C64" i="131" s="1"/>
  <c r="D39" i="131"/>
  <c r="D65" i="131" s="1"/>
  <c r="B53" i="131"/>
  <c r="B71" i="131"/>
  <c r="B73" i="131" s="1"/>
  <c r="B23" i="131"/>
  <c r="C28" i="131"/>
  <c r="D29" i="131"/>
  <c r="D55" i="131" s="1"/>
  <c r="E30" i="131"/>
  <c r="G32" i="131"/>
  <c r="C37" i="131"/>
  <c r="D38" i="131"/>
  <c r="D64" i="131" s="1"/>
  <c r="E39" i="131"/>
  <c r="E65" i="131" s="1"/>
  <c r="C53" i="131"/>
  <c r="C23" i="131"/>
  <c r="D78" i="18" s="1"/>
  <c r="F30" i="131"/>
  <c r="H32" i="131"/>
  <c r="H58" i="131" s="1"/>
  <c r="F39" i="131"/>
  <c r="F65" i="131" s="1"/>
  <c r="D53" i="131"/>
  <c r="D23" i="131"/>
  <c r="E78" i="18" s="1"/>
  <c r="E28" i="131"/>
  <c r="G30" i="131"/>
  <c r="D36" i="131"/>
  <c r="E37" i="131"/>
  <c r="C44" i="131"/>
  <c r="C70" i="131" s="1"/>
  <c r="E53" i="131"/>
  <c r="D44" i="131"/>
  <c r="F53" i="131"/>
  <c r="F23" i="131"/>
  <c r="G78" i="18" s="1"/>
  <c r="K65" i="134" l="1"/>
  <c r="AH18" i="17"/>
  <c r="F58" i="134"/>
  <c r="K58" i="134"/>
  <c r="AH11" i="17"/>
  <c r="F41" i="131"/>
  <c r="J58" i="134"/>
  <c r="D69" i="134"/>
  <c r="AH22" i="17"/>
  <c r="F62" i="131"/>
  <c r="D53" i="133"/>
  <c r="K71" i="134"/>
  <c r="AH24" i="17"/>
  <c r="E71" i="135"/>
  <c r="G171" i="18"/>
  <c r="E171" i="18"/>
  <c r="D171" i="18"/>
  <c r="I79" i="18"/>
  <c r="H47" i="135"/>
  <c r="H73" i="135" s="1"/>
  <c r="C47" i="135"/>
  <c r="F47" i="135"/>
  <c r="D47" i="135"/>
  <c r="E47" i="135"/>
  <c r="B129" i="18"/>
  <c r="B171" i="18"/>
  <c r="E53" i="133"/>
  <c r="AD25" i="3"/>
  <c r="C78" i="133"/>
  <c r="G78" i="133"/>
  <c r="F78" i="133"/>
  <c r="E78" i="133"/>
  <c r="H53" i="133"/>
  <c r="H71" i="135"/>
  <c r="G71" i="135"/>
  <c r="G73" i="135"/>
  <c r="J65" i="134"/>
  <c r="G65" i="134"/>
  <c r="H71" i="134"/>
  <c r="E65" i="134"/>
  <c r="D71" i="134"/>
  <c r="I65" i="134"/>
  <c r="E71" i="134"/>
  <c r="K69" i="134"/>
  <c r="H69" i="134"/>
  <c r="C65" i="134"/>
  <c r="F65" i="134"/>
  <c r="I71" i="134"/>
  <c r="H58" i="134"/>
  <c r="F69" i="134"/>
  <c r="J69" i="134"/>
  <c r="F71" i="134"/>
  <c r="I58" i="134"/>
  <c r="I69" i="134"/>
  <c r="E69" i="134"/>
  <c r="C71" i="134"/>
  <c r="D65" i="134"/>
  <c r="C58" i="134"/>
  <c r="J71" i="134"/>
  <c r="G69" i="134"/>
  <c r="C69" i="134"/>
  <c r="H65" i="134"/>
  <c r="G71" i="134"/>
  <c r="G80" i="133"/>
  <c r="F73" i="133"/>
  <c r="E73" i="133"/>
  <c r="G73" i="133"/>
  <c r="C73" i="133"/>
  <c r="D70" i="131"/>
  <c r="G70" i="131"/>
  <c r="F63" i="131"/>
  <c r="C63" i="131"/>
  <c r="E63" i="131"/>
  <c r="D63" i="131"/>
  <c r="G63" i="131"/>
  <c r="G60" i="131"/>
  <c r="H60" i="131"/>
  <c r="D60" i="131"/>
  <c r="G59" i="131"/>
  <c r="C54" i="131"/>
  <c r="D59" i="131"/>
  <c r="G54" i="131"/>
  <c r="H57" i="131"/>
  <c r="C59" i="131"/>
  <c r="B47" i="131"/>
  <c r="G47" i="131" s="1"/>
  <c r="B78" i="18"/>
  <c r="E170" i="18" s="1"/>
  <c r="E54" i="131"/>
  <c r="I78" i="18"/>
  <c r="D62" i="131"/>
  <c r="D67" i="131"/>
  <c r="C62" i="131"/>
  <c r="G62" i="131"/>
  <c r="E62" i="131"/>
  <c r="C60" i="131"/>
  <c r="F54" i="131"/>
  <c r="E56" i="131"/>
  <c r="F56" i="131"/>
  <c r="D56" i="131"/>
  <c r="C56" i="131"/>
  <c r="E60" i="131"/>
  <c r="E57" i="131"/>
  <c r="D54" i="131"/>
  <c r="G56" i="131"/>
  <c r="F60" i="131"/>
  <c r="H45" i="131"/>
  <c r="H71" i="131" s="1"/>
  <c r="H23" i="131"/>
  <c r="F71" i="131"/>
  <c r="C58" i="131"/>
  <c r="F47" i="131"/>
  <c r="F67" i="131"/>
  <c r="D47" i="131"/>
  <c r="D71" i="131"/>
  <c r="E71" i="131"/>
  <c r="E67" i="131"/>
  <c r="G67" i="131"/>
  <c r="G58" i="131"/>
  <c r="D58" i="131"/>
  <c r="F58" i="131"/>
  <c r="E58" i="131"/>
  <c r="D80" i="133" l="1"/>
  <c r="D73" i="135"/>
  <c r="H47" i="131"/>
  <c r="H73" i="131" s="1"/>
  <c r="F73" i="135"/>
  <c r="E73" i="135"/>
  <c r="C79" i="18"/>
  <c r="I171" i="18"/>
  <c r="C171" i="18" s="1"/>
  <c r="C73" i="135"/>
  <c r="C80" i="133"/>
  <c r="F80" i="133"/>
  <c r="E80" i="133"/>
  <c r="C71" i="131"/>
  <c r="G71" i="131"/>
  <c r="E47" i="131"/>
  <c r="E73" i="131" s="1"/>
  <c r="B170" i="18"/>
  <c r="B128" i="18"/>
  <c r="H170" i="18"/>
  <c r="G170" i="18"/>
  <c r="D170" i="18"/>
  <c r="D73" i="131"/>
  <c r="C47" i="131"/>
  <c r="C73" i="131" s="1"/>
  <c r="C78" i="18"/>
  <c r="I170" i="18"/>
  <c r="F170" i="18"/>
  <c r="G73" i="131"/>
  <c r="F73" i="131" l="1"/>
  <c r="C170" i="18"/>
  <c r="B57" i="130"/>
  <c r="B56" i="130"/>
  <c r="B55" i="130"/>
  <c r="B54" i="130"/>
  <c r="B53" i="130"/>
  <c r="B52" i="130"/>
  <c r="C50" i="130"/>
  <c r="B44" i="130"/>
  <c r="J44" i="130" s="1"/>
  <c r="B43" i="130"/>
  <c r="B40" i="130"/>
  <c r="J40" i="130" s="1"/>
  <c r="B39" i="130"/>
  <c r="J39" i="130" s="1"/>
  <c r="B38" i="130"/>
  <c r="F38" i="130" s="1"/>
  <c r="B37" i="130"/>
  <c r="H37" i="130" s="1"/>
  <c r="B36" i="130"/>
  <c r="J36" i="130" s="1"/>
  <c r="B33" i="130"/>
  <c r="F33" i="130" s="1"/>
  <c r="C32" i="130"/>
  <c r="B32" i="130"/>
  <c r="H32" i="130" s="1"/>
  <c r="B31" i="130"/>
  <c r="J31" i="130" s="1"/>
  <c r="B30" i="130"/>
  <c r="J30" i="130" s="1"/>
  <c r="B29" i="130"/>
  <c r="F29" i="130" s="1"/>
  <c r="E28" i="130"/>
  <c r="C28" i="130"/>
  <c r="B28" i="130"/>
  <c r="H28" i="130" s="1"/>
  <c r="B26" i="130"/>
  <c r="J21" i="130"/>
  <c r="I21" i="130"/>
  <c r="H21" i="130"/>
  <c r="G21" i="130"/>
  <c r="F21" i="130"/>
  <c r="E21" i="130"/>
  <c r="D21" i="130"/>
  <c r="C21" i="130"/>
  <c r="B21" i="130"/>
  <c r="K20" i="130"/>
  <c r="K19" i="130"/>
  <c r="J17" i="130"/>
  <c r="I17" i="130"/>
  <c r="H17" i="130"/>
  <c r="G17" i="130"/>
  <c r="F17" i="130"/>
  <c r="E17" i="130"/>
  <c r="D17" i="130"/>
  <c r="C17" i="130"/>
  <c r="B17" i="130"/>
  <c r="K16" i="130"/>
  <c r="K15" i="130"/>
  <c r="K39" i="130" s="1"/>
  <c r="AI16" i="17" s="1"/>
  <c r="K14" i="130"/>
  <c r="K38" i="130" s="1"/>
  <c r="AI15" i="17" s="1"/>
  <c r="K13" i="130"/>
  <c r="K37" i="130" s="1"/>
  <c r="AI14" i="17" s="1"/>
  <c r="K12" i="130"/>
  <c r="J10" i="130"/>
  <c r="I10" i="130"/>
  <c r="H10" i="130"/>
  <c r="G10" i="130"/>
  <c r="F10" i="130"/>
  <c r="E10" i="130"/>
  <c r="D10" i="130"/>
  <c r="C10" i="130"/>
  <c r="B10" i="130"/>
  <c r="K9" i="130"/>
  <c r="K33" i="130" s="1"/>
  <c r="AI10" i="17" s="1"/>
  <c r="K8" i="130"/>
  <c r="K32" i="130" s="1"/>
  <c r="AI9" i="17" s="1"/>
  <c r="K7" i="130"/>
  <c r="K6" i="130"/>
  <c r="K5" i="130"/>
  <c r="K4" i="130"/>
  <c r="K28" i="130" s="1"/>
  <c r="AI5" i="17" s="1"/>
  <c r="K3" i="130"/>
  <c r="K27" i="130" s="1"/>
  <c r="J3" i="130"/>
  <c r="J27" i="130" s="1"/>
  <c r="I3" i="130"/>
  <c r="I27" i="130" s="1"/>
  <c r="H3" i="130"/>
  <c r="H27" i="130" s="1"/>
  <c r="G3" i="130"/>
  <c r="G27" i="130" s="1"/>
  <c r="F3" i="130"/>
  <c r="F27" i="130" s="1"/>
  <c r="E3" i="130"/>
  <c r="E51" i="130" s="1"/>
  <c r="D3" i="130"/>
  <c r="D51" i="130" s="1"/>
  <c r="C3" i="130"/>
  <c r="C51" i="130" s="1"/>
  <c r="B3" i="130"/>
  <c r="B27" i="130" s="1"/>
  <c r="AC21" i="16"/>
  <c r="AC20" i="16"/>
  <c r="AC17" i="16"/>
  <c r="AC16" i="16"/>
  <c r="AC15" i="16"/>
  <c r="AC14" i="16"/>
  <c r="AC13" i="16"/>
  <c r="AC10" i="16"/>
  <c r="AC9" i="16"/>
  <c r="AC8" i="16"/>
  <c r="AC7" i="16"/>
  <c r="AC6" i="16"/>
  <c r="AC5" i="16"/>
  <c r="B58" i="130" l="1"/>
  <c r="K43" i="130"/>
  <c r="AI20" i="17" s="1"/>
  <c r="E32" i="130"/>
  <c r="I37" i="130"/>
  <c r="E36" i="130"/>
  <c r="E60" i="130" s="1"/>
  <c r="I39" i="130"/>
  <c r="F36" i="130"/>
  <c r="G36" i="130"/>
  <c r="K36" i="130"/>
  <c r="AI13" i="17" s="1"/>
  <c r="I36" i="130"/>
  <c r="C30" i="130"/>
  <c r="E30" i="130"/>
  <c r="K29" i="130"/>
  <c r="AI6" i="17" s="1"/>
  <c r="C31" i="130"/>
  <c r="C55" i="130" s="1"/>
  <c r="K30" i="130"/>
  <c r="AI7" i="17" s="1"/>
  <c r="E31" i="130"/>
  <c r="K31" i="130"/>
  <c r="AI8" i="17" s="1"/>
  <c r="K44" i="130"/>
  <c r="AI21" i="17" s="1"/>
  <c r="K67" i="130"/>
  <c r="K62" i="130"/>
  <c r="G38" i="130"/>
  <c r="E40" i="130"/>
  <c r="K40" i="130"/>
  <c r="F40" i="130"/>
  <c r="E39" i="130"/>
  <c r="G40" i="130"/>
  <c r="F39" i="130"/>
  <c r="F63" i="130" s="1"/>
  <c r="I40" i="130"/>
  <c r="E37" i="130"/>
  <c r="G39" i="130"/>
  <c r="G63" i="130" s="1"/>
  <c r="G37" i="130"/>
  <c r="G61" i="130" s="1"/>
  <c r="H39" i="130"/>
  <c r="H63" i="130" s="1"/>
  <c r="I30" i="130"/>
  <c r="I54" i="130" s="1"/>
  <c r="G32" i="130"/>
  <c r="E23" i="130"/>
  <c r="I32" i="130"/>
  <c r="I56" i="130" s="1"/>
  <c r="G33" i="130"/>
  <c r="G57" i="130" s="1"/>
  <c r="K57" i="130"/>
  <c r="G29" i="130"/>
  <c r="G53" i="130" s="1"/>
  <c r="C44" i="130"/>
  <c r="D44" i="130"/>
  <c r="E44" i="130"/>
  <c r="E68" i="130" s="1"/>
  <c r="F44" i="130"/>
  <c r="G44" i="130"/>
  <c r="B45" i="130"/>
  <c r="I45" i="130" s="1"/>
  <c r="H44" i="130"/>
  <c r="G43" i="130"/>
  <c r="G67" i="130" s="1"/>
  <c r="I44" i="130"/>
  <c r="B67" i="130"/>
  <c r="F23" i="130"/>
  <c r="H61" i="130"/>
  <c r="F60" i="130"/>
  <c r="C36" i="130"/>
  <c r="C60" i="130" s="1"/>
  <c r="C37" i="130"/>
  <c r="C61" i="130" s="1"/>
  <c r="C39" i="130"/>
  <c r="C63" i="130" s="1"/>
  <c r="C40" i="130"/>
  <c r="B62" i="130"/>
  <c r="K17" i="130"/>
  <c r="D36" i="130"/>
  <c r="D37" i="130"/>
  <c r="D61" i="130" s="1"/>
  <c r="D39" i="130"/>
  <c r="D63" i="130" s="1"/>
  <c r="D40" i="130"/>
  <c r="K10" i="130"/>
  <c r="D23" i="130"/>
  <c r="G28" i="130"/>
  <c r="G52" i="130" s="1"/>
  <c r="F30" i="130"/>
  <c r="F54" i="130" s="1"/>
  <c r="F31" i="130"/>
  <c r="G56" i="130"/>
  <c r="B23" i="130"/>
  <c r="I28" i="130"/>
  <c r="I52" i="130" s="1"/>
  <c r="G30" i="130"/>
  <c r="G54" i="130" s="1"/>
  <c r="G31" i="130"/>
  <c r="C23" i="130"/>
  <c r="H30" i="130"/>
  <c r="H54" i="130" s="1"/>
  <c r="I31" i="130"/>
  <c r="I55" i="130" s="1"/>
  <c r="H52" i="130"/>
  <c r="J54" i="130"/>
  <c r="H56" i="130"/>
  <c r="D28" i="130"/>
  <c r="D52" i="130" s="1"/>
  <c r="D30" i="130"/>
  <c r="D54" i="130" s="1"/>
  <c r="D31" i="130"/>
  <c r="D55" i="130" s="1"/>
  <c r="D32" i="130"/>
  <c r="F51" i="130"/>
  <c r="K52" i="130"/>
  <c r="I61" i="130"/>
  <c r="K61" i="130"/>
  <c r="F53" i="130"/>
  <c r="F57" i="130"/>
  <c r="F62" i="130"/>
  <c r="F68" i="130"/>
  <c r="K68" i="130"/>
  <c r="K54" i="130"/>
  <c r="G62" i="130"/>
  <c r="I63" i="130"/>
  <c r="G68" i="130"/>
  <c r="K63" i="130"/>
  <c r="J63" i="130"/>
  <c r="C45" i="130"/>
  <c r="K56" i="130"/>
  <c r="D56" i="130"/>
  <c r="C52" i="130"/>
  <c r="C54" i="130"/>
  <c r="C56" i="130"/>
  <c r="I68" i="130"/>
  <c r="J68" i="130"/>
  <c r="E52" i="130"/>
  <c r="E54" i="130"/>
  <c r="E56" i="130"/>
  <c r="E61" i="130"/>
  <c r="E63" i="130"/>
  <c r="C68" i="130"/>
  <c r="G23" i="130"/>
  <c r="D27" i="130"/>
  <c r="J28" i="130"/>
  <c r="J52" i="130" s="1"/>
  <c r="H29" i="130"/>
  <c r="H53" i="130" s="1"/>
  <c r="J32" i="130"/>
  <c r="J56" i="130" s="1"/>
  <c r="H33" i="130"/>
  <c r="H57" i="130" s="1"/>
  <c r="J37" i="130"/>
  <c r="J61" i="130" s="1"/>
  <c r="H38" i="130"/>
  <c r="H62" i="130" s="1"/>
  <c r="B41" i="130"/>
  <c r="I41" i="130" s="1"/>
  <c r="H43" i="130"/>
  <c r="H67" i="130" s="1"/>
  <c r="G51" i="130"/>
  <c r="H23" i="130"/>
  <c r="E27" i="130"/>
  <c r="I29" i="130"/>
  <c r="I53" i="130" s="1"/>
  <c r="I33" i="130"/>
  <c r="I57" i="130" s="1"/>
  <c r="I38" i="130"/>
  <c r="I62" i="130" s="1"/>
  <c r="I43" i="130"/>
  <c r="I67" i="130" s="1"/>
  <c r="E45" i="130"/>
  <c r="H51" i="130"/>
  <c r="B63" i="130"/>
  <c r="B68" i="130"/>
  <c r="B69" i="130" s="1"/>
  <c r="C27" i="130"/>
  <c r="F55" i="130"/>
  <c r="K21" i="130"/>
  <c r="I23" i="130"/>
  <c r="J129" i="18" s="1"/>
  <c r="J29" i="130"/>
  <c r="J53" i="130" s="1"/>
  <c r="J33" i="130"/>
  <c r="J57" i="130" s="1"/>
  <c r="J38" i="130"/>
  <c r="J62" i="130" s="1"/>
  <c r="J43" i="130"/>
  <c r="J67" i="130" s="1"/>
  <c r="I51" i="130"/>
  <c r="J23" i="130"/>
  <c r="C29" i="130"/>
  <c r="C53" i="130" s="1"/>
  <c r="C33" i="130"/>
  <c r="C57" i="130" s="1"/>
  <c r="C38" i="130"/>
  <c r="C62" i="130" s="1"/>
  <c r="C43" i="130"/>
  <c r="C67" i="130" s="1"/>
  <c r="B51" i="130"/>
  <c r="J51" i="130"/>
  <c r="B60" i="130"/>
  <c r="B64" i="130"/>
  <c r="F28" i="130"/>
  <c r="F52" i="130" s="1"/>
  <c r="D29" i="130"/>
  <c r="D53" i="130" s="1"/>
  <c r="H31" i="130"/>
  <c r="F32" i="130"/>
  <c r="F56" i="130" s="1"/>
  <c r="D33" i="130"/>
  <c r="D57" i="130" s="1"/>
  <c r="B34" i="130"/>
  <c r="E34" i="130" s="1"/>
  <c r="H36" i="130"/>
  <c r="H60" i="130" s="1"/>
  <c r="F37" i="130"/>
  <c r="F61" i="130" s="1"/>
  <c r="D38" i="130"/>
  <c r="D62" i="130" s="1"/>
  <c r="H40" i="130"/>
  <c r="H64" i="130" s="1"/>
  <c r="D43" i="130"/>
  <c r="D67" i="130" s="1"/>
  <c r="K51" i="130"/>
  <c r="K60" i="130"/>
  <c r="E29" i="130"/>
  <c r="E53" i="130" s="1"/>
  <c r="E33" i="130"/>
  <c r="E57" i="130" s="1"/>
  <c r="E38" i="130"/>
  <c r="E62" i="130" s="1"/>
  <c r="E43" i="130"/>
  <c r="E67" i="130" s="1"/>
  <c r="B61" i="130"/>
  <c r="F43" i="130"/>
  <c r="F67" i="130" s="1"/>
  <c r="K129" i="18" l="1"/>
  <c r="G34" i="130"/>
  <c r="K53" i="130"/>
  <c r="F45" i="130"/>
  <c r="H68" i="130"/>
  <c r="I60" i="130"/>
  <c r="J64" i="130"/>
  <c r="AI17" i="17"/>
  <c r="I129" i="18"/>
  <c r="D60" i="130"/>
  <c r="E64" i="130"/>
  <c r="J60" i="130"/>
  <c r="F129" i="18"/>
  <c r="G129" i="18"/>
  <c r="G60" i="130"/>
  <c r="H129" i="18"/>
  <c r="E129" i="18"/>
  <c r="L37" i="18"/>
  <c r="D129" i="18"/>
  <c r="E55" i="130"/>
  <c r="G55" i="130"/>
  <c r="J55" i="130"/>
  <c r="H55" i="130"/>
  <c r="K55" i="130"/>
  <c r="I128" i="18"/>
  <c r="D45" i="130"/>
  <c r="G45" i="130"/>
  <c r="H45" i="130"/>
  <c r="J128" i="18"/>
  <c r="H128" i="18"/>
  <c r="G128" i="18"/>
  <c r="E128" i="18"/>
  <c r="F128" i="18"/>
  <c r="K128" i="18"/>
  <c r="D68" i="130"/>
  <c r="K64" i="130"/>
  <c r="C64" i="130"/>
  <c r="F64" i="130"/>
  <c r="D64" i="130"/>
  <c r="I64" i="130"/>
  <c r="G64" i="130"/>
  <c r="L36" i="18"/>
  <c r="D128" i="18"/>
  <c r="J45" i="130"/>
  <c r="H34" i="130"/>
  <c r="D34" i="130"/>
  <c r="B65" i="130"/>
  <c r="B71" i="130" s="1"/>
  <c r="C41" i="130"/>
  <c r="C34" i="130"/>
  <c r="F41" i="130"/>
  <c r="J34" i="130"/>
  <c r="E41" i="130"/>
  <c r="D41" i="130"/>
  <c r="K41" i="130"/>
  <c r="AI18" i="17" s="1"/>
  <c r="H41" i="130"/>
  <c r="H65" i="130" s="1"/>
  <c r="G41" i="130"/>
  <c r="G65" i="130" s="1"/>
  <c r="F34" i="130"/>
  <c r="K45" i="130"/>
  <c r="AI22" i="17" s="1"/>
  <c r="K23" i="130"/>
  <c r="J41" i="130"/>
  <c r="I34" i="130"/>
  <c r="B47" i="130"/>
  <c r="K34" i="130"/>
  <c r="AI11" i="17" s="1"/>
  <c r="C37" i="18" l="1"/>
  <c r="L129" i="18"/>
  <c r="C129" i="18" s="1"/>
  <c r="K65" i="130"/>
  <c r="D65" i="130"/>
  <c r="J65" i="130"/>
  <c r="C36" i="18"/>
  <c r="L128" i="18"/>
  <c r="C128" i="18" s="1"/>
  <c r="K58" i="130"/>
  <c r="F47" i="130"/>
  <c r="D47" i="130"/>
  <c r="C47" i="130"/>
  <c r="E47" i="130"/>
  <c r="F58" i="130"/>
  <c r="G47" i="130"/>
  <c r="E58" i="130"/>
  <c r="K69" i="130"/>
  <c r="G69" i="130"/>
  <c r="I69" i="130"/>
  <c r="J69" i="130"/>
  <c r="H69" i="130"/>
  <c r="J58" i="130"/>
  <c r="I58" i="130"/>
  <c r="G58" i="130"/>
  <c r="J47" i="130"/>
  <c r="I65" i="130"/>
  <c r="I47" i="130"/>
  <c r="F65" i="130"/>
  <c r="D69" i="130"/>
  <c r="C58" i="130"/>
  <c r="E69" i="130"/>
  <c r="H58" i="130"/>
  <c r="F69" i="130"/>
  <c r="C65" i="130"/>
  <c r="C69" i="130"/>
  <c r="H47" i="130"/>
  <c r="K47" i="130"/>
  <c r="AI24" i="17" s="1"/>
  <c r="AI26" i="17" s="1"/>
  <c r="D58" i="130"/>
  <c r="E65" i="130"/>
  <c r="F24" i="136" l="1"/>
  <c r="J71" i="130"/>
  <c r="G71" i="130"/>
  <c r="K71" i="130"/>
  <c r="E71" i="130"/>
  <c r="H71" i="130"/>
  <c r="C71" i="130"/>
  <c r="I71" i="130"/>
  <c r="D71" i="130"/>
  <c r="F71" i="130"/>
  <c r="F24" i="132" l="1"/>
  <c r="B57" i="129"/>
  <c r="B50" i="129"/>
  <c r="G49" i="129"/>
  <c r="B49" i="129"/>
  <c r="E49" i="129" s="1"/>
  <c r="G45" i="129"/>
  <c r="F45" i="129"/>
  <c r="E45" i="129"/>
  <c r="B45" i="129"/>
  <c r="D45" i="129" s="1"/>
  <c r="B44" i="129"/>
  <c r="G44" i="129" s="1"/>
  <c r="B43" i="129"/>
  <c r="D43" i="129" s="1"/>
  <c r="B42" i="129"/>
  <c r="G42" i="129" s="1"/>
  <c r="B41" i="129"/>
  <c r="G41" i="129" s="1"/>
  <c r="B37" i="129"/>
  <c r="D37" i="129" s="1"/>
  <c r="B36" i="129"/>
  <c r="C36" i="129" s="1"/>
  <c r="B35" i="129"/>
  <c r="G35" i="129" s="1"/>
  <c r="B34" i="129"/>
  <c r="D34" i="129" s="1"/>
  <c r="E33" i="129"/>
  <c r="B33" i="129"/>
  <c r="D33" i="129" s="1"/>
  <c r="B32" i="129"/>
  <c r="G32" i="129" s="1"/>
  <c r="B29" i="129"/>
  <c r="G23" i="129"/>
  <c r="F23" i="129"/>
  <c r="E23" i="129"/>
  <c r="D23" i="129"/>
  <c r="C23" i="129"/>
  <c r="B23" i="129"/>
  <c r="AC22" i="16" s="1"/>
  <c r="H22" i="129"/>
  <c r="H21" i="129"/>
  <c r="H49" i="129" s="1"/>
  <c r="G18" i="129"/>
  <c r="F18" i="129"/>
  <c r="E18" i="129"/>
  <c r="D18" i="129"/>
  <c r="C18" i="129"/>
  <c r="B18" i="129"/>
  <c r="AC18" i="16" s="1"/>
  <c r="H17" i="129"/>
  <c r="H45" i="129" s="1"/>
  <c r="H16" i="129"/>
  <c r="I16" i="129" s="1"/>
  <c r="AH16" i="2" s="1"/>
  <c r="H15" i="129"/>
  <c r="I15" i="129" s="1"/>
  <c r="AH15" i="2" s="1"/>
  <c r="H14" i="129"/>
  <c r="H13" i="129"/>
  <c r="G10" i="129"/>
  <c r="F10" i="129"/>
  <c r="E10" i="129"/>
  <c r="D10" i="129"/>
  <c r="C10" i="129"/>
  <c r="C25" i="129" s="1"/>
  <c r="AC6" i="3" s="1"/>
  <c r="B10" i="129"/>
  <c r="AC11" i="16" s="1"/>
  <c r="H9" i="129"/>
  <c r="H37" i="129" s="1"/>
  <c r="H8" i="129"/>
  <c r="I8" i="129" s="1"/>
  <c r="AH9" i="2" s="1"/>
  <c r="H7" i="129"/>
  <c r="I7" i="129" s="1"/>
  <c r="AH8" i="2" s="1"/>
  <c r="H6" i="129"/>
  <c r="H5" i="129"/>
  <c r="I5" i="129" s="1"/>
  <c r="AH6" i="2" s="1"/>
  <c r="H4" i="129"/>
  <c r="I3" i="129"/>
  <c r="H30" i="129" s="1"/>
  <c r="H3" i="129"/>
  <c r="G3" i="129"/>
  <c r="G30" i="129" s="1"/>
  <c r="F3" i="129"/>
  <c r="F30" i="129" s="1"/>
  <c r="E3" i="129"/>
  <c r="E30" i="129" s="1"/>
  <c r="D3" i="129"/>
  <c r="D58" i="129" s="1"/>
  <c r="C3" i="129"/>
  <c r="C58" i="129" s="1"/>
  <c r="B3" i="129"/>
  <c r="B30" i="129" s="1"/>
  <c r="E72" i="129" l="1"/>
  <c r="B51" i="129"/>
  <c r="G51" i="129" s="1"/>
  <c r="C41" i="129"/>
  <c r="H18" i="129"/>
  <c r="I18" i="129" s="1"/>
  <c r="AH18" i="2" s="1"/>
  <c r="H42" i="129"/>
  <c r="C45" i="129"/>
  <c r="E34" i="129"/>
  <c r="H10" i="129"/>
  <c r="H38" i="129" s="1"/>
  <c r="E35" i="129"/>
  <c r="C32" i="129"/>
  <c r="H34" i="129"/>
  <c r="D32" i="129"/>
  <c r="F37" i="129"/>
  <c r="F64" i="129" s="1"/>
  <c r="D51" i="129"/>
  <c r="E51" i="129"/>
  <c r="F51" i="129"/>
  <c r="G76" i="129"/>
  <c r="E76" i="129"/>
  <c r="H50" i="129"/>
  <c r="F49" i="129"/>
  <c r="F76" i="129" s="1"/>
  <c r="C44" i="129"/>
  <c r="F72" i="129"/>
  <c r="D44" i="129"/>
  <c r="E44" i="129"/>
  <c r="C42" i="129"/>
  <c r="F44" i="129"/>
  <c r="D42" i="129"/>
  <c r="D69" i="129" s="1"/>
  <c r="E43" i="129"/>
  <c r="D72" i="129"/>
  <c r="B38" i="129"/>
  <c r="G38" i="129" s="1"/>
  <c r="C35" i="129"/>
  <c r="F36" i="129"/>
  <c r="E36" i="129"/>
  <c r="D35" i="129"/>
  <c r="G36" i="129"/>
  <c r="H36" i="129"/>
  <c r="C63" i="129" s="1"/>
  <c r="F35" i="129"/>
  <c r="D25" i="129"/>
  <c r="AC7" i="3" s="1"/>
  <c r="C34" i="129"/>
  <c r="C61" i="129" s="1"/>
  <c r="E37" i="129"/>
  <c r="E38" i="129"/>
  <c r="B25" i="129"/>
  <c r="AC24" i="16" s="1"/>
  <c r="F34" i="129"/>
  <c r="D36" i="129"/>
  <c r="G37" i="129"/>
  <c r="G64" i="129" s="1"/>
  <c r="E58" i="129"/>
  <c r="G72" i="129"/>
  <c r="G69" i="129"/>
  <c r="D61" i="129"/>
  <c r="D64" i="129"/>
  <c r="E64" i="129"/>
  <c r="C72" i="129"/>
  <c r="C51" i="129"/>
  <c r="I6" i="129"/>
  <c r="AH7" i="2" s="1"/>
  <c r="I13" i="129"/>
  <c r="AH13" i="2" s="1"/>
  <c r="I17" i="129"/>
  <c r="AH17" i="2" s="1"/>
  <c r="E25" i="129"/>
  <c r="AC8" i="3" s="1"/>
  <c r="D30" i="129"/>
  <c r="E32" i="129"/>
  <c r="F33" i="129"/>
  <c r="G34" i="129"/>
  <c r="H35" i="129"/>
  <c r="E62" i="129" s="1"/>
  <c r="C38" i="129"/>
  <c r="D41" i="129"/>
  <c r="E42" i="129"/>
  <c r="E69" i="129" s="1"/>
  <c r="F43" i="129"/>
  <c r="C50" i="129"/>
  <c r="C77" i="129" s="1"/>
  <c r="F58" i="129"/>
  <c r="F25" i="129"/>
  <c r="AC9" i="3" s="1"/>
  <c r="F32" i="129"/>
  <c r="G33" i="129"/>
  <c r="C37" i="129"/>
  <c r="C64" i="129" s="1"/>
  <c r="E41" i="129"/>
  <c r="F42" i="129"/>
  <c r="F69" i="129" s="1"/>
  <c r="G43" i="129"/>
  <c r="H44" i="129"/>
  <c r="D71" i="129" s="1"/>
  <c r="B46" i="129"/>
  <c r="C46" i="129" s="1"/>
  <c r="C49" i="129"/>
  <c r="C76" i="129" s="1"/>
  <c r="D50" i="129"/>
  <c r="G58" i="129"/>
  <c r="I14" i="129"/>
  <c r="AH14" i="2" s="1"/>
  <c r="I21" i="129"/>
  <c r="AH20" i="2" s="1"/>
  <c r="G25" i="129"/>
  <c r="AC10" i="3" s="1"/>
  <c r="H33" i="129"/>
  <c r="E60" i="129" s="1"/>
  <c r="F41" i="129"/>
  <c r="H43" i="129"/>
  <c r="D70" i="129" s="1"/>
  <c r="D49" i="129"/>
  <c r="D76" i="129" s="1"/>
  <c r="E50" i="129"/>
  <c r="H23" i="129"/>
  <c r="H32" i="129"/>
  <c r="F50" i="129"/>
  <c r="F77" i="129" s="1"/>
  <c r="I4" i="129"/>
  <c r="AH5" i="2" s="1"/>
  <c r="I22" i="129"/>
  <c r="AH21" i="2" s="1"/>
  <c r="H41" i="129"/>
  <c r="G68" i="129" s="1"/>
  <c r="G50" i="129"/>
  <c r="G77" i="129" s="1"/>
  <c r="C30" i="129"/>
  <c r="C33" i="129"/>
  <c r="C43" i="129"/>
  <c r="I9" i="129"/>
  <c r="AH10" i="2" s="1"/>
  <c r="B3" i="127"/>
  <c r="H3" i="127"/>
  <c r="G3" i="127"/>
  <c r="F3" i="127"/>
  <c r="E3" i="127"/>
  <c r="D3" i="127"/>
  <c r="C3" i="127"/>
  <c r="I10" i="129" l="1"/>
  <c r="AH11" i="2" s="1"/>
  <c r="E61" i="129"/>
  <c r="H25" i="129"/>
  <c r="AC13" i="3" s="1"/>
  <c r="AC17" i="3" s="1"/>
  <c r="G63" i="129"/>
  <c r="E63" i="129"/>
  <c r="C69" i="129"/>
  <c r="G61" i="129"/>
  <c r="F63" i="129"/>
  <c r="D77" i="129"/>
  <c r="AC19" i="3"/>
  <c r="F71" i="129"/>
  <c r="G62" i="129"/>
  <c r="F38" i="129"/>
  <c r="F65" i="129" s="1"/>
  <c r="C65" i="129"/>
  <c r="C59" i="129"/>
  <c r="F61" i="129"/>
  <c r="D38" i="129"/>
  <c r="D65" i="129" s="1"/>
  <c r="E77" i="129"/>
  <c r="C68" i="129"/>
  <c r="G46" i="129"/>
  <c r="F46" i="129"/>
  <c r="D68" i="129"/>
  <c r="C71" i="129"/>
  <c r="G59" i="129"/>
  <c r="G60" i="129"/>
  <c r="G65" i="129"/>
  <c r="D63" i="129"/>
  <c r="D60" i="129"/>
  <c r="F59" i="129"/>
  <c r="D62" i="129"/>
  <c r="E70" i="129"/>
  <c r="I25" i="129"/>
  <c r="AH24" i="2" s="1"/>
  <c r="E71" i="129"/>
  <c r="G71" i="129"/>
  <c r="E46" i="129"/>
  <c r="G70" i="129"/>
  <c r="E59" i="129"/>
  <c r="C62" i="129"/>
  <c r="D59" i="129"/>
  <c r="E65" i="129"/>
  <c r="F68" i="129"/>
  <c r="B53" i="129"/>
  <c r="G53" i="129" s="1"/>
  <c r="F60" i="129"/>
  <c r="C70" i="129"/>
  <c r="F70" i="129"/>
  <c r="D46" i="129"/>
  <c r="F62" i="129"/>
  <c r="H46" i="129"/>
  <c r="C73" i="129" s="1"/>
  <c r="C60" i="129"/>
  <c r="H51" i="129"/>
  <c r="I23" i="129"/>
  <c r="AH22" i="2" s="1"/>
  <c r="E68" i="129"/>
  <c r="D127" i="18"/>
  <c r="E127" i="18"/>
  <c r="F127" i="18"/>
  <c r="G127" i="18"/>
  <c r="H127" i="18"/>
  <c r="I127" i="18"/>
  <c r="J127" i="18"/>
  <c r="K127" i="18"/>
  <c r="I77" i="18"/>
  <c r="B77" i="18"/>
  <c r="L35" i="18"/>
  <c r="C35" i="18" s="1"/>
  <c r="H19" i="127"/>
  <c r="H21" i="127" s="1"/>
  <c r="H20" i="127"/>
  <c r="H12" i="127"/>
  <c r="H13" i="127"/>
  <c r="H14" i="127"/>
  <c r="H15" i="127"/>
  <c r="H16" i="127"/>
  <c r="H4" i="127"/>
  <c r="H5" i="127"/>
  <c r="H6" i="127"/>
  <c r="H7" i="127"/>
  <c r="H8" i="127"/>
  <c r="H32" i="127" s="1"/>
  <c r="H58" i="127" s="1"/>
  <c r="H9" i="127"/>
  <c r="H33" i="127" s="1"/>
  <c r="H59" i="127" s="1"/>
  <c r="B21" i="127"/>
  <c r="B71" i="127" s="1"/>
  <c r="B17" i="127"/>
  <c r="B10" i="127"/>
  <c r="B34" i="127" s="1"/>
  <c r="G21" i="127"/>
  <c r="G17" i="127"/>
  <c r="G10" i="127"/>
  <c r="F21" i="127"/>
  <c r="F17" i="127"/>
  <c r="F10" i="127"/>
  <c r="E21" i="127"/>
  <c r="E17" i="127"/>
  <c r="E10" i="127"/>
  <c r="D21" i="127"/>
  <c r="D17" i="127"/>
  <c r="D10" i="127"/>
  <c r="C21" i="127"/>
  <c r="C17" i="127"/>
  <c r="C10" i="127"/>
  <c r="B54" i="127"/>
  <c r="B55" i="127"/>
  <c r="B56" i="127"/>
  <c r="B57" i="127"/>
  <c r="B58" i="127"/>
  <c r="B59" i="127"/>
  <c r="B44" i="127"/>
  <c r="B70" i="127"/>
  <c r="B43" i="127"/>
  <c r="G43" i="127" s="1"/>
  <c r="B69" i="127"/>
  <c r="B40" i="127"/>
  <c r="G40" i="127"/>
  <c r="B66" i="127"/>
  <c r="B39" i="127"/>
  <c r="B65" i="127"/>
  <c r="B38" i="127"/>
  <c r="B64" i="127"/>
  <c r="B37" i="127"/>
  <c r="G37" i="127" s="1"/>
  <c r="B63" i="127"/>
  <c r="B36" i="127"/>
  <c r="G36" i="127"/>
  <c r="B62" i="127"/>
  <c r="B33" i="127"/>
  <c r="F33" i="127" s="1"/>
  <c r="B32" i="127"/>
  <c r="F32" i="127" s="1"/>
  <c r="B31" i="127"/>
  <c r="G31" i="127" s="1"/>
  <c r="B30" i="127"/>
  <c r="H30" i="127" s="1"/>
  <c r="H56" i="127" s="1"/>
  <c r="B29" i="127"/>
  <c r="D29" i="127" s="1"/>
  <c r="B28" i="127"/>
  <c r="H53" i="127"/>
  <c r="G53" i="127"/>
  <c r="F53" i="127"/>
  <c r="E53" i="127"/>
  <c r="D53" i="127"/>
  <c r="C53" i="127"/>
  <c r="B53" i="127"/>
  <c r="B52" i="127"/>
  <c r="H27" i="127"/>
  <c r="G27" i="127"/>
  <c r="F27" i="127"/>
  <c r="E27" i="127"/>
  <c r="D27" i="127"/>
  <c r="C27" i="127"/>
  <c r="B27" i="127"/>
  <c r="B26" i="127"/>
  <c r="K3" i="126"/>
  <c r="J3" i="126"/>
  <c r="I3" i="126"/>
  <c r="H3" i="126"/>
  <c r="G3" i="126"/>
  <c r="F3" i="126"/>
  <c r="E3" i="126"/>
  <c r="D3" i="126"/>
  <c r="C3" i="126"/>
  <c r="B3" i="126"/>
  <c r="K19" i="126"/>
  <c r="K20" i="126"/>
  <c r="K12" i="126"/>
  <c r="K13" i="126"/>
  <c r="K17" i="126" s="1"/>
  <c r="K14" i="126"/>
  <c r="K15" i="126"/>
  <c r="K16" i="126"/>
  <c r="K4" i="126"/>
  <c r="K5" i="126"/>
  <c r="K6" i="126"/>
  <c r="K7" i="126"/>
  <c r="K8" i="126"/>
  <c r="K32" i="126" s="1"/>
  <c r="K9" i="126"/>
  <c r="B43" i="126"/>
  <c r="B44" i="126"/>
  <c r="D44" i="126" s="1"/>
  <c r="B36" i="126"/>
  <c r="B37" i="126"/>
  <c r="B38" i="126"/>
  <c r="B39" i="126"/>
  <c r="J39" i="126" s="1"/>
  <c r="B40" i="126"/>
  <c r="B28" i="126"/>
  <c r="H28" i="126" s="1"/>
  <c r="B29" i="126"/>
  <c r="B30" i="126"/>
  <c r="I30" i="126" s="1"/>
  <c r="B31" i="126"/>
  <c r="H31" i="126" s="1"/>
  <c r="B32" i="126"/>
  <c r="B33" i="126"/>
  <c r="E33" i="126" s="1"/>
  <c r="J21" i="126"/>
  <c r="J17" i="126"/>
  <c r="J23" i="126" s="1"/>
  <c r="J10" i="126"/>
  <c r="I21" i="126"/>
  <c r="I17" i="126"/>
  <c r="I10" i="126"/>
  <c r="H21" i="126"/>
  <c r="H17" i="126"/>
  <c r="H10" i="126"/>
  <c r="G21" i="126"/>
  <c r="G17" i="126"/>
  <c r="G10" i="126"/>
  <c r="F21" i="126"/>
  <c r="F17" i="126"/>
  <c r="F10" i="126"/>
  <c r="E21" i="126"/>
  <c r="E17" i="126"/>
  <c r="E10" i="126"/>
  <c r="D21" i="126"/>
  <c r="D17" i="126"/>
  <c r="D10" i="126"/>
  <c r="C21" i="126"/>
  <c r="C17" i="126"/>
  <c r="C10" i="126"/>
  <c r="B60" i="126"/>
  <c r="B61" i="126"/>
  <c r="B52" i="126"/>
  <c r="B53" i="126"/>
  <c r="B54" i="126"/>
  <c r="B55" i="126"/>
  <c r="B56" i="126"/>
  <c r="B57" i="126"/>
  <c r="J44" i="126"/>
  <c r="E44" i="126"/>
  <c r="C44" i="126"/>
  <c r="D39" i="126"/>
  <c r="F38" i="126"/>
  <c r="D38" i="126"/>
  <c r="J37" i="126"/>
  <c r="I37" i="126"/>
  <c r="H37" i="126"/>
  <c r="G37" i="126"/>
  <c r="F37" i="126"/>
  <c r="E37" i="126"/>
  <c r="D37" i="126"/>
  <c r="C37" i="126"/>
  <c r="K36" i="126"/>
  <c r="AG13" i="17" s="1"/>
  <c r="J36" i="126"/>
  <c r="J60" i="126" s="1"/>
  <c r="I36" i="126"/>
  <c r="I60" i="126" s="1"/>
  <c r="H36" i="126"/>
  <c r="H60" i="126" s="1"/>
  <c r="G36" i="126"/>
  <c r="G60" i="126" s="1"/>
  <c r="F36" i="126"/>
  <c r="E36" i="126"/>
  <c r="E60" i="126" s="1"/>
  <c r="D36" i="126"/>
  <c r="D60" i="126" s="1"/>
  <c r="C36" i="126"/>
  <c r="C60" i="126" s="1"/>
  <c r="H33" i="126"/>
  <c r="F33" i="126"/>
  <c r="J32" i="126"/>
  <c r="I32" i="126"/>
  <c r="H32" i="126"/>
  <c r="G32" i="126"/>
  <c r="F32" i="126"/>
  <c r="E32" i="126"/>
  <c r="D32" i="126"/>
  <c r="C32" i="126"/>
  <c r="J31" i="126"/>
  <c r="H30" i="126"/>
  <c r="D30" i="126"/>
  <c r="C30" i="126"/>
  <c r="G28" i="126"/>
  <c r="F28" i="126"/>
  <c r="K51" i="126"/>
  <c r="J51" i="126"/>
  <c r="I51" i="126"/>
  <c r="G51" i="126"/>
  <c r="C51" i="126"/>
  <c r="B51" i="126"/>
  <c r="C50" i="126"/>
  <c r="K27" i="126"/>
  <c r="J27" i="126"/>
  <c r="I27" i="126"/>
  <c r="G27" i="126"/>
  <c r="C27" i="126"/>
  <c r="B27" i="126"/>
  <c r="B26" i="126"/>
  <c r="B21" i="126"/>
  <c r="B17" i="126"/>
  <c r="B10" i="126"/>
  <c r="AB5" i="16"/>
  <c r="R5" i="16"/>
  <c r="AB6" i="16"/>
  <c r="R6" i="16"/>
  <c r="AB7" i="16"/>
  <c r="R7" i="16"/>
  <c r="AB8" i="16"/>
  <c r="R8" i="16"/>
  <c r="AB9" i="16"/>
  <c r="R9" i="16"/>
  <c r="AB10" i="16"/>
  <c r="R10" i="16"/>
  <c r="AB13" i="16"/>
  <c r="R13" i="16"/>
  <c r="AB14" i="16"/>
  <c r="R14" i="16"/>
  <c r="AB15" i="16"/>
  <c r="R15" i="16"/>
  <c r="AB16" i="16"/>
  <c r="R16" i="16"/>
  <c r="AB17" i="16"/>
  <c r="R17" i="16"/>
  <c r="AB20" i="16"/>
  <c r="R20" i="16"/>
  <c r="AB21" i="16"/>
  <c r="R21" i="16"/>
  <c r="H4" i="125"/>
  <c r="I4" i="125" s="1"/>
  <c r="AG5" i="2" s="1"/>
  <c r="H5" i="125"/>
  <c r="H6" i="125"/>
  <c r="I6" i="125" s="1"/>
  <c r="AG7" i="2" s="1"/>
  <c r="H7" i="125"/>
  <c r="H8" i="125"/>
  <c r="H9" i="125"/>
  <c r="G10" i="125"/>
  <c r="G18" i="125"/>
  <c r="G23" i="125"/>
  <c r="B49" i="125"/>
  <c r="B50" i="125"/>
  <c r="B41" i="125"/>
  <c r="B42" i="125"/>
  <c r="F42" i="125" s="1"/>
  <c r="B43" i="125"/>
  <c r="B44" i="125"/>
  <c r="G44" i="125" s="1"/>
  <c r="B45" i="125"/>
  <c r="D45" i="125" s="1"/>
  <c r="B32" i="125"/>
  <c r="B33" i="125"/>
  <c r="G33" i="125" s="1"/>
  <c r="B34" i="125"/>
  <c r="G34" i="125" s="1"/>
  <c r="B35" i="125"/>
  <c r="B36" i="125"/>
  <c r="B37" i="125"/>
  <c r="C37" i="125" s="1"/>
  <c r="H13" i="125"/>
  <c r="H14" i="125"/>
  <c r="H15" i="125"/>
  <c r="H16" i="125"/>
  <c r="H44" i="125" s="1"/>
  <c r="H17" i="125"/>
  <c r="H45" i="125" s="1"/>
  <c r="H21" i="125"/>
  <c r="H22" i="125"/>
  <c r="F10" i="125"/>
  <c r="F18" i="125"/>
  <c r="F23" i="125"/>
  <c r="E10" i="125"/>
  <c r="E18" i="125"/>
  <c r="E23" i="125"/>
  <c r="D10" i="125"/>
  <c r="D18" i="125"/>
  <c r="D23" i="125"/>
  <c r="C10" i="125"/>
  <c r="C18" i="125"/>
  <c r="C23" i="125"/>
  <c r="G49" i="125"/>
  <c r="F49" i="125"/>
  <c r="E49" i="125"/>
  <c r="D49" i="125"/>
  <c r="C49" i="125"/>
  <c r="F45" i="125"/>
  <c r="E45" i="125"/>
  <c r="F44" i="125"/>
  <c r="E44" i="125"/>
  <c r="D44" i="125"/>
  <c r="C44" i="125"/>
  <c r="G43" i="125"/>
  <c r="F43" i="125"/>
  <c r="E43" i="125"/>
  <c r="D43" i="125"/>
  <c r="C43" i="125"/>
  <c r="D42" i="125"/>
  <c r="E37" i="125"/>
  <c r="D37" i="125"/>
  <c r="C33" i="125"/>
  <c r="G32" i="125"/>
  <c r="H32" i="125"/>
  <c r="F32" i="125"/>
  <c r="E32" i="125"/>
  <c r="D32" i="125"/>
  <c r="C32" i="125"/>
  <c r="G3" i="125"/>
  <c r="G58" i="125" s="1"/>
  <c r="F3" i="125"/>
  <c r="F58" i="125" s="1"/>
  <c r="E3" i="125"/>
  <c r="E30" i="125" s="1"/>
  <c r="D3" i="125"/>
  <c r="C3" i="125"/>
  <c r="C58" i="125" s="1"/>
  <c r="B57" i="125"/>
  <c r="I3" i="125"/>
  <c r="H30" i="125" s="1"/>
  <c r="B3" i="125"/>
  <c r="B30" i="125" s="1"/>
  <c r="B29" i="125"/>
  <c r="B23" i="125"/>
  <c r="B18" i="125"/>
  <c r="AB18" i="16" s="1"/>
  <c r="B10" i="125"/>
  <c r="AB11" i="16" s="1"/>
  <c r="I16" i="125"/>
  <c r="AG16" i="2" s="1"/>
  <c r="I15" i="125"/>
  <c r="AG15" i="2" s="1"/>
  <c r="I13" i="125"/>
  <c r="AG13" i="2" s="1"/>
  <c r="I9" i="125"/>
  <c r="AG10" i="2" s="1"/>
  <c r="H3" i="125"/>
  <c r="B3" i="121"/>
  <c r="B30" i="121" s="1"/>
  <c r="I3" i="121"/>
  <c r="H30" i="121" s="1"/>
  <c r="H3" i="121"/>
  <c r="G3" i="121"/>
  <c r="F3" i="121"/>
  <c r="E3" i="121"/>
  <c r="D3" i="121"/>
  <c r="C3" i="121"/>
  <c r="H10" i="118"/>
  <c r="H17" i="118"/>
  <c r="H21" i="118"/>
  <c r="B28" i="118"/>
  <c r="B29" i="118"/>
  <c r="B30" i="118"/>
  <c r="B31" i="118"/>
  <c r="B32" i="118"/>
  <c r="B33" i="118"/>
  <c r="B36" i="118"/>
  <c r="B60" i="118" s="1"/>
  <c r="B37" i="118"/>
  <c r="B38" i="118"/>
  <c r="B39" i="118"/>
  <c r="B40" i="118"/>
  <c r="B43" i="118"/>
  <c r="B44" i="118"/>
  <c r="G10" i="118"/>
  <c r="G17" i="118"/>
  <c r="G21" i="118"/>
  <c r="F10" i="118"/>
  <c r="F17" i="118"/>
  <c r="F21" i="118"/>
  <c r="I10" i="118"/>
  <c r="I17" i="118"/>
  <c r="I21" i="118"/>
  <c r="J10" i="118"/>
  <c r="J17" i="118"/>
  <c r="J21" i="118"/>
  <c r="D10" i="118"/>
  <c r="D17" i="118"/>
  <c r="D21" i="118"/>
  <c r="E10" i="118"/>
  <c r="E17" i="118"/>
  <c r="E21" i="118"/>
  <c r="C10" i="118"/>
  <c r="C23" i="118" s="1"/>
  <c r="C17" i="118"/>
  <c r="C21" i="118"/>
  <c r="I76" i="18"/>
  <c r="D126" i="18"/>
  <c r="L34" i="18"/>
  <c r="L126" i="18" s="1"/>
  <c r="C126" i="18" s="1"/>
  <c r="E126" i="18"/>
  <c r="F126" i="18"/>
  <c r="G126" i="18"/>
  <c r="H126" i="18"/>
  <c r="I126" i="18"/>
  <c r="J126" i="18"/>
  <c r="K126" i="18"/>
  <c r="B76" i="18"/>
  <c r="F168" i="18" s="1"/>
  <c r="K4" i="118"/>
  <c r="K5" i="118"/>
  <c r="K6" i="118"/>
  <c r="K30" i="118" s="1"/>
  <c r="K7" i="118"/>
  <c r="K8" i="118"/>
  <c r="K9" i="118"/>
  <c r="K12" i="118"/>
  <c r="K13" i="118"/>
  <c r="K14" i="118"/>
  <c r="K38" i="118" s="1"/>
  <c r="K15" i="118"/>
  <c r="K39" i="118" s="1"/>
  <c r="K16" i="118"/>
  <c r="K19" i="118"/>
  <c r="K20" i="118"/>
  <c r="H19" i="123"/>
  <c r="H20" i="123"/>
  <c r="H12" i="123"/>
  <c r="H13" i="123"/>
  <c r="H14" i="123"/>
  <c r="H15" i="123"/>
  <c r="H16" i="123"/>
  <c r="H4" i="123"/>
  <c r="H5" i="123"/>
  <c r="H6" i="123"/>
  <c r="H7" i="123"/>
  <c r="H8" i="123"/>
  <c r="H9" i="123"/>
  <c r="B21" i="123"/>
  <c r="B45" i="123" s="1"/>
  <c r="B17" i="123"/>
  <c r="B10" i="123"/>
  <c r="B34" i="123" s="1"/>
  <c r="G21" i="123"/>
  <c r="G17" i="123"/>
  <c r="G10" i="123"/>
  <c r="F21" i="123"/>
  <c r="F17" i="123"/>
  <c r="F10" i="123"/>
  <c r="E21" i="123"/>
  <c r="E17" i="123"/>
  <c r="E10" i="123"/>
  <c r="D21" i="123"/>
  <c r="D17" i="123"/>
  <c r="D10" i="123"/>
  <c r="C21" i="123"/>
  <c r="C17" i="123"/>
  <c r="C10" i="123"/>
  <c r="B54" i="123"/>
  <c r="B55" i="123"/>
  <c r="B56" i="123"/>
  <c r="B57" i="123"/>
  <c r="B58" i="123"/>
  <c r="B59" i="123"/>
  <c r="B44" i="123"/>
  <c r="B70" i="123"/>
  <c r="B43" i="123"/>
  <c r="E43" i="123" s="1"/>
  <c r="B69" i="123"/>
  <c r="B40" i="123"/>
  <c r="E40" i="123" s="1"/>
  <c r="B66" i="123"/>
  <c r="B39" i="123"/>
  <c r="G39" i="123"/>
  <c r="E39" i="123"/>
  <c r="D39" i="123"/>
  <c r="C39" i="123"/>
  <c r="B65" i="123"/>
  <c r="B38" i="123"/>
  <c r="B64" i="123"/>
  <c r="B37" i="123"/>
  <c r="F37" i="123" s="1"/>
  <c r="G37" i="123"/>
  <c r="E37" i="123"/>
  <c r="D37" i="123"/>
  <c r="C37" i="123"/>
  <c r="B63" i="123"/>
  <c r="B36" i="123"/>
  <c r="B62" i="123"/>
  <c r="B33" i="123"/>
  <c r="B32" i="123"/>
  <c r="G32" i="123" s="1"/>
  <c r="E32" i="123"/>
  <c r="D32" i="123"/>
  <c r="C32" i="123"/>
  <c r="B31" i="123"/>
  <c r="E31" i="123"/>
  <c r="B30" i="123"/>
  <c r="F30" i="123" s="1"/>
  <c r="B29" i="123"/>
  <c r="E29" i="123" s="1"/>
  <c r="F29" i="123"/>
  <c r="B28" i="123"/>
  <c r="D28" i="123" s="1"/>
  <c r="H53" i="123"/>
  <c r="G53" i="123"/>
  <c r="F53" i="123"/>
  <c r="E53" i="123"/>
  <c r="D53" i="123"/>
  <c r="C53" i="123"/>
  <c r="B53" i="123"/>
  <c r="B52" i="123"/>
  <c r="H27" i="123"/>
  <c r="G27" i="123"/>
  <c r="F27" i="123"/>
  <c r="E27" i="123"/>
  <c r="D27" i="123"/>
  <c r="C27" i="123"/>
  <c r="B27" i="123"/>
  <c r="B26" i="123"/>
  <c r="K19" i="122"/>
  <c r="K21" i="122" s="1"/>
  <c r="K20" i="122"/>
  <c r="K12" i="122"/>
  <c r="K13" i="122"/>
  <c r="K14" i="122"/>
  <c r="K15" i="122"/>
  <c r="K16" i="122"/>
  <c r="K40" i="122" s="1"/>
  <c r="AE17" i="17" s="1"/>
  <c r="K4" i="122"/>
  <c r="K28" i="122" s="1"/>
  <c r="K5" i="122"/>
  <c r="K29" i="122" s="1"/>
  <c r="AE6" i="17" s="1"/>
  <c r="K6" i="122"/>
  <c r="K7" i="122"/>
  <c r="K8" i="122"/>
  <c r="K9" i="122"/>
  <c r="B43" i="122"/>
  <c r="B44" i="122"/>
  <c r="B36" i="122"/>
  <c r="B37" i="122"/>
  <c r="B38" i="122"/>
  <c r="B39" i="122"/>
  <c r="B40" i="122"/>
  <c r="B28" i="122"/>
  <c r="B29" i="122"/>
  <c r="B30" i="122"/>
  <c r="B31" i="122"/>
  <c r="H31" i="122" s="1"/>
  <c r="B32" i="122"/>
  <c r="B33" i="122"/>
  <c r="J21" i="122"/>
  <c r="J17" i="122"/>
  <c r="J10" i="122"/>
  <c r="I21" i="122"/>
  <c r="I17" i="122"/>
  <c r="I10" i="122"/>
  <c r="H21" i="122"/>
  <c r="H17" i="122"/>
  <c r="H10" i="122"/>
  <c r="G21" i="122"/>
  <c r="G17" i="122"/>
  <c r="G10" i="122"/>
  <c r="F21" i="122"/>
  <c r="F17" i="122"/>
  <c r="F10" i="122"/>
  <c r="E21" i="122"/>
  <c r="E17" i="122"/>
  <c r="E10" i="122"/>
  <c r="D21" i="122"/>
  <c r="D17" i="122"/>
  <c r="D10" i="122"/>
  <c r="C21" i="122"/>
  <c r="C17" i="122"/>
  <c r="C10" i="122"/>
  <c r="B67" i="122"/>
  <c r="B63" i="122"/>
  <c r="B64" i="122"/>
  <c r="B52" i="122"/>
  <c r="B53" i="122"/>
  <c r="B54" i="122"/>
  <c r="B55" i="122"/>
  <c r="B56" i="122"/>
  <c r="B57" i="122"/>
  <c r="J43" i="122"/>
  <c r="I43" i="122"/>
  <c r="H43" i="122"/>
  <c r="G43" i="122"/>
  <c r="F43" i="122"/>
  <c r="E43" i="122"/>
  <c r="D43" i="122"/>
  <c r="C43" i="122"/>
  <c r="J40" i="122"/>
  <c r="I40" i="122"/>
  <c r="H40" i="122"/>
  <c r="G40" i="122"/>
  <c r="F40" i="122"/>
  <c r="E40" i="122"/>
  <c r="D40" i="122"/>
  <c r="C40" i="122"/>
  <c r="K39" i="122"/>
  <c r="J39" i="122"/>
  <c r="I39" i="122"/>
  <c r="H39" i="122"/>
  <c r="G39" i="122"/>
  <c r="F39" i="122"/>
  <c r="E39" i="122"/>
  <c r="D39" i="122"/>
  <c r="C39" i="122"/>
  <c r="G38" i="122"/>
  <c r="J31" i="122"/>
  <c r="E31" i="122"/>
  <c r="J29" i="122"/>
  <c r="I29" i="122"/>
  <c r="H29" i="122"/>
  <c r="G29" i="122"/>
  <c r="F29" i="122"/>
  <c r="E29" i="122"/>
  <c r="D29" i="122"/>
  <c r="C29" i="122"/>
  <c r="J28" i="122"/>
  <c r="I28" i="122"/>
  <c r="H28" i="122"/>
  <c r="G28" i="122"/>
  <c r="F28" i="122"/>
  <c r="E28" i="122"/>
  <c r="E52" i="122" s="1"/>
  <c r="D28" i="122"/>
  <c r="C28" i="122"/>
  <c r="K51" i="122"/>
  <c r="J51" i="122"/>
  <c r="I51" i="122"/>
  <c r="H51" i="122"/>
  <c r="G51" i="122"/>
  <c r="F51" i="122"/>
  <c r="E51" i="122"/>
  <c r="D51" i="122"/>
  <c r="C51" i="122"/>
  <c r="B51" i="122"/>
  <c r="C50" i="122"/>
  <c r="K27" i="122"/>
  <c r="J27" i="122"/>
  <c r="I27" i="122"/>
  <c r="H27" i="122"/>
  <c r="G27" i="122"/>
  <c r="F27" i="122"/>
  <c r="E27" i="122"/>
  <c r="D27" i="122"/>
  <c r="C27" i="122"/>
  <c r="B27" i="122"/>
  <c r="B26" i="122"/>
  <c r="B21" i="122"/>
  <c r="B17" i="122"/>
  <c r="B10" i="122"/>
  <c r="B10" i="121"/>
  <c r="AA11" i="16" s="1"/>
  <c r="B18" i="121"/>
  <c r="AA18" i="16" s="1"/>
  <c r="B23" i="121"/>
  <c r="AA21" i="16"/>
  <c r="AA20" i="16"/>
  <c r="AA17" i="16"/>
  <c r="AA16" i="16"/>
  <c r="AA15" i="16"/>
  <c r="AA14" i="16"/>
  <c r="AA13" i="16"/>
  <c r="AA10" i="16"/>
  <c r="AA9" i="16"/>
  <c r="AA8" i="16"/>
  <c r="AA7" i="16"/>
  <c r="AA6" i="16"/>
  <c r="AA5" i="16"/>
  <c r="H4" i="121"/>
  <c r="H5" i="121"/>
  <c r="I5" i="121" s="1"/>
  <c r="AF6" i="2" s="1"/>
  <c r="H6" i="121"/>
  <c r="H7" i="121"/>
  <c r="I7" i="121" s="1"/>
  <c r="AF8" i="2" s="1"/>
  <c r="H8" i="121"/>
  <c r="H9" i="121"/>
  <c r="H13" i="121"/>
  <c r="I13" i="121" s="1"/>
  <c r="AF13" i="2" s="1"/>
  <c r="H14" i="121"/>
  <c r="H15" i="121"/>
  <c r="H16" i="121"/>
  <c r="H17" i="121"/>
  <c r="H21" i="121"/>
  <c r="H22" i="121"/>
  <c r="I22" i="121" s="1"/>
  <c r="AF21" i="2" s="1"/>
  <c r="G10" i="121"/>
  <c r="G18" i="121"/>
  <c r="G23" i="121"/>
  <c r="F10" i="121"/>
  <c r="F18" i="121"/>
  <c r="F23" i="121"/>
  <c r="E10" i="121"/>
  <c r="E18" i="121"/>
  <c r="E23" i="121"/>
  <c r="D10" i="121"/>
  <c r="D18" i="121"/>
  <c r="D23" i="121"/>
  <c r="C10" i="121"/>
  <c r="C18" i="121"/>
  <c r="C23" i="121"/>
  <c r="I15" i="121"/>
  <c r="AF15" i="2" s="1"/>
  <c r="I6" i="121"/>
  <c r="AF7" i="2" s="1"/>
  <c r="B49" i="121"/>
  <c r="E49" i="121" s="1"/>
  <c r="B50" i="121"/>
  <c r="D50" i="121" s="1"/>
  <c r="B41" i="121"/>
  <c r="B42" i="121"/>
  <c r="F42" i="121" s="1"/>
  <c r="B43" i="121"/>
  <c r="B44" i="121"/>
  <c r="B45" i="121"/>
  <c r="B32" i="121"/>
  <c r="B33" i="121"/>
  <c r="G33" i="121" s="1"/>
  <c r="B34" i="121"/>
  <c r="B35" i="121"/>
  <c r="B36" i="121"/>
  <c r="B37" i="121"/>
  <c r="H50" i="121"/>
  <c r="F50" i="121"/>
  <c r="E50" i="121"/>
  <c r="C50" i="121"/>
  <c r="G41" i="121"/>
  <c r="F37" i="121"/>
  <c r="D37" i="121"/>
  <c r="E36" i="121"/>
  <c r="G34" i="121"/>
  <c r="F34" i="121"/>
  <c r="E34" i="121"/>
  <c r="D34" i="121"/>
  <c r="C34" i="121"/>
  <c r="E33" i="121"/>
  <c r="F58" i="121"/>
  <c r="E58" i="121"/>
  <c r="D58" i="121"/>
  <c r="C58" i="121"/>
  <c r="B57" i="121"/>
  <c r="F30" i="121"/>
  <c r="E30" i="121"/>
  <c r="D30" i="121"/>
  <c r="C30" i="121"/>
  <c r="B29" i="121"/>
  <c r="B75" i="18"/>
  <c r="D125" i="18"/>
  <c r="E125" i="18"/>
  <c r="F125" i="18"/>
  <c r="G125" i="18"/>
  <c r="H125" i="18"/>
  <c r="I125" i="18"/>
  <c r="J125" i="18"/>
  <c r="K125" i="18"/>
  <c r="L33" i="18"/>
  <c r="L125" i="18" s="1"/>
  <c r="H4" i="117"/>
  <c r="H5" i="117"/>
  <c r="H6" i="117"/>
  <c r="I6" i="117" s="1"/>
  <c r="AE7" i="2" s="1"/>
  <c r="H7" i="117"/>
  <c r="H8" i="117"/>
  <c r="I8" i="117" s="1"/>
  <c r="AE9" i="2" s="1"/>
  <c r="H9" i="117"/>
  <c r="I9" i="117" s="1"/>
  <c r="I75" i="18"/>
  <c r="C75" i="18" s="1"/>
  <c r="B74" i="18"/>
  <c r="E166" i="18" s="1"/>
  <c r="A94" i="18"/>
  <c r="B70" i="119"/>
  <c r="B69" i="119"/>
  <c r="B66" i="119"/>
  <c r="B65" i="119"/>
  <c r="B64" i="119"/>
  <c r="B63" i="119"/>
  <c r="B62" i="119"/>
  <c r="B59" i="119"/>
  <c r="B58" i="119"/>
  <c r="B57" i="119"/>
  <c r="B56" i="119"/>
  <c r="B55" i="119"/>
  <c r="B54" i="119"/>
  <c r="H53" i="119"/>
  <c r="G53" i="119"/>
  <c r="F53" i="119"/>
  <c r="E53" i="119"/>
  <c r="D53" i="119"/>
  <c r="C53" i="119"/>
  <c r="B53" i="119"/>
  <c r="B52" i="119"/>
  <c r="B44" i="119"/>
  <c r="B43" i="119"/>
  <c r="B40" i="119"/>
  <c r="F40" i="119" s="1"/>
  <c r="B39" i="119"/>
  <c r="G39" i="119" s="1"/>
  <c r="B38" i="119"/>
  <c r="B37" i="119"/>
  <c r="D37" i="119" s="1"/>
  <c r="B36" i="119"/>
  <c r="B33" i="119"/>
  <c r="G33" i="119" s="1"/>
  <c r="B32" i="119"/>
  <c r="F32" i="119" s="1"/>
  <c r="C32" i="119"/>
  <c r="B31" i="119"/>
  <c r="F31" i="119"/>
  <c r="B30" i="119"/>
  <c r="B29" i="119"/>
  <c r="E29" i="119" s="1"/>
  <c r="B28" i="119"/>
  <c r="H27" i="119"/>
  <c r="G27" i="119"/>
  <c r="F27" i="119"/>
  <c r="E27" i="119"/>
  <c r="D27" i="119"/>
  <c r="C27" i="119"/>
  <c r="B27" i="119"/>
  <c r="B26" i="119"/>
  <c r="G21" i="119"/>
  <c r="F21" i="119"/>
  <c r="E21" i="119"/>
  <c r="D21" i="119"/>
  <c r="C21" i="119"/>
  <c r="B21" i="119"/>
  <c r="H20" i="119"/>
  <c r="H21" i="119" s="1"/>
  <c r="H19" i="119"/>
  <c r="G17" i="119"/>
  <c r="F17" i="119"/>
  <c r="E17" i="119"/>
  <c r="D17" i="119"/>
  <c r="C17" i="119"/>
  <c r="C23" i="119" s="1"/>
  <c r="B17" i="119"/>
  <c r="B41" i="119" s="1"/>
  <c r="G41" i="119" s="1"/>
  <c r="H16" i="119"/>
  <c r="H40" i="119" s="1"/>
  <c r="H15" i="119"/>
  <c r="H39" i="119" s="1"/>
  <c r="G65" i="119" s="1"/>
  <c r="H14" i="119"/>
  <c r="H13" i="119"/>
  <c r="H12" i="119"/>
  <c r="G10" i="119"/>
  <c r="G23" i="119" s="1"/>
  <c r="F10" i="119"/>
  <c r="F23" i="119" s="1"/>
  <c r="E10" i="119"/>
  <c r="D10" i="119"/>
  <c r="D23" i="119" s="1"/>
  <c r="C10" i="119"/>
  <c r="B10" i="119"/>
  <c r="B34" i="119" s="1"/>
  <c r="H9" i="119"/>
  <c r="H33" i="119" s="1"/>
  <c r="H8" i="119"/>
  <c r="H32" i="119" s="1"/>
  <c r="H7" i="119"/>
  <c r="H31" i="119" s="1"/>
  <c r="H6" i="119"/>
  <c r="H30" i="119" s="1"/>
  <c r="H56" i="119" s="1"/>
  <c r="H5" i="119"/>
  <c r="H29" i="119" s="1"/>
  <c r="H55" i="119" s="1"/>
  <c r="H4" i="119"/>
  <c r="B67" i="118"/>
  <c r="B52" i="118"/>
  <c r="B53" i="118"/>
  <c r="B54" i="118"/>
  <c r="B55" i="118"/>
  <c r="B56" i="118"/>
  <c r="B57" i="118"/>
  <c r="K51" i="118"/>
  <c r="J51" i="118"/>
  <c r="I51" i="118"/>
  <c r="H51" i="118"/>
  <c r="G51" i="118"/>
  <c r="F51" i="118"/>
  <c r="E51" i="118"/>
  <c r="D51" i="118"/>
  <c r="C51" i="118"/>
  <c r="B51" i="118"/>
  <c r="C50" i="118"/>
  <c r="I43" i="118"/>
  <c r="I67" i="118" s="1"/>
  <c r="E43" i="118"/>
  <c r="C40" i="118"/>
  <c r="J39" i="118"/>
  <c r="J63" i="118" s="1"/>
  <c r="E38" i="118"/>
  <c r="K32" i="118"/>
  <c r="J32" i="118"/>
  <c r="J56" i="118" s="1"/>
  <c r="I30" i="118"/>
  <c r="H30" i="118"/>
  <c r="G30" i="118"/>
  <c r="F30" i="118"/>
  <c r="C30" i="118"/>
  <c r="C54" i="118" s="1"/>
  <c r="E29" i="118"/>
  <c r="K27" i="118"/>
  <c r="J27" i="118"/>
  <c r="I27" i="118"/>
  <c r="H27" i="118"/>
  <c r="G27" i="118"/>
  <c r="F27" i="118"/>
  <c r="E27" i="118"/>
  <c r="D27" i="118"/>
  <c r="C27" i="118"/>
  <c r="B27" i="118"/>
  <c r="B26" i="118"/>
  <c r="B21" i="118"/>
  <c r="B17" i="118"/>
  <c r="K40" i="118"/>
  <c r="B10" i="118"/>
  <c r="Z21" i="16"/>
  <c r="Z20" i="16"/>
  <c r="Z17" i="16"/>
  <c r="Z16" i="16"/>
  <c r="Z15" i="16"/>
  <c r="Z14" i="16"/>
  <c r="Z13" i="16"/>
  <c r="Z10" i="16"/>
  <c r="Z9" i="16"/>
  <c r="Z8" i="16"/>
  <c r="Z7" i="16"/>
  <c r="Z6" i="16"/>
  <c r="Z5" i="16"/>
  <c r="G58" i="117"/>
  <c r="F58" i="117"/>
  <c r="E58" i="117"/>
  <c r="D58" i="117"/>
  <c r="C58" i="117"/>
  <c r="B57" i="117"/>
  <c r="B50" i="117"/>
  <c r="B49" i="117"/>
  <c r="B45" i="117"/>
  <c r="D45" i="117" s="1"/>
  <c r="B44" i="117"/>
  <c r="B43" i="117"/>
  <c r="B42" i="117"/>
  <c r="F42" i="117" s="1"/>
  <c r="B41" i="117"/>
  <c r="C41" i="117" s="1"/>
  <c r="B37" i="117"/>
  <c r="D37" i="117" s="1"/>
  <c r="B36" i="117"/>
  <c r="C36" i="117" s="1"/>
  <c r="B35" i="117"/>
  <c r="B34" i="117"/>
  <c r="H34" i="117" s="1"/>
  <c r="B33" i="117"/>
  <c r="D33" i="117" s="1"/>
  <c r="B32" i="117"/>
  <c r="H30" i="117"/>
  <c r="G30" i="117"/>
  <c r="F30" i="117"/>
  <c r="E30" i="117"/>
  <c r="D30" i="117"/>
  <c r="C30" i="117"/>
  <c r="B30" i="117"/>
  <c r="B29" i="117"/>
  <c r="G23" i="117"/>
  <c r="F23" i="117"/>
  <c r="E23" i="117"/>
  <c r="D23" i="117"/>
  <c r="C23" i="117"/>
  <c r="B23" i="117"/>
  <c r="Z22" i="16" s="1"/>
  <c r="H22" i="117"/>
  <c r="H21" i="117"/>
  <c r="G18" i="117"/>
  <c r="F18" i="117"/>
  <c r="E18" i="117"/>
  <c r="D18" i="117"/>
  <c r="D25" i="117" s="1"/>
  <c r="Z7" i="3" s="1"/>
  <c r="C18" i="117"/>
  <c r="B18" i="117"/>
  <c r="H17" i="117"/>
  <c r="H16" i="117"/>
  <c r="I16" i="117" s="1"/>
  <c r="AE16" i="2" s="1"/>
  <c r="H15" i="117"/>
  <c r="I15" i="117" s="1"/>
  <c r="AE15" i="2" s="1"/>
  <c r="H14" i="117"/>
  <c r="H42" i="117" s="1"/>
  <c r="H13" i="117"/>
  <c r="G10" i="117"/>
  <c r="G25" i="117" s="1"/>
  <c r="F10" i="117"/>
  <c r="F25" i="117" s="1"/>
  <c r="Z9" i="3" s="1"/>
  <c r="E10" i="117"/>
  <c r="D10" i="117"/>
  <c r="C10" i="117"/>
  <c r="B10" i="117"/>
  <c r="Z11" i="16"/>
  <c r="I5" i="117"/>
  <c r="AE6" i="2" s="1"/>
  <c r="D43" i="119"/>
  <c r="E43" i="119"/>
  <c r="D40" i="119"/>
  <c r="G40" i="119"/>
  <c r="C36" i="119"/>
  <c r="D31" i="119"/>
  <c r="E31" i="119"/>
  <c r="C33" i="119"/>
  <c r="G31" i="119"/>
  <c r="D33" i="119"/>
  <c r="F33" i="119"/>
  <c r="C31" i="119"/>
  <c r="C57" i="119" s="1"/>
  <c r="E33" i="119"/>
  <c r="D32" i="119"/>
  <c r="E32" i="119"/>
  <c r="F43" i="118"/>
  <c r="F67" i="118" s="1"/>
  <c r="K43" i="118"/>
  <c r="G43" i="118"/>
  <c r="G67" i="118" s="1"/>
  <c r="H43" i="118"/>
  <c r="H67" i="118" s="1"/>
  <c r="D40" i="118"/>
  <c r="E39" i="118"/>
  <c r="E40" i="118"/>
  <c r="F39" i="118"/>
  <c r="J40" i="118"/>
  <c r="C39" i="118"/>
  <c r="G38" i="118"/>
  <c r="H39" i="118"/>
  <c r="D39" i="118"/>
  <c r="B63" i="118"/>
  <c r="G39" i="118"/>
  <c r="I38" i="118"/>
  <c r="I39" i="118"/>
  <c r="I63" i="118" s="1"/>
  <c r="K29" i="118"/>
  <c r="G29" i="118"/>
  <c r="K31" i="118"/>
  <c r="D30" i="118"/>
  <c r="F29" i="118"/>
  <c r="H29" i="118"/>
  <c r="I29" i="118"/>
  <c r="E30" i="118"/>
  <c r="G42" i="117"/>
  <c r="C42" i="117"/>
  <c r="G33" i="117"/>
  <c r="G60" i="117" s="1"/>
  <c r="E33" i="117"/>
  <c r="F33" i="117"/>
  <c r="F60" i="117" s="1"/>
  <c r="H33" i="117"/>
  <c r="F32" i="117"/>
  <c r="G34" i="117"/>
  <c r="C32" i="117"/>
  <c r="C59" i="119"/>
  <c r="C39" i="119"/>
  <c r="D39" i="119"/>
  <c r="G32" i="119"/>
  <c r="C37" i="119"/>
  <c r="E39" i="119"/>
  <c r="F39" i="119"/>
  <c r="F29" i="119"/>
  <c r="D31" i="118"/>
  <c r="G37" i="118"/>
  <c r="F37" i="118"/>
  <c r="E37" i="118"/>
  <c r="AF20" i="17"/>
  <c r="J31" i="118"/>
  <c r="D28" i="118"/>
  <c r="F28" i="118"/>
  <c r="E28" i="118"/>
  <c r="I40" i="118"/>
  <c r="F40" i="118"/>
  <c r="H40" i="118"/>
  <c r="B64" i="118"/>
  <c r="G40" i="118"/>
  <c r="I31" i="118"/>
  <c r="F31" i="118"/>
  <c r="H31" i="118"/>
  <c r="G31" i="118"/>
  <c r="E31" i="118"/>
  <c r="C31" i="118"/>
  <c r="C37" i="118"/>
  <c r="J29" i="118"/>
  <c r="J43" i="118"/>
  <c r="J67" i="118" s="1"/>
  <c r="C43" i="118"/>
  <c r="C67" i="118" s="1"/>
  <c r="D29" i="118"/>
  <c r="J30" i="118"/>
  <c r="D43" i="118"/>
  <c r="D67" i="118" s="1"/>
  <c r="J38" i="118"/>
  <c r="C29" i="118"/>
  <c r="C50" i="117"/>
  <c r="C37" i="117"/>
  <c r="I14" i="117"/>
  <c r="AE14" i="2" s="1"/>
  <c r="I21" i="117"/>
  <c r="AE20" i="2" s="1"/>
  <c r="E37" i="117"/>
  <c r="E49" i="117"/>
  <c r="F50" i="117"/>
  <c r="E50" i="117"/>
  <c r="I4" i="117"/>
  <c r="AE5" i="2" s="1"/>
  <c r="F37" i="117"/>
  <c r="C44" i="117"/>
  <c r="G50" i="117"/>
  <c r="C33" i="117"/>
  <c r="G37" i="117"/>
  <c r="C43" i="117"/>
  <c r="I17" i="117"/>
  <c r="AE17" i="2" s="1"/>
  <c r="AE10" i="2"/>
  <c r="I74" i="18"/>
  <c r="L32" i="18"/>
  <c r="K55" i="118"/>
  <c r="C60" i="117"/>
  <c r="E60" i="117"/>
  <c r="K67" i="118"/>
  <c r="D124" i="18"/>
  <c r="E124" i="18"/>
  <c r="F124" i="18"/>
  <c r="G124" i="18"/>
  <c r="H124" i="18"/>
  <c r="I124" i="18"/>
  <c r="J124" i="18"/>
  <c r="K124" i="18"/>
  <c r="D166" i="18"/>
  <c r="B57" i="115"/>
  <c r="B56" i="115"/>
  <c r="B55" i="115"/>
  <c r="B54" i="115"/>
  <c r="B53" i="115"/>
  <c r="B52" i="115"/>
  <c r="K51" i="115"/>
  <c r="J51" i="115"/>
  <c r="I51" i="115"/>
  <c r="H51" i="115"/>
  <c r="G51" i="115"/>
  <c r="F51" i="115"/>
  <c r="E51" i="115"/>
  <c r="D51" i="115"/>
  <c r="C51" i="115"/>
  <c r="B51" i="115"/>
  <c r="C50" i="115"/>
  <c r="B44" i="115"/>
  <c r="B43" i="115"/>
  <c r="B40" i="115"/>
  <c r="B39" i="115"/>
  <c r="C39" i="115" s="1"/>
  <c r="B38" i="115"/>
  <c r="I38" i="115" s="1"/>
  <c r="B37" i="115"/>
  <c r="H37" i="115" s="1"/>
  <c r="B36" i="115"/>
  <c r="B33" i="115"/>
  <c r="J33" i="115" s="1"/>
  <c r="B32" i="115"/>
  <c r="G32" i="115" s="1"/>
  <c r="B31" i="115"/>
  <c r="J31" i="115" s="1"/>
  <c r="B30" i="115"/>
  <c r="B29" i="115"/>
  <c r="G29" i="115" s="1"/>
  <c r="B28" i="115"/>
  <c r="C28" i="115" s="1"/>
  <c r="K27" i="115"/>
  <c r="J27" i="115"/>
  <c r="I27" i="115"/>
  <c r="H27" i="115"/>
  <c r="G27" i="115"/>
  <c r="F27" i="115"/>
  <c r="E27" i="115"/>
  <c r="D27" i="115"/>
  <c r="C27" i="115"/>
  <c r="B27" i="115"/>
  <c r="B26" i="115"/>
  <c r="J21" i="115"/>
  <c r="I21" i="115"/>
  <c r="H21" i="115"/>
  <c r="G21" i="115"/>
  <c r="F21" i="115"/>
  <c r="E21" i="115"/>
  <c r="D21" i="115"/>
  <c r="C21" i="115"/>
  <c r="B21" i="115"/>
  <c r="K20" i="115"/>
  <c r="K19" i="115"/>
  <c r="J17" i="115"/>
  <c r="J23" i="115" s="1"/>
  <c r="I17" i="115"/>
  <c r="H17" i="115"/>
  <c r="G17" i="115"/>
  <c r="F17" i="115"/>
  <c r="E17" i="115"/>
  <c r="D17" i="115"/>
  <c r="C17" i="115"/>
  <c r="B17" i="115"/>
  <c r="B23" i="115" s="1"/>
  <c r="K16" i="115"/>
  <c r="K15" i="115"/>
  <c r="K39" i="115" s="1"/>
  <c r="K14" i="115"/>
  <c r="K38" i="115" s="1"/>
  <c r="K13" i="115"/>
  <c r="K12" i="115"/>
  <c r="J10" i="115"/>
  <c r="I10" i="115"/>
  <c r="H10" i="115"/>
  <c r="G10" i="115"/>
  <c r="F10" i="115"/>
  <c r="E10" i="115"/>
  <c r="D10" i="115"/>
  <c r="C10" i="115"/>
  <c r="B10" i="115"/>
  <c r="K9" i="115"/>
  <c r="K8" i="115"/>
  <c r="K32" i="115" s="1"/>
  <c r="D56" i="115" s="1"/>
  <c r="K7" i="115"/>
  <c r="K6" i="115"/>
  <c r="K5" i="115"/>
  <c r="K4" i="115"/>
  <c r="F28" i="115"/>
  <c r="D32" i="115"/>
  <c r="E32" i="115"/>
  <c r="E56" i="115" s="1"/>
  <c r="H39" i="115"/>
  <c r="F31" i="115"/>
  <c r="H32" i="115"/>
  <c r="G31" i="115"/>
  <c r="I32" i="115"/>
  <c r="H31" i="115"/>
  <c r="C32" i="115"/>
  <c r="C31" i="115"/>
  <c r="F32" i="115"/>
  <c r="F56" i="115" s="1"/>
  <c r="F38" i="115"/>
  <c r="C38" i="115"/>
  <c r="E38" i="115"/>
  <c r="H38" i="115"/>
  <c r="G38" i="115"/>
  <c r="D43" i="115"/>
  <c r="F33" i="115"/>
  <c r="D33" i="115"/>
  <c r="D31" i="115"/>
  <c r="J32" i="115"/>
  <c r="I31" i="115"/>
  <c r="I36" i="115"/>
  <c r="J44" i="115"/>
  <c r="B70" i="114"/>
  <c r="B69" i="114"/>
  <c r="B66" i="114"/>
  <c r="B65" i="114"/>
  <c r="B64" i="114"/>
  <c r="B63" i="114"/>
  <c r="B62" i="114"/>
  <c r="B59" i="114"/>
  <c r="B58" i="114"/>
  <c r="B57" i="114"/>
  <c r="B56" i="114"/>
  <c r="B55" i="114"/>
  <c r="B54" i="114"/>
  <c r="H53" i="114"/>
  <c r="G53" i="114"/>
  <c r="F53" i="114"/>
  <c r="E53" i="114"/>
  <c r="D53" i="114"/>
  <c r="C53" i="114"/>
  <c r="B53" i="114"/>
  <c r="B52" i="114"/>
  <c r="B44" i="114"/>
  <c r="D44" i="114" s="1"/>
  <c r="B43" i="114"/>
  <c r="B40" i="114"/>
  <c r="B39" i="114"/>
  <c r="G39" i="114" s="1"/>
  <c r="B38" i="114"/>
  <c r="G38" i="114" s="1"/>
  <c r="B37" i="114"/>
  <c r="B36" i="114"/>
  <c r="B33" i="114"/>
  <c r="B32" i="114"/>
  <c r="B31" i="114"/>
  <c r="B30" i="114"/>
  <c r="G30" i="114"/>
  <c r="B29" i="114"/>
  <c r="B28" i="114"/>
  <c r="H27" i="114"/>
  <c r="G27" i="114"/>
  <c r="F27" i="114"/>
  <c r="E27" i="114"/>
  <c r="D27" i="114"/>
  <c r="C27" i="114"/>
  <c r="B27" i="114"/>
  <c r="B26" i="114"/>
  <c r="G21" i="114"/>
  <c r="F21" i="114"/>
  <c r="E21" i="114"/>
  <c r="D21" i="114"/>
  <c r="C21" i="114"/>
  <c r="B21" i="114"/>
  <c r="B71" i="114" s="1"/>
  <c r="H20" i="114"/>
  <c r="H19" i="114"/>
  <c r="G17" i="114"/>
  <c r="F17" i="114"/>
  <c r="E17" i="114"/>
  <c r="D17" i="114"/>
  <c r="C17" i="114"/>
  <c r="B17" i="114"/>
  <c r="H16" i="114"/>
  <c r="H15" i="114"/>
  <c r="H14" i="114"/>
  <c r="H13" i="114"/>
  <c r="H12" i="114"/>
  <c r="G10" i="114"/>
  <c r="G34" i="114" s="1"/>
  <c r="F10" i="114"/>
  <c r="E10" i="114"/>
  <c r="D10" i="114"/>
  <c r="C10" i="114"/>
  <c r="C34" i="114" s="1"/>
  <c r="B10" i="114"/>
  <c r="B34" i="114" s="1"/>
  <c r="H9" i="114"/>
  <c r="H8" i="114"/>
  <c r="H32" i="114" s="1"/>
  <c r="H7" i="114"/>
  <c r="H31" i="114" s="1"/>
  <c r="H6" i="114"/>
  <c r="H5" i="114"/>
  <c r="H4" i="114"/>
  <c r="Y21" i="16"/>
  <c r="Y20" i="16"/>
  <c r="Y17" i="16"/>
  <c r="Y16" i="16"/>
  <c r="Y15" i="16"/>
  <c r="Y14" i="16"/>
  <c r="Y13" i="16"/>
  <c r="Y10" i="16"/>
  <c r="Y9" i="16"/>
  <c r="Y8" i="16"/>
  <c r="Y7" i="16"/>
  <c r="Y6" i="16"/>
  <c r="Y5" i="16"/>
  <c r="G58" i="113"/>
  <c r="F58" i="113"/>
  <c r="E58" i="113"/>
  <c r="D58" i="113"/>
  <c r="C58" i="113"/>
  <c r="B57" i="113"/>
  <c r="E50" i="113"/>
  <c r="B50" i="113"/>
  <c r="B49" i="113"/>
  <c r="B45" i="113"/>
  <c r="B44" i="113"/>
  <c r="E44" i="113" s="1"/>
  <c r="B43" i="113"/>
  <c r="G43" i="113" s="1"/>
  <c r="B42" i="113"/>
  <c r="B41" i="113"/>
  <c r="B37" i="113"/>
  <c r="B36" i="113"/>
  <c r="C36" i="113" s="1"/>
  <c r="B35" i="113"/>
  <c r="B34" i="113"/>
  <c r="G34" i="113" s="1"/>
  <c r="B33" i="113"/>
  <c r="G33" i="113" s="1"/>
  <c r="B32" i="113"/>
  <c r="H30" i="113"/>
  <c r="G30" i="113"/>
  <c r="F30" i="113"/>
  <c r="E30" i="113"/>
  <c r="D30" i="113"/>
  <c r="C30" i="113"/>
  <c r="B30" i="113"/>
  <c r="B29" i="113"/>
  <c r="G23" i="113"/>
  <c r="F23" i="113"/>
  <c r="E23" i="113"/>
  <c r="D23" i="113"/>
  <c r="C23" i="113"/>
  <c r="B23" i="113"/>
  <c r="H22" i="113"/>
  <c r="H21" i="113"/>
  <c r="I21" i="113" s="1"/>
  <c r="AD20" i="2" s="1"/>
  <c r="G18" i="113"/>
  <c r="F18" i="113"/>
  <c r="F25" i="113" s="1"/>
  <c r="E18" i="113"/>
  <c r="D18" i="113"/>
  <c r="C18" i="113"/>
  <c r="B18" i="113"/>
  <c r="Y18" i="16" s="1"/>
  <c r="H17" i="113"/>
  <c r="H16" i="113"/>
  <c r="I16" i="113" s="1"/>
  <c r="AD16" i="2" s="1"/>
  <c r="H15" i="113"/>
  <c r="I15" i="113" s="1"/>
  <c r="AD15" i="2" s="1"/>
  <c r="H14" i="113"/>
  <c r="I14" i="113" s="1"/>
  <c r="AD14" i="2" s="1"/>
  <c r="H13" i="113"/>
  <c r="G10" i="113"/>
  <c r="F10" i="113"/>
  <c r="E10" i="113"/>
  <c r="D10" i="113"/>
  <c r="D25" i="113" s="1"/>
  <c r="Y7" i="3" s="1"/>
  <c r="C10" i="113"/>
  <c r="B10" i="113"/>
  <c r="Y11" i="16"/>
  <c r="H9" i="113"/>
  <c r="H8" i="113"/>
  <c r="I8" i="113" s="1"/>
  <c r="AD9" i="2" s="1"/>
  <c r="H7" i="113"/>
  <c r="H6" i="113"/>
  <c r="H5" i="113"/>
  <c r="H4" i="113"/>
  <c r="I4" i="113" s="1"/>
  <c r="AD5" i="2" s="1"/>
  <c r="H38" i="114"/>
  <c r="H64" i="114" s="1"/>
  <c r="H30" i="114"/>
  <c r="H56" i="114" s="1"/>
  <c r="G29" i="114"/>
  <c r="F34" i="114"/>
  <c r="H57" i="114"/>
  <c r="C31" i="114"/>
  <c r="C57" i="114" s="1"/>
  <c r="G31" i="114"/>
  <c r="G57" i="114" s="1"/>
  <c r="D40" i="114"/>
  <c r="C40" i="114"/>
  <c r="C38" i="114"/>
  <c r="F30" i="114"/>
  <c r="F56" i="114" s="1"/>
  <c r="E38" i="114"/>
  <c r="G23" i="114"/>
  <c r="C30" i="114"/>
  <c r="D30" i="114"/>
  <c r="E30" i="114"/>
  <c r="F38" i="114"/>
  <c r="H43" i="113"/>
  <c r="I7" i="113"/>
  <c r="AD8" i="2" s="1"/>
  <c r="E36" i="113"/>
  <c r="C34" i="113"/>
  <c r="D34" i="113"/>
  <c r="C43" i="113"/>
  <c r="E45" i="113"/>
  <c r="F34" i="113"/>
  <c r="E43" i="113"/>
  <c r="E70" i="113" s="1"/>
  <c r="H23" i="113"/>
  <c r="E34" i="113"/>
  <c r="D43" i="113"/>
  <c r="I17" i="113"/>
  <c r="AD17" i="2"/>
  <c r="F43" i="113"/>
  <c r="F70" i="113" s="1"/>
  <c r="E64" i="114"/>
  <c r="B73" i="18"/>
  <c r="D165" i="18" s="1"/>
  <c r="C31" i="18"/>
  <c r="D123" i="18"/>
  <c r="E123" i="18"/>
  <c r="F123" i="18"/>
  <c r="G123" i="18"/>
  <c r="H123" i="18"/>
  <c r="I123" i="18"/>
  <c r="J123" i="18"/>
  <c r="K123" i="18"/>
  <c r="L123" i="18"/>
  <c r="C73" i="18"/>
  <c r="B52" i="111"/>
  <c r="B26" i="111"/>
  <c r="B70" i="111"/>
  <c r="B69" i="111"/>
  <c r="B66" i="111"/>
  <c r="B65" i="111"/>
  <c r="B64" i="111"/>
  <c r="B63" i="111"/>
  <c r="B62" i="111"/>
  <c r="B59" i="111"/>
  <c r="B58" i="111"/>
  <c r="B57" i="111"/>
  <c r="B56" i="111"/>
  <c r="B55" i="111"/>
  <c r="B54" i="111"/>
  <c r="H53" i="111"/>
  <c r="G53" i="111"/>
  <c r="F53" i="111"/>
  <c r="E53" i="111"/>
  <c r="D53" i="111"/>
  <c r="C53" i="111"/>
  <c r="B53" i="111"/>
  <c r="B44" i="111"/>
  <c r="B43" i="111"/>
  <c r="C43" i="111" s="1"/>
  <c r="B40" i="111"/>
  <c r="F40" i="111" s="1"/>
  <c r="B39" i="111"/>
  <c r="B38" i="111"/>
  <c r="F38" i="111" s="1"/>
  <c r="B37" i="111"/>
  <c r="B36" i="111"/>
  <c r="F36" i="111" s="1"/>
  <c r="B33" i="111"/>
  <c r="B32" i="111"/>
  <c r="F32" i="111" s="1"/>
  <c r="B31" i="111"/>
  <c r="G31" i="111" s="1"/>
  <c r="B30" i="111"/>
  <c r="B29" i="111"/>
  <c r="G29" i="111" s="1"/>
  <c r="B28" i="111"/>
  <c r="F28" i="111" s="1"/>
  <c r="H27" i="111"/>
  <c r="G27" i="111"/>
  <c r="F27" i="111"/>
  <c r="E27" i="111"/>
  <c r="D27" i="111"/>
  <c r="C27" i="111"/>
  <c r="B27" i="111"/>
  <c r="G21" i="111"/>
  <c r="F21" i="111"/>
  <c r="E21" i="111"/>
  <c r="D21" i="111"/>
  <c r="C21" i="111"/>
  <c r="B21" i="111"/>
  <c r="H20" i="111"/>
  <c r="H19" i="111"/>
  <c r="G17" i="111"/>
  <c r="F17" i="111"/>
  <c r="E17" i="111"/>
  <c r="D17" i="111"/>
  <c r="C17" i="111"/>
  <c r="B17" i="111"/>
  <c r="B67" i="111" s="1"/>
  <c r="H16" i="111"/>
  <c r="H15" i="111"/>
  <c r="H39" i="111" s="1"/>
  <c r="H65" i="111" s="1"/>
  <c r="H14" i="111"/>
  <c r="H13" i="111"/>
  <c r="H12" i="111"/>
  <c r="G10" i="111"/>
  <c r="F10" i="111"/>
  <c r="E10" i="111"/>
  <c r="D10" i="111"/>
  <c r="C10" i="111"/>
  <c r="B10" i="111"/>
  <c r="B34" i="111" s="1"/>
  <c r="H9" i="111"/>
  <c r="H8" i="111"/>
  <c r="H7" i="111"/>
  <c r="H31" i="111" s="1"/>
  <c r="H57" i="111" s="1"/>
  <c r="H6" i="111"/>
  <c r="H5" i="111"/>
  <c r="H4" i="111"/>
  <c r="C50" i="110"/>
  <c r="B26" i="110"/>
  <c r="B57" i="110"/>
  <c r="B56" i="110"/>
  <c r="B55" i="110"/>
  <c r="B54" i="110"/>
  <c r="B53" i="110"/>
  <c r="B52" i="110"/>
  <c r="K51" i="110"/>
  <c r="J51" i="110"/>
  <c r="I51" i="110"/>
  <c r="H51" i="110"/>
  <c r="G51" i="110"/>
  <c r="F51" i="110"/>
  <c r="E51" i="110"/>
  <c r="D51" i="110"/>
  <c r="C51" i="110"/>
  <c r="B51" i="110"/>
  <c r="B44" i="110"/>
  <c r="B68" i="110" s="1"/>
  <c r="B43" i="110"/>
  <c r="B40" i="110"/>
  <c r="J40" i="110" s="1"/>
  <c r="B39" i="110"/>
  <c r="B63" i="110"/>
  <c r="B38" i="110"/>
  <c r="J38" i="110"/>
  <c r="B37" i="110"/>
  <c r="B36" i="110"/>
  <c r="B33" i="110"/>
  <c r="J33" i="110" s="1"/>
  <c r="B32" i="110"/>
  <c r="B31" i="110"/>
  <c r="J31" i="110" s="1"/>
  <c r="B30" i="110"/>
  <c r="J30" i="110"/>
  <c r="B29" i="110"/>
  <c r="J29" i="110" s="1"/>
  <c r="B28" i="110"/>
  <c r="K27" i="110"/>
  <c r="J27" i="110"/>
  <c r="I27" i="110"/>
  <c r="H27" i="110"/>
  <c r="G27" i="110"/>
  <c r="F27" i="110"/>
  <c r="E27" i="110"/>
  <c r="D27" i="110"/>
  <c r="C27" i="110"/>
  <c r="B27" i="110"/>
  <c r="J21" i="110"/>
  <c r="I21" i="110"/>
  <c r="H21" i="110"/>
  <c r="G21" i="110"/>
  <c r="F21" i="110"/>
  <c r="E21" i="110"/>
  <c r="D21" i="110"/>
  <c r="C21" i="110"/>
  <c r="B21" i="110"/>
  <c r="K20" i="110"/>
  <c r="K19" i="110"/>
  <c r="J17" i="110"/>
  <c r="I17" i="110"/>
  <c r="H17" i="110"/>
  <c r="G17" i="110"/>
  <c r="F17" i="110"/>
  <c r="E17" i="110"/>
  <c r="D17" i="110"/>
  <c r="C17" i="110"/>
  <c r="B17" i="110"/>
  <c r="K16" i="110"/>
  <c r="K15" i="110"/>
  <c r="K39" i="110" s="1"/>
  <c r="K14" i="110"/>
  <c r="K38" i="110" s="1"/>
  <c r="K62" i="110" s="1"/>
  <c r="K13" i="110"/>
  <c r="K12" i="110"/>
  <c r="J10" i="110"/>
  <c r="I10" i="110"/>
  <c r="H10" i="110"/>
  <c r="G10" i="110"/>
  <c r="F10" i="110"/>
  <c r="E10" i="110"/>
  <c r="D10" i="110"/>
  <c r="C10" i="110"/>
  <c r="B10" i="110"/>
  <c r="K9" i="110"/>
  <c r="K8" i="110"/>
  <c r="K7" i="110"/>
  <c r="K6" i="110"/>
  <c r="K5" i="110"/>
  <c r="K4" i="110"/>
  <c r="X21" i="16"/>
  <c r="AI21" i="16" s="1"/>
  <c r="X20" i="16"/>
  <c r="AI20" i="16" s="1"/>
  <c r="X17" i="16"/>
  <c r="AI17" i="16" s="1"/>
  <c r="X16" i="16"/>
  <c r="AI16" i="16" s="1"/>
  <c r="X15" i="16"/>
  <c r="AI15" i="16" s="1"/>
  <c r="X14" i="16"/>
  <c r="AI14" i="16" s="1"/>
  <c r="X13" i="16"/>
  <c r="AI13" i="16" s="1"/>
  <c r="X10" i="16"/>
  <c r="AI10" i="16" s="1"/>
  <c r="X9" i="16"/>
  <c r="AI9" i="16" s="1"/>
  <c r="X8" i="16"/>
  <c r="AI8" i="16" s="1"/>
  <c r="X7" i="16"/>
  <c r="AI7" i="16" s="1"/>
  <c r="X6" i="16"/>
  <c r="AI6" i="16" s="1"/>
  <c r="X5" i="16"/>
  <c r="AI5" i="16" s="1"/>
  <c r="W21" i="16"/>
  <c r="W20" i="16"/>
  <c r="W17" i="16"/>
  <c r="W16" i="16"/>
  <c r="W15" i="16"/>
  <c r="W14" i="16"/>
  <c r="W13" i="16"/>
  <c r="W10" i="16"/>
  <c r="W9" i="16"/>
  <c r="W8" i="16"/>
  <c r="W7" i="16"/>
  <c r="W6" i="16"/>
  <c r="W5" i="16"/>
  <c r="G58" i="109"/>
  <c r="F58" i="109"/>
  <c r="E58" i="109"/>
  <c r="D58" i="109"/>
  <c r="C58" i="109"/>
  <c r="B57" i="109"/>
  <c r="B50" i="109"/>
  <c r="B49" i="109"/>
  <c r="B45" i="109"/>
  <c r="B44" i="109"/>
  <c r="B43" i="109"/>
  <c r="D43" i="109" s="1"/>
  <c r="B42" i="109"/>
  <c r="B41" i="109"/>
  <c r="E41" i="109" s="1"/>
  <c r="B37" i="109"/>
  <c r="B36" i="109"/>
  <c r="B35" i="109"/>
  <c r="B34" i="109"/>
  <c r="B33" i="109"/>
  <c r="B32" i="109"/>
  <c r="H30" i="109"/>
  <c r="G30" i="109"/>
  <c r="F30" i="109"/>
  <c r="E30" i="109"/>
  <c r="D30" i="109"/>
  <c r="C30" i="109"/>
  <c r="B30" i="109"/>
  <c r="B29" i="109"/>
  <c r="G23" i="109"/>
  <c r="F23" i="109"/>
  <c r="E23" i="109"/>
  <c r="D23" i="109"/>
  <c r="C23" i="109"/>
  <c r="B23" i="109"/>
  <c r="H22" i="109"/>
  <c r="I22" i="109" s="1"/>
  <c r="AC21" i="2" s="1"/>
  <c r="H21" i="109"/>
  <c r="G18" i="109"/>
  <c r="F18" i="109"/>
  <c r="E18" i="109"/>
  <c r="D18" i="109"/>
  <c r="C18" i="109"/>
  <c r="B18" i="109"/>
  <c r="H17" i="109"/>
  <c r="I17" i="109" s="1"/>
  <c r="AC17" i="2" s="1"/>
  <c r="H16" i="109"/>
  <c r="H15" i="109"/>
  <c r="H14" i="109"/>
  <c r="H13" i="109"/>
  <c r="I13" i="109" s="1"/>
  <c r="AC13" i="2" s="1"/>
  <c r="G10" i="109"/>
  <c r="F10" i="109"/>
  <c r="E10" i="109"/>
  <c r="D10" i="109"/>
  <c r="C10" i="109"/>
  <c r="B10" i="109"/>
  <c r="X11" i="16" s="1"/>
  <c r="AI11" i="16" s="1"/>
  <c r="H9" i="109"/>
  <c r="H8" i="109"/>
  <c r="H7" i="109"/>
  <c r="H6" i="109"/>
  <c r="H34" i="109" s="1"/>
  <c r="H5" i="109"/>
  <c r="H4" i="109"/>
  <c r="D164" i="18"/>
  <c r="D153" i="18"/>
  <c r="D156" i="18"/>
  <c r="D157" i="18"/>
  <c r="D158" i="18"/>
  <c r="I158" i="18"/>
  <c r="D159" i="18"/>
  <c r="D160" i="18"/>
  <c r="D161" i="18"/>
  <c r="I161" i="18"/>
  <c r="D162" i="18"/>
  <c r="D163" i="18"/>
  <c r="C72" i="18"/>
  <c r="C30" i="18"/>
  <c r="F24" i="107"/>
  <c r="B17" i="105"/>
  <c r="C17" i="105"/>
  <c r="D17" i="105"/>
  <c r="E17" i="105"/>
  <c r="F17" i="105"/>
  <c r="G17" i="105"/>
  <c r="H17" i="105"/>
  <c r="I17" i="105"/>
  <c r="J17" i="105"/>
  <c r="H58" i="108"/>
  <c r="G58" i="108"/>
  <c r="F58" i="108"/>
  <c r="E58" i="108"/>
  <c r="D58" i="108"/>
  <c r="C58" i="108"/>
  <c r="B57" i="108"/>
  <c r="B50" i="108"/>
  <c r="B49" i="108"/>
  <c r="G49" i="108" s="1"/>
  <c r="B45" i="108"/>
  <c r="J45" i="108" s="1"/>
  <c r="B44" i="108"/>
  <c r="B43" i="108"/>
  <c r="J43" i="108" s="1"/>
  <c r="B42" i="108"/>
  <c r="B41" i="108"/>
  <c r="H41" i="108" s="1"/>
  <c r="B37" i="108"/>
  <c r="B36" i="108"/>
  <c r="C36" i="108"/>
  <c r="B35" i="108"/>
  <c r="B34" i="108"/>
  <c r="C34" i="108" s="1"/>
  <c r="B33" i="108"/>
  <c r="B32" i="108"/>
  <c r="C32" i="108" s="1"/>
  <c r="J30" i="108"/>
  <c r="I30" i="108"/>
  <c r="H30" i="108"/>
  <c r="G30" i="108"/>
  <c r="F30" i="108"/>
  <c r="E30" i="108"/>
  <c r="D30" i="108"/>
  <c r="C30" i="108"/>
  <c r="B30" i="108"/>
  <c r="B29" i="108"/>
  <c r="H23" i="108"/>
  <c r="G23" i="108"/>
  <c r="F23" i="108"/>
  <c r="E23" i="108"/>
  <c r="D23" i="108"/>
  <c r="C23" i="108"/>
  <c r="B23" i="108"/>
  <c r="W22" i="16" s="1"/>
  <c r="K22" i="108"/>
  <c r="I22" i="108"/>
  <c r="J22" i="108" s="1"/>
  <c r="AB21" i="2" s="1"/>
  <c r="K21" i="108"/>
  <c r="I21" i="108"/>
  <c r="J21" i="108" s="1"/>
  <c r="AB20" i="2" s="1"/>
  <c r="H18" i="108"/>
  <c r="G18" i="108"/>
  <c r="F18" i="108"/>
  <c r="E18" i="108"/>
  <c r="D18" i="108"/>
  <c r="C18" i="108"/>
  <c r="B18" i="108"/>
  <c r="W18" i="16" s="1"/>
  <c r="K17" i="108"/>
  <c r="I17" i="108"/>
  <c r="J17" i="108" s="1"/>
  <c r="AB17" i="2" s="1"/>
  <c r="K16" i="108"/>
  <c r="I16" i="108"/>
  <c r="K15" i="108"/>
  <c r="I15" i="108"/>
  <c r="J15" i="108" s="1"/>
  <c r="AB15" i="2" s="1"/>
  <c r="K14" i="108"/>
  <c r="I14" i="108"/>
  <c r="K13" i="108"/>
  <c r="I13" i="108"/>
  <c r="H10" i="108"/>
  <c r="G10" i="108"/>
  <c r="F10" i="108"/>
  <c r="E10" i="108"/>
  <c r="D10" i="108"/>
  <c r="C10" i="108"/>
  <c r="B10" i="108"/>
  <c r="W11" i="16" s="1"/>
  <c r="K9" i="108"/>
  <c r="I9" i="108"/>
  <c r="J9" i="108" s="1"/>
  <c r="AB10" i="2" s="1"/>
  <c r="K8" i="108"/>
  <c r="I8" i="108"/>
  <c r="I36" i="108" s="1"/>
  <c r="K7" i="108"/>
  <c r="I7" i="108"/>
  <c r="J7" i="108" s="1"/>
  <c r="AB8" i="2" s="1"/>
  <c r="K6" i="108"/>
  <c r="I6" i="108"/>
  <c r="J6" i="108" s="1"/>
  <c r="AB7" i="2" s="1"/>
  <c r="K5" i="108"/>
  <c r="I5" i="108"/>
  <c r="J5" i="108" s="1"/>
  <c r="AB6" i="2" s="1"/>
  <c r="K4" i="108"/>
  <c r="I4" i="108"/>
  <c r="B164" i="18"/>
  <c r="E164" i="18"/>
  <c r="F164" i="18"/>
  <c r="G164" i="18"/>
  <c r="H164" i="18"/>
  <c r="I164" i="18"/>
  <c r="C164" i="18" s="1"/>
  <c r="B122" i="18"/>
  <c r="D122" i="18"/>
  <c r="C122" i="18" s="1"/>
  <c r="E122" i="18"/>
  <c r="F122" i="18"/>
  <c r="G122" i="18"/>
  <c r="H122" i="18"/>
  <c r="I122" i="18"/>
  <c r="J122" i="18"/>
  <c r="K122" i="18"/>
  <c r="L122" i="18"/>
  <c r="B70" i="106"/>
  <c r="B69" i="106"/>
  <c r="B66" i="106"/>
  <c r="B65" i="106"/>
  <c r="B64" i="106"/>
  <c r="B63" i="106"/>
  <c r="B62" i="106"/>
  <c r="B59" i="106"/>
  <c r="B58" i="106"/>
  <c r="B57" i="106"/>
  <c r="B56" i="106"/>
  <c r="B55" i="106"/>
  <c r="B54" i="106"/>
  <c r="H53" i="106"/>
  <c r="G53" i="106"/>
  <c r="F53" i="106"/>
  <c r="E53" i="106"/>
  <c r="D53" i="106"/>
  <c r="C53" i="106"/>
  <c r="B53" i="106"/>
  <c r="B44" i="106"/>
  <c r="F44" i="106"/>
  <c r="B43" i="106"/>
  <c r="G43" i="106"/>
  <c r="B40" i="106"/>
  <c r="C40" i="106" s="1"/>
  <c r="B39" i="106"/>
  <c r="F39" i="106" s="1"/>
  <c r="B38" i="106"/>
  <c r="F38" i="106" s="1"/>
  <c r="B37" i="106"/>
  <c r="F37" i="106" s="1"/>
  <c r="B36" i="106"/>
  <c r="C36" i="106" s="1"/>
  <c r="B33" i="106"/>
  <c r="F33" i="106" s="1"/>
  <c r="B32" i="106"/>
  <c r="F32" i="106" s="1"/>
  <c r="B31" i="106"/>
  <c r="F31" i="106"/>
  <c r="B30" i="106"/>
  <c r="C30" i="106" s="1"/>
  <c r="B29" i="106"/>
  <c r="F29" i="106" s="1"/>
  <c r="B28" i="106"/>
  <c r="F28" i="106" s="1"/>
  <c r="H27" i="106"/>
  <c r="G27" i="106"/>
  <c r="F27" i="106"/>
  <c r="E27" i="106"/>
  <c r="D27" i="106"/>
  <c r="C27" i="106"/>
  <c r="B27" i="106"/>
  <c r="G21" i="106"/>
  <c r="F21" i="106"/>
  <c r="E21" i="106"/>
  <c r="D21" i="106"/>
  <c r="C21" i="106"/>
  <c r="B21" i="106"/>
  <c r="H20" i="106"/>
  <c r="H19" i="106"/>
  <c r="G17" i="106"/>
  <c r="F17" i="106"/>
  <c r="E17" i="106"/>
  <c r="D17" i="106"/>
  <c r="C17" i="106"/>
  <c r="B17" i="106"/>
  <c r="H16" i="106"/>
  <c r="H15" i="106"/>
  <c r="H14" i="106"/>
  <c r="H13" i="106"/>
  <c r="H12" i="106"/>
  <c r="G10" i="106"/>
  <c r="F10" i="106"/>
  <c r="E10" i="106"/>
  <c r="D10" i="106"/>
  <c r="C10" i="106"/>
  <c r="B10" i="106"/>
  <c r="B34" i="106" s="1"/>
  <c r="H9" i="106"/>
  <c r="H8" i="106"/>
  <c r="H7" i="106"/>
  <c r="H31" i="106" s="1"/>
  <c r="H6" i="106"/>
  <c r="H5" i="106"/>
  <c r="H29" i="106" s="1"/>
  <c r="H4" i="106"/>
  <c r="B57" i="105"/>
  <c r="B56" i="105"/>
  <c r="B55" i="105"/>
  <c r="B54" i="105"/>
  <c r="B53" i="105"/>
  <c r="B52" i="105"/>
  <c r="K51" i="105"/>
  <c r="J51" i="105"/>
  <c r="I51" i="105"/>
  <c r="H51" i="105"/>
  <c r="G51" i="105"/>
  <c r="F51" i="105"/>
  <c r="E51" i="105"/>
  <c r="D51" i="105"/>
  <c r="C51" i="105"/>
  <c r="B51" i="105"/>
  <c r="B44" i="105"/>
  <c r="B68" i="105" s="1"/>
  <c r="B43" i="105"/>
  <c r="G43" i="105" s="1"/>
  <c r="B40" i="105"/>
  <c r="B64" i="105" s="1"/>
  <c r="B39" i="105"/>
  <c r="C39" i="105" s="1"/>
  <c r="B38" i="105"/>
  <c r="B62" i="105" s="1"/>
  <c r="B37" i="105"/>
  <c r="C37" i="105"/>
  <c r="B36" i="105"/>
  <c r="B60" i="105" s="1"/>
  <c r="B33" i="105"/>
  <c r="J33" i="105" s="1"/>
  <c r="B32" i="105"/>
  <c r="C32" i="105" s="1"/>
  <c r="B31" i="105"/>
  <c r="J31" i="105" s="1"/>
  <c r="B30" i="105"/>
  <c r="C30" i="105"/>
  <c r="B29" i="105"/>
  <c r="J29" i="105" s="1"/>
  <c r="B28" i="105"/>
  <c r="C28" i="105" s="1"/>
  <c r="K27" i="105"/>
  <c r="J27" i="105"/>
  <c r="I27" i="105"/>
  <c r="H27" i="105"/>
  <c r="G27" i="105"/>
  <c r="F27" i="105"/>
  <c r="E27" i="105"/>
  <c r="D27" i="105"/>
  <c r="C27" i="105"/>
  <c r="B27" i="105"/>
  <c r="J21" i="105"/>
  <c r="I21" i="105"/>
  <c r="H21" i="105"/>
  <c r="G21" i="105"/>
  <c r="F21" i="105"/>
  <c r="E21" i="105"/>
  <c r="D21" i="105"/>
  <c r="C21" i="105"/>
  <c r="B21" i="105"/>
  <c r="K20" i="105"/>
  <c r="K44" i="105" s="1"/>
  <c r="AB21" i="17" s="1"/>
  <c r="K19" i="105"/>
  <c r="K43" i="105"/>
  <c r="K16" i="105"/>
  <c r="K15" i="105"/>
  <c r="K14" i="105"/>
  <c r="K13" i="105"/>
  <c r="K12" i="105"/>
  <c r="J10" i="105"/>
  <c r="I10" i="105"/>
  <c r="H10" i="105"/>
  <c r="G10" i="105"/>
  <c r="F10" i="105"/>
  <c r="E10" i="105"/>
  <c r="D10" i="105"/>
  <c r="C10" i="105"/>
  <c r="B10" i="105"/>
  <c r="K9" i="105"/>
  <c r="K8" i="105"/>
  <c r="K32" i="105" s="1"/>
  <c r="AB9" i="17" s="1"/>
  <c r="K7" i="105"/>
  <c r="K31" i="105" s="1"/>
  <c r="AB8" i="17" s="1"/>
  <c r="K6" i="105"/>
  <c r="K5" i="105"/>
  <c r="K4" i="105"/>
  <c r="V21" i="16"/>
  <c r="V20" i="16"/>
  <c r="V14" i="16"/>
  <c r="V15" i="16"/>
  <c r="V16" i="16"/>
  <c r="V17" i="16"/>
  <c r="V13" i="16"/>
  <c r="V6" i="16"/>
  <c r="V7" i="16"/>
  <c r="V8" i="16"/>
  <c r="V9" i="16"/>
  <c r="V10" i="16"/>
  <c r="V5" i="16"/>
  <c r="E161" i="18"/>
  <c r="F161" i="18"/>
  <c r="G161" i="18"/>
  <c r="H161" i="18"/>
  <c r="E162" i="18"/>
  <c r="F162" i="18"/>
  <c r="G162" i="18"/>
  <c r="H162" i="18"/>
  <c r="I162" i="18"/>
  <c r="C162" i="18" s="1"/>
  <c r="E163" i="18"/>
  <c r="F163" i="18"/>
  <c r="G163" i="18"/>
  <c r="H163" i="18"/>
  <c r="I163" i="18"/>
  <c r="B161" i="18"/>
  <c r="B162" i="18"/>
  <c r="B163" i="18"/>
  <c r="D119" i="18"/>
  <c r="E119" i="18"/>
  <c r="F119" i="18"/>
  <c r="G119" i="18"/>
  <c r="H119" i="18"/>
  <c r="I119" i="18"/>
  <c r="J119" i="18"/>
  <c r="K119" i="18"/>
  <c r="L119" i="18"/>
  <c r="D120" i="18"/>
  <c r="E120" i="18"/>
  <c r="F120" i="18"/>
  <c r="G120" i="18"/>
  <c r="H120" i="18"/>
  <c r="I120" i="18"/>
  <c r="J120" i="18"/>
  <c r="K120" i="18"/>
  <c r="L120" i="18"/>
  <c r="D121" i="18"/>
  <c r="E121" i="18"/>
  <c r="F121" i="18"/>
  <c r="G121" i="18"/>
  <c r="H121" i="18"/>
  <c r="I121" i="18"/>
  <c r="J121" i="18"/>
  <c r="K121" i="18"/>
  <c r="L121" i="18"/>
  <c r="C121" i="18" s="1"/>
  <c r="B119" i="18"/>
  <c r="B120" i="18"/>
  <c r="B121" i="18"/>
  <c r="C70" i="18"/>
  <c r="C69" i="18"/>
  <c r="C71" i="18"/>
  <c r="C28" i="18"/>
  <c r="C27" i="18"/>
  <c r="C29" i="18"/>
  <c r="F24" i="102"/>
  <c r="O5" i="83"/>
  <c r="O6" i="83"/>
  <c r="O7" i="83"/>
  <c r="O8" i="83"/>
  <c r="O9" i="83"/>
  <c r="O4" i="83"/>
  <c r="I58" i="99"/>
  <c r="H58" i="99"/>
  <c r="G58" i="99"/>
  <c r="F58" i="99"/>
  <c r="E58" i="99"/>
  <c r="D58" i="99"/>
  <c r="C58" i="99"/>
  <c r="B57" i="99"/>
  <c r="B50" i="99"/>
  <c r="L50" i="99" s="1"/>
  <c r="AA21" i="2" s="1"/>
  <c r="B49" i="99"/>
  <c r="B45" i="99"/>
  <c r="B44" i="99"/>
  <c r="L44" i="99" s="1"/>
  <c r="AA16" i="2" s="1"/>
  <c r="B43" i="99"/>
  <c r="L43" i="99" s="1"/>
  <c r="AA15" i="2" s="1"/>
  <c r="B42" i="99"/>
  <c r="L42" i="99" s="1"/>
  <c r="AA14" i="2" s="1"/>
  <c r="B41" i="99"/>
  <c r="L41" i="99" s="1"/>
  <c r="AA13" i="2" s="1"/>
  <c r="B37" i="99"/>
  <c r="L37" i="99" s="1"/>
  <c r="AA10" i="2" s="1"/>
  <c r="B36" i="99"/>
  <c r="L36" i="99" s="1"/>
  <c r="AA9" i="2" s="1"/>
  <c r="B35" i="99"/>
  <c r="L35" i="99" s="1"/>
  <c r="AA8" i="2" s="1"/>
  <c r="B34" i="99"/>
  <c r="L34" i="99" s="1"/>
  <c r="AA7" i="2" s="1"/>
  <c r="B33" i="99"/>
  <c r="L33" i="99"/>
  <c r="AA6" i="2" s="1"/>
  <c r="B32" i="99"/>
  <c r="L30" i="99"/>
  <c r="K30" i="99"/>
  <c r="J30" i="99"/>
  <c r="I30" i="99"/>
  <c r="H30" i="99"/>
  <c r="G30" i="99"/>
  <c r="F30" i="99"/>
  <c r="E30" i="99"/>
  <c r="D30" i="99"/>
  <c r="C30" i="99"/>
  <c r="B30" i="99"/>
  <c r="B29" i="99"/>
  <c r="I23" i="99"/>
  <c r="H23" i="99"/>
  <c r="G23" i="99"/>
  <c r="F23" i="99"/>
  <c r="E23" i="99"/>
  <c r="D23" i="99"/>
  <c r="C23" i="99"/>
  <c r="B23" i="99"/>
  <c r="M22" i="99"/>
  <c r="L22" i="99"/>
  <c r="J22" i="99"/>
  <c r="M21" i="99"/>
  <c r="L21" i="99"/>
  <c r="J21" i="99"/>
  <c r="I18" i="99"/>
  <c r="H18" i="99"/>
  <c r="G18" i="99"/>
  <c r="F18" i="99"/>
  <c r="E18" i="99"/>
  <c r="D18" i="99"/>
  <c r="C18" i="99"/>
  <c r="B18" i="99"/>
  <c r="M17" i="99"/>
  <c r="L17" i="99"/>
  <c r="J17" i="99"/>
  <c r="M16" i="99"/>
  <c r="L16" i="99"/>
  <c r="J16" i="99"/>
  <c r="M15" i="99"/>
  <c r="L15" i="99"/>
  <c r="J15" i="99"/>
  <c r="K15" i="99" s="1"/>
  <c r="M14" i="99"/>
  <c r="L14" i="99"/>
  <c r="J14" i="99"/>
  <c r="K14" i="99" s="1"/>
  <c r="M13" i="99"/>
  <c r="L13" i="99"/>
  <c r="J13" i="99"/>
  <c r="I10" i="99"/>
  <c r="H10" i="99"/>
  <c r="G10" i="99"/>
  <c r="F10" i="99"/>
  <c r="E10" i="99"/>
  <c r="D10" i="99"/>
  <c r="C10" i="99"/>
  <c r="B10" i="99"/>
  <c r="M9" i="99"/>
  <c r="L9" i="99"/>
  <c r="J9" i="99"/>
  <c r="M8" i="99"/>
  <c r="L8" i="99"/>
  <c r="J8" i="99"/>
  <c r="K8" i="99" s="1"/>
  <c r="M7" i="99"/>
  <c r="L7" i="99"/>
  <c r="J7" i="99"/>
  <c r="M6" i="99"/>
  <c r="L6" i="99"/>
  <c r="J6" i="99"/>
  <c r="K6" i="99" s="1"/>
  <c r="M5" i="99"/>
  <c r="L5" i="99"/>
  <c r="J5" i="99"/>
  <c r="M4" i="99"/>
  <c r="L4" i="99"/>
  <c r="J4" i="99"/>
  <c r="B57" i="98"/>
  <c r="B56" i="98"/>
  <c r="B55" i="98"/>
  <c r="B54" i="98"/>
  <c r="B53" i="98"/>
  <c r="B52" i="98"/>
  <c r="K51" i="98"/>
  <c r="J51" i="98"/>
  <c r="I51" i="98"/>
  <c r="H51" i="98"/>
  <c r="G51" i="98"/>
  <c r="F51" i="98"/>
  <c r="E51" i="98"/>
  <c r="D51" i="98"/>
  <c r="C51" i="98"/>
  <c r="B51" i="98"/>
  <c r="B44" i="98"/>
  <c r="D44" i="98"/>
  <c r="B43" i="98"/>
  <c r="B40" i="98"/>
  <c r="B39" i="98"/>
  <c r="B38" i="98"/>
  <c r="B37" i="98"/>
  <c r="D37" i="98" s="1"/>
  <c r="B36" i="98"/>
  <c r="B60" i="98" s="1"/>
  <c r="B33" i="98"/>
  <c r="I33" i="98" s="1"/>
  <c r="B32" i="98"/>
  <c r="B31" i="98"/>
  <c r="D31" i="98" s="1"/>
  <c r="B30" i="98"/>
  <c r="F30" i="98" s="1"/>
  <c r="B29" i="98"/>
  <c r="D29" i="98" s="1"/>
  <c r="B28" i="98"/>
  <c r="F28" i="98" s="1"/>
  <c r="K27" i="98"/>
  <c r="J27" i="98"/>
  <c r="I27" i="98"/>
  <c r="H27" i="98"/>
  <c r="G27" i="98"/>
  <c r="F27" i="98"/>
  <c r="E27" i="98"/>
  <c r="D27" i="98"/>
  <c r="C27" i="98"/>
  <c r="B27" i="98"/>
  <c r="J21" i="98"/>
  <c r="I21" i="98"/>
  <c r="H21" i="98"/>
  <c r="G21" i="98"/>
  <c r="F21" i="98"/>
  <c r="E21" i="98"/>
  <c r="D21" i="98"/>
  <c r="C21" i="98"/>
  <c r="B21" i="98"/>
  <c r="K20" i="98"/>
  <c r="K44" i="98" s="1"/>
  <c r="Y21" i="17" s="1"/>
  <c r="K19" i="98"/>
  <c r="J17" i="98"/>
  <c r="I17" i="98"/>
  <c r="H17" i="98"/>
  <c r="G17" i="98"/>
  <c r="F17" i="98"/>
  <c r="E17" i="98"/>
  <c r="D17" i="98"/>
  <c r="C17" i="98"/>
  <c r="B17" i="98"/>
  <c r="K16" i="98"/>
  <c r="K15" i="98"/>
  <c r="K14" i="98"/>
  <c r="K13" i="98"/>
  <c r="K12" i="98"/>
  <c r="J10" i="98"/>
  <c r="I10" i="98"/>
  <c r="H10" i="98"/>
  <c r="G10" i="98"/>
  <c r="F10" i="98"/>
  <c r="E10" i="98"/>
  <c r="D10" i="98"/>
  <c r="C10" i="98"/>
  <c r="B10" i="98"/>
  <c r="K9" i="98"/>
  <c r="K8" i="98"/>
  <c r="K7" i="98"/>
  <c r="K6" i="98"/>
  <c r="K30" i="98" s="1"/>
  <c r="Y7" i="17" s="1"/>
  <c r="K5" i="98"/>
  <c r="K4" i="98"/>
  <c r="B57" i="97"/>
  <c r="B56" i="97"/>
  <c r="B55" i="97"/>
  <c r="B54" i="97"/>
  <c r="B53" i="97"/>
  <c r="B52" i="97"/>
  <c r="K51" i="97"/>
  <c r="J51" i="97"/>
  <c r="I51" i="97"/>
  <c r="H51" i="97"/>
  <c r="G51" i="97"/>
  <c r="F51" i="97"/>
  <c r="E51" i="97"/>
  <c r="D51" i="97"/>
  <c r="C51" i="97"/>
  <c r="B51" i="97"/>
  <c r="B44" i="97"/>
  <c r="H44" i="97" s="1"/>
  <c r="B43" i="97"/>
  <c r="H43" i="97" s="1"/>
  <c r="B40" i="97"/>
  <c r="D40" i="97"/>
  <c r="B39" i="97"/>
  <c r="H39" i="97" s="1"/>
  <c r="B38" i="97"/>
  <c r="B37" i="97"/>
  <c r="H37" i="97" s="1"/>
  <c r="B36" i="97"/>
  <c r="D36" i="97" s="1"/>
  <c r="B33" i="97"/>
  <c r="D33" i="97" s="1"/>
  <c r="B32" i="97"/>
  <c r="H32" i="97" s="1"/>
  <c r="B31" i="97"/>
  <c r="D31" i="97" s="1"/>
  <c r="B30" i="97"/>
  <c r="H30" i="97" s="1"/>
  <c r="B29" i="97"/>
  <c r="D29" i="97"/>
  <c r="B28" i="97"/>
  <c r="K27" i="97"/>
  <c r="J27" i="97"/>
  <c r="I27" i="97"/>
  <c r="H27" i="97"/>
  <c r="G27" i="97"/>
  <c r="F27" i="97"/>
  <c r="E27" i="97"/>
  <c r="D27" i="97"/>
  <c r="C27" i="97"/>
  <c r="B27" i="97"/>
  <c r="J21" i="97"/>
  <c r="I21" i="97"/>
  <c r="H21" i="97"/>
  <c r="G21" i="97"/>
  <c r="F21" i="97"/>
  <c r="E21" i="97"/>
  <c r="D21" i="97"/>
  <c r="C21" i="97"/>
  <c r="B21" i="97"/>
  <c r="K20" i="97"/>
  <c r="K19" i="97"/>
  <c r="J17" i="97"/>
  <c r="I17" i="97"/>
  <c r="H17" i="97"/>
  <c r="G17" i="97"/>
  <c r="F17" i="97"/>
  <c r="E17" i="97"/>
  <c r="D17" i="97"/>
  <c r="C17" i="97"/>
  <c r="B17" i="97"/>
  <c r="K16" i="97"/>
  <c r="K40" i="97" s="1"/>
  <c r="Z17" i="17" s="1"/>
  <c r="K15" i="97"/>
  <c r="K14" i="97"/>
  <c r="K13" i="97"/>
  <c r="K12" i="97"/>
  <c r="J10" i="97"/>
  <c r="I10" i="97"/>
  <c r="H10" i="97"/>
  <c r="G10" i="97"/>
  <c r="F10" i="97"/>
  <c r="E10" i="97"/>
  <c r="D10" i="97"/>
  <c r="C10" i="97"/>
  <c r="B10" i="97"/>
  <c r="K9" i="97"/>
  <c r="K8" i="97"/>
  <c r="K7" i="97"/>
  <c r="K6" i="97"/>
  <c r="K5" i="97"/>
  <c r="K4" i="97"/>
  <c r="B57" i="96"/>
  <c r="B56" i="96"/>
  <c r="B55" i="96"/>
  <c r="B54" i="96"/>
  <c r="B53" i="96"/>
  <c r="B52" i="96"/>
  <c r="K51" i="96"/>
  <c r="J51" i="96"/>
  <c r="I51" i="96"/>
  <c r="H51" i="96"/>
  <c r="G51" i="96"/>
  <c r="F51" i="96"/>
  <c r="E51" i="96"/>
  <c r="D51" i="96"/>
  <c r="C51" i="96"/>
  <c r="B51" i="96"/>
  <c r="B44" i="96"/>
  <c r="B68" i="96" s="1"/>
  <c r="B43" i="96"/>
  <c r="B67" i="96" s="1"/>
  <c r="B40" i="96"/>
  <c r="B64" i="96" s="1"/>
  <c r="B39" i="96"/>
  <c r="B63" i="96" s="1"/>
  <c r="B38" i="96"/>
  <c r="B62" i="96" s="1"/>
  <c r="B37" i="96"/>
  <c r="B61" i="96" s="1"/>
  <c r="B36" i="96"/>
  <c r="B60" i="96" s="1"/>
  <c r="B33" i="96"/>
  <c r="J33" i="96" s="1"/>
  <c r="B32" i="96"/>
  <c r="J32" i="96" s="1"/>
  <c r="B31" i="96"/>
  <c r="J31" i="96" s="1"/>
  <c r="B30" i="96"/>
  <c r="J30" i="96" s="1"/>
  <c r="B29" i="96"/>
  <c r="J29" i="96" s="1"/>
  <c r="B28" i="96"/>
  <c r="K27" i="96"/>
  <c r="J27" i="96"/>
  <c r="I27" i="96"/>
  <c r="H27" i="96"/>
  <c r="G27" i="96"/>
  <c r="F27" i="96"/>
  <c r="E27" i="96"/>
  <c r="D27" i="96"/>
  <c r="C27" i="96"/>
  <c r="B27" i="96"/>
  <c r="J21" i="96"/>
  <c r="I21" i="96"/>
  <c r="H21" i="96"/>
  <c r="G21" i="96"/>
  <c r="F21" i="96"/>
  <c r="E21" i="96"/>
  <c r="D21" i="96"/>
  <c r="C21" i="96"/>
  <c r="B21" i="96"/>
  <c r="V22" i="16" s="1"/>
  <c r="K20" i="96"/>
  <c r="K44" i="96" s="1"/>
  <c r="AA21" i="17" s="1"/>
  <c r="K19" i="96"/>
  <c r="K43" i="96" s="1"/>
  <c r="J17" i="96"/>
  <c r="I17" i="96"/>
  <c r="H17" i="96"/>
  <c r="G17" i="96"/>
  <c r="F17" i="96"/>
  <c r="E17" i="96"/>
  <c r="D17" i="96"/>
  <c r="C17" i="96"/>
  <c r="B17" i="96"/>
  <c r="V18" i="16" s="1"/>
  <c r="K16" i="96"/>
  <c r="K15" i="96"/>
  <c r="K14" i="96"/>
  <c r="K13" i="96"/>
  <c r="K12" i="96"/>
  <c r="J10" i="96"/>
  <c r="I10" i="96"/>
  <c r="H10" i="96"/>
  <c r="G10" i="96"/>
  <c r="F10" i="96"/>
  <c r="E10" i="96"/>
  <c r="D10" i="96"/>
  <c r="C10" i="96"/>
  <c r="C23" i="96" s="1"/>
  <c r="B10" i="96"/>
  <c r="V11" i="16" s="1"/>
  <c r="K9" i="96"/>
  <c r="K8" i="96"/>
  <c r="K7" i="96"/>
  <c r="K6" i="96"/>
  <c r="K30" i="96" s="1"/>
  <c r="K5" i="96"/>
  <c r="K4" i="96"/>
  <c r="B70" i="95"/>
  <c r="B69" i="95"/>
  <c r="B66" i="95"/>
  <c r="B65" i="95"/>
  <c r="B64" i="95"/>
  <c r="B63" i="95"/>
  <c r="B62" i="95"/>
  <c r="B59" i="95"/>
  <c r="B58" i="95"/>
  <c r="B57" i="95"/>
  <c r="B56" i="95"/>
  <c r="B55" i="95"/>
  <c r="B54" i="95"/>
  <c r="H53" i="95"/>
  <c r="G53" i="95"/>
  <c r="F53" i="95"/>
  <c r="E53" i="95"/>
  <c r="D53" i="95"/>
  <c r="C53" i="95"/>
  <c r="B53" i="95"/>
  <c r="B44" i="95"/>
  <c r="D44" i="95" s="1"/>
  <c r="B43" i="95"/>
  <c r="F43" i="95" s="1"/>
  <c r="B40" i="95"/>
  <c r="F40" i="95" s="1"/>
  <c r="B39" i="95"/>
  <c r="D39" i="95"/>
  <c r="B38" i="95"/>
  <c r="F38" i="95"/>
  <c r="B37" i="95"/>
  <c r="D37" i="95" s="1"/>
  <c r="B36" i="95"/>
  <c r="F36" i="95"/>
  <c r="B33" i="95"/>
  <c r="F33" i="95" s="1"/>
  <c r="B32" i="95"/>
  <c r="F32" i="95" s="1"/>
  <c r="B31" i="95"/>
  <c r="B30" i="95"/>
  <c r="F30" i="95" s="1"/>
  <c r="B29" i="95"/>
  <c r="F29" i="95"/>
  <c r="B28" i="95"/>
  <c r="H27" i="95"/>
  <c r="G27" i="95"/>
  <c r="F27" i="95"/>
  <c r="E27" i="95"/>
  <c r="D27" i="95"/>
  <c r="C27" i="95"/>
  <c r="B27" i="95"/>
  <c r="G21" i="95"/>
  <c r="F21" i="95"/>
  <c r="E21" i="95"/>
  <c r="D21" i="95"/>
  <c r="C21" i="95"/>
  <c r="B21" i="95"/>
  <c r="H20" i="95"/>
  <c r="H44" i="95" s="1"/>
  <c r="H70" i="95" s="1"/>
  <c r="H19" i="95"/>
  <c r="G17" i="95"/>
  <c r="F17" i="95"/>
  <c r="E17" i="95"/>
  <c r="D17" i="95"/>
  <c r="C17" i="95"/>
  <c r="B17" i="95"/>
  <c r="B67" i="95" s="1"/>
  <c r="H16" i="95"/>
  <c r="H15" i="95"/>
  <c r="H39" i="95"/>
  <c r="H65" i="95" s="1"/>
  <c r="H14" i="95"/>
  <c r="H38" i="95" s="1"/>
  <c r="H64" i="95" s="1"/>
  <c r="H13" i="95"/>
  <c r="H12" i="95"/>
  <c r="G10" i="95"/>
  <c r="F10" i="95"/>
  <c r="E10" i="95"/>
  <c r="D10" i="95"/>
  <c r="C10" i="95"/>
  <c r="B10" i="95"/>
  <c r="B34" i="95" s="1"/>
  <c r="H9" i="95"/>
  <c r="H8" i="95"/>
  <c r="H7" i="95"/>
  <c r="H6" i="95"/>
  <c r="H5" i="95"/>
  <c r="H29" i="95" s="1"/>
  <c r="H55" i="95" s="1"/>
  <c r="H4" i="95"/>
  <c r="B70" i="94"/>
  <c r="B69" i="94"/>
  <c r="B66" i="94"/>
  <c r="B65" i="94"/>
  <c r="B64" i="94"/>
  <c r="B63" i="94"/>
  <c r="B62" i="94"/>
  <c r="B59" i="94"/>
  <c r="B58" i="94"/>
  <c r="B57" i="94"/>
  <c r="B56" i="94"/>
  <c r="B55" i="94"/>
  <c r="B54" i="94"/>
  <c r="H53" i="94"/>
  <c r="G53" i="94"/>
  <c r="F53" i="94"/>
  <c r="E53" i="94"/>
  <c r="D53" i="94"/>
  <c r="C53" i="94"/>
  <c r="B53" i="94"/>
  <c r="B44" i="94"/>
  <c r="F44" i="94" s="1"/>
  <c r="B43" i="94"/>
  <c r="F43" i="94" s="1"/>
  <c r="B40" i="94"/>
  <c r="F40" i="94"/>
  <c r="B39" i="94"/>
  <c r="F39" i="94" s="1"/>
  <c r="B38" i="94"/>
  <c r="F38" i="94" s="1"/>
  <c r="B37" i="94"/>
  <c r="F37" i="94"/>
  <c r="B36" i="94"/>
  <c r="F36" i="94" s="1"/>
  <c r="B33" i="94"/>
  <c r="F33" i="94"/>
  <c r="B32" i="94"/>
  <c r="F32" i="94" s="1"/>
  <c r="B31" i="94"/>
  <c r="F31" i="94" s="1"/>
  <c r="B30" i="94"/>
  <c r="G30" i="94" s="1"/>
  <c r="G56" i="94" s="1"/>
  <c r="B29" i="94"/>
  <c r="B28" i="94"/>
  <c r="F28" i="94" s="1"/>
  <c r="H27" i="94"/>
  <c r="G27" i="94"/>
  <c r="F27" i="94"/>
  <c r="E27" i="94"/>
  <c r="D27" i="94"/>
  <c r="C27" i="94"/>
  <c r="B27" i="94"/>
  <c r="G21" i="94"/>
  <c r="F21" i="94"/>
  <c r="E21" i="94"/>
  <c r="D21" i="94"/>
  <c r="C21" i="94"/>
  <c r="B21" i="94"/>
  <c r="H20" i="94"/>
  <c r="H19" i="94"/>
  <c r="G17" i="94"/>
  <c r="F17" i="94"/>
  <c r="E17" i="94"/>
  <c r="D17" i="94"/>
  <c r="C17" i="94"/>
  <c r="B17" i="94"/>
  <c r="B67" i="94" s="1"/>
  <c r="H16" i="94"/>
  <c r="H15" i="94"/>
  <c r="H14" i="94"/>
  <c r="H13" i="94"/>
  <c r="H12" i="94"/>
  <c r="G10" i="94"/>
  <c r="F10" i="94"/>
  <c r="E10" i="94"/>
  <c r="D10" i="94"/>
  <c r="C10" i="94"/>
  <c r="B10" i="94"/>
  <c r="B34" i="94" s="1"/>
  <c r="H9" i="94"/>
  <c r="H8" i="94"/>
  <c r="H7" i="94"/>
  <c r="H31" i="94" s="1"/>
  <c r="H57" i="94"/>
  <c r="H6" i="94"/>
  <c r="H5" i="94"/>
  <c r="H4" i="94"/>
  <c r="B70" i="93"/>
  <c r="B69" i="93"/>
  <c r="B66" i="93"/>
  <c r="B65" i="93"/>
  <c r="B64" i="93"/>
  <c r="B63" i="93"/>
  <c r="B62" i="93"/>
  <c r="B59" i="93"/>
  <c r="B58" i="93"/>
  <c r="B57" i="93"/>
  <c r="B56" i="93"/>
  <c r="B55" i="93"/>
  <c r="B54" i="93"/>
  <c r="B60" i="93" s="1"/>
  <c r="H53" i="93"/>
  <c r="G53" i="93"/>
  <c r="F53" i="93"/>
  <c r="E53" i="93"/>
  <c r="D53" i="93"/>
  <c r="C53" i="93"/>
  <c r="B53" i="93"/>
  <c r="B44" i="93"/>
  <c r="B43" i="93"/>
  <c r="F43" i="93" s="1"/>
  <c r="B40" i="93"/>
  <c r="F40" i="93" s="1"/>
  <c r="B39" i="93"/>
  <c r="B38" i="93"/>
  <c r="F38" i="93" s="1"/>
  <c r="B37" i="93"/>
  <c r="C37" i="93"/>
  <c r="B36" i="93"/>
  <c r="G36" i="93" s="1"/>
  <c r="B33" i="93"/>
  <c r="B32" i="93"/>
  <c r="F32" i="93" s="1"/>
  <c r="B31" i="93"/>
  <c r="G31" i="93" s="1"/>
  <c r="B30" i="93"/>
  <c r="F30" i="93" s="1"/>
  <c r="B29" i="93"/>
  <c r="G29" i="93" s="1"/>
  <c r="B28" i="93"/>
  <c r="H27" i="93"/>
  <c r="G27" i="93"/>
  <c r="F27" i="93"/>
  <c r="E27" i="93"/>
  <c r="D27" i="93"/>
  <c r="C27" i="93"/>
  <c r="B27" i="93"/>
  <c r="G21" i="93"/>
  <c r="F21" i="93"/>
  <c r="E21" i="93"/>
  <c r="D21" i="93"/>
  <c r="C21" i="93"/>
  <c r="B21" i="93"/>
  <c r="H20" i="93"/>
  <c r="H19" i="93"/>
  <c r="G17" i="93"/>
  <c r="F17" i="93"/>
  <c r="E17" i="93"/>
  <c r="D17" i="93"/>
  <c r="C17" i="93"/>
  <c r="B17" i="93"/>
  <c r="B67" i="93" s="1"/>
  <c r="H16" i="93"/>
  <c r="H15" i="93"/>
  <c r="H14" i="93"/>
  <c r="H13" i="93"/>
  <c r="H12" i="93"/>
  <c r="G10" i="93"/>
  <c r="F10" i="93"/>
  <c r="E10" i="93"/>
  <c r="D10" i="93"/>
  <c r="C10" i="93"/>
  <c r="B10" i="93"/>
  <c r="B34" i="93" s="1"/>
  <c r="H9" i="93"/>
  <c r="H8" i="93"/>
  <c r="H7" i="93"/>
  <c r="H6" i="93"/>
  <c r="H5" i="93"/>
  <c r="H4" i="93"/>
  <c r="U6" i="16"/>
  <c r="U7" i="16"/>
  <c r="U8" i="16"/>
  <c r="U9" i="16"/>
  <c r="U10" i="16"/>
  <c r="U13" i="16"/>
  <c r="U14" i="16"/>
  <c r="U15" i="16"/>
  <c r="U16" i="16"/>
  <c r="U17" i="16"/>
  <c r="U20" i="16"/>
  <c r="U21" i="16"/>
  <c r="U5" i="16"/>
  <c r="B158" i="18"/>
  <c r="E158" i="18"/>
  <c r="F158" i="18"/>
  <c r="G158" i="18"/>
  <c r="H158" i="18"/>
  <c r="B159" i="18"/>
  <c r="E159" i="18"/>
  <c r="F159" i="18"/>
  <c r="G159" i="18"/>
  <c r="H159" i="18"/>
  <c r="I159" i="18"/>
  <c r="B160" i="18"/>
  <c r="E160" i="18"/>
  <c r="F160" i="18"/>
  <c r="G160" i="18"/>
  <c r="H160" i="18"/>
  <c r="I160" i="18"/>
  <c r="B116" i="18"/>
  <c r="D116" i="18"/>
  <c r="C116" i="18" s="1"/>
  <c r="E116" i="18"/>
  <c r="F116" i="18"/>
  <c r="G116" i="18"/>
  <c r="H116" i="18"/>
  <c r="I116" i="18"/>
  <c r="J116" i="18"/>
  <c r="K116" i="18"/>
  <c r="L116" i="18"/>
  <c r="B117" i="18"/>
  <c r="D117" i="18"/>
  <c r="E117" i="18"/>
  <c r="F117" i="18"/>
  <c r="G117" i="18"/>
  <c r="H117" i="18"/>
  <c r="I117" i="18"/>
  <c r="J117" i="18"/>
  <c r="K117" i="18"/>
  <c r="L117" i="18"/>
  <c r="B118" i="18"/>
  <c r="D118" i="18"/>
  <c r="E118" i="18"/>
  <c r="F118" i="18"/>
  <c r="G118" i="18"/>
  <c r="H118" i="18"/>
  <c r="I118" i="18"/>
  <c r="J118" i="18"/>
  <c r="K118" i="18"/>
  <c r="L118" i="18"/>
  <c r="C68" i="18"/>
  <c r="C67" i="18"/>
  <c r="C66" i="18"/>
  <c r="C26" i="18"/>
  <c r="C25" i="18"/>
  <c r="C24" i="18"/>
  <c r="C51" i="89"/>
  <c r="D51" i="89"/>
  <c r="E51" i="89"/>
  <c r="F51" i="89"/>
  <c r="G51" i="89"/>
  <c r="H51" i="89"/>
  <c r="I51" i="89"/>
  <c r="J51" i="89"/>
  <c r="K51" i="89"/>
  <c r="B51" i="89"/>
  <c r="C27" i="89"/>
  <c r="D27" i="89"/>
  <c r="E27" i="89"/>
  <c r="F27" i="89"/>
  <c r="G27" i="89"/>
  <c r="H27" i="89"/>
  <c r="I27" i="89"/>
  <c r="J27" i="89"/>
  <c r="K27" i="89"/>
  <c r="B27" i="89"/>
  <c r="C51" i="88"/>
  <c r="D51" i="88"/>
  <c r="E51" i="88"/>
  <c r="F51" i="88"/>
  <c r="G51" i="88"/>
  <c r="H51" i="88"/>
  <c r="I51" i="88"/>
  <c r="J51" i="88"/>
  <c r="K51" i="88"/>
  <c r="B51" i="88"/>
  <c r="C27" i="88"/>
  <c r="D27" i="88"/>
  <c r="E27" i="88"/>
  <c r="F27" i="88"/>
  <c r="G27" i="88"/>
  <c r="H27" i="88"/>
  <c r="I27" i="88"/>
  <c r="J27" i="88"/>
  <c r="K27" i="88"/>
  <c r="B27" i="88"/>
  <c r="C51" i="87"/>
  <c r="D51" i="87"/>
  <c r="E51" i="87"/>
  <c r="F51" i="87"/>
  <c r="G51" i="87"/>
  <c r="H51" i="87"/>
  <c r="I51" i="87"/>
  <c r="J51" i="87"/>
  <c r="K51" i="87"/>
  <c r="B51" i="87"/>
  <c r="C27" i="87"/>
  <c r="D27" i="87"/>
  <c r="E27" i="87"/>
  <c r="F27" i="87"/>
  <c r="G27" i="87"/>
  <c r="H27" i="87"/>
  <c r="I27" i="87"/>
  <c r="J27" i="87"/>
  <c r="K27" i="87"/>
  <c r="B27" i="87"/>
  <c r="B28" i="87"/>
  <c r="G28" i="87"/>
  <c r="B29" i="87"/>
  <c r="H29" i="87" s="1"/>
  <c r="B30" i="87"/>
  <c r="B31" i="87"/>
  <c r="B32" i="87"/>
  <c r="B33" i="87"/>
  <c r="B36" i="87"/>
  <c r="I36" i="87" s="1"/>
  <c r="I60" i="87" s="1"/>
  <c r="F36" i="87"/>
  <c r="G36" i="87"/>
  <c r="H36" i="87"/>
  <c r="J36" i="87"/>
  <c r="B37" i="87"/>
  <c r="H37" i="87" s="1"/>
  <c r="D37" i="87"/>
  <c r="B38" i="87"/>
  <c r="C38" i="87" s="1"/>
  <c r="G38" i="87"/>
  <c r="B39" i="87"/>
  <c r="B40" i="87"/>
  <c r="B43" i="87"/>
  <c r="C43" i="87"/>
  <c r="B44" i="87"/>
  <c r="H44" i="87" s="1"/>
  <c r="D44" i="87"/>
  <c r="B57" i="89"/>
  <c r="B56" i="89"/>
  <c r="B55" i="89"/>
  <c r="B54" i="89"/>
  <c r="B53" i="89"/>
  <c r="B52" i="89"/>
  <c r="B44" i="89"/>
  <c r="B68" i="89"/>
  <c r="B43" i="89"/>
  <c r="B40" i="89"/>
  <c r="B39" i="89"/>
  <c r="B63" i="89" s="1"/>
  <c r="B38" i="89"/>
  <c r="B62" i="89" s="1"/>
  <c r="B37" i="89"/>
  <c r="B61" i="89" s="1"/>
  <c r="B36" i="89"/>
  <c r="B60" i="89" s="1"/>
  <c r="B33" i="89"/>
  <c r="J33" i="89" s="1"/>
  <c r="B32" i="89"/>
  <c r="B31" i="89"/>
  <c r="B30" i="89"/>
  <c r="B29" i="89"/>
  <c r="J29" i="89" s="1"/>
  <c r="B28" i="89"/>
  <c r="J21" i="89"/>
  <c r="I21" i="89"/>
  <c r="H21" i="89"/>
  <c r="G21" i="89"/>
  <c r="F21" i="89"/>
  <c r="F23" i="89" s="1"/>
  <c r="E21" i="89"/>
  <c r="D21" i="89"/>
  <c r="C21" i="89"/>
  <c r="B21" i="89"/>
  <c r="K20" i="89"/>
  <c r="K44" i="89" s="1"/>
  <c r="K19" i="89"/>
  <c r="J17" i="89"/>
  <c r="I17" i="89"/>
  <c r="H17" i="89"/>
  <c r="G17" i="89"/>
  <c r="F17" i="89"/>
  <c r="E17" i="89"/>
  <c r="D17" i="89"/>
  <c r="C17" i="89"/>
  <c r="B17" i="89"/>
  <c r="U18" i="16" s="1"/>
  <c r="K16" i="89"/>
  <c r="K15" i="89"/>
  <c r="K14" i="89"/>
  <c r="K13" i="89"/>
  <c r="K37" i="89" s="1"/>
  <c r="K12" i="89"/>
  <c r="J10" i="89"/>
  <c r="I10" i="89"/>
  <c r="H10" i="89"/>
  <c r="G10" i="89"/>
  <c r="F10" i="89"/>
  <c r="E10" i="89"/>
  <c r="D10" i="89"/>
  <c r="C10" i="89"/>
  <c r="B10" i="89"/>
  <c r="U11" i="16" s="1"/>
  <c r="K9" i="89"/>
  <c r="K8" i="89"/>
  <c r="K7" i="89"/>
  <c r="K6" i="89"/>
  <c r="K5" i="89"/>
  <c r="K4" i="89"/>
  <c r="K28" i="89" s="1"/>
  <c r="B57" i="88"/>
  <c r="B56" i="88"/>
  <c r="B55" i="88"/>
  <c r="B54" i="88"/>
  <c r="B53" i="88"/>
  <c r="B52" i="88"/>
  <c r="B44" i="88"/>
  <c r="B43" i="88"/>
  <c r="B40" i="88"/>
  <c r="B39" i="88"/>
  <c r="B63" i="88"/>
  <c r="B38" i="88"/>
  <c r="B37" i="88"/>
  <c r="B36" i="88"/>
  <c r="B33" i="88"/>
  <c r="J33" i="88" s="1"/>
  <c r="B32" i="88"/>
  <c r="B31" i="88"/>
  <c r="J31" i="88" s="1"/>
  <c r="B30" i="88"/>
  <c r="J30" i="88" s="1"/>
  <c r="B29" i="88"/>
  <c r="J29" i="88" s="1"/>
  <c r="B28" i="88"/>
  <c r="J21" i="88"/>
  <c r="I21" i="88"/>
  <c r="H21" i="88"/>
  <c r="G21" i="88"/>
  <c r="F21" i="88"/>
  <c r="E21" i="88"/>
  <c r="D21" i="88"/>
  <c r="C21" i="88"/>
  <c r="B21" i="88"/>
  <c r="K20" i="88"/>
  <c r="K44" i="88" s="1"/>
  <c r="K68" i="88" s="1"/>
  <c r="K19" i="88"/>
  <c r="J17" i="88"/>
  <c r="I17" i="88"/>
  <c r="H17" i="88"/>
  <c r="G17" i="88"/>
  <c r="F17" i="88"/>
  <c r="F23" i="88" s="1"/>
  <c r="E17" i="88"/>
  <c r="D17" i="88"/>
  <c r="C17" i="88"/>
  <c r="B17" i="88"/>
  <c r="K16" i="88"/>
  <c r="K15" i="88"/>
  <c r="K39" i="88" s="1"/>
  <c r="K63" i="88" s="1"/>
  <c r="K14" i="88"/>
  <c r="K13" i="88"/>
  <c r="K12" i="88"/>
  <c r="J10" i="88"/>
  <c r="I10" i="88"/>
  <c r="H10" i="88"/>
  <c r="G10" i="88"/>
  <c r="F10" i="88"/>
  <c r="E10" i="88"/>
  <c r="D10" i="88"/>
  <c r="D23" i="88" s="1"/>
  <c r="C10" i="88"/>
  <c r="B10" i="88"/>
  <c r="K9" i="88"/>
  <c r="K8" i="88"/>
  <c r="K7" i="88"/>
  <c r="K6" i="88"/>
  <c r="K5" i="88"/>
  <c r="K29" i="88"/>
  <c r="K4" i="88"/>
  <c r="B57" i="87"/>
  <c r="B56" i="87"/>
  <c r="B55" i="87"/>
  <c r="B54" i="87"/>
  <c r="B53" i="87"/>
  <c r="B52" i="87"/>
  <c r="J21" i="87"/>
  <c r="I21" i="87"/>
  <c r="H21" i="87"/>
  <c r="G21" i="87"/>
  <c r="F21" i="87"/>
  <c r="E21" i="87"/>
  <c r="D21" i="87"/>
  <c r="C21" i="87"/>
  <c r="B21" i="87"/>
  <c r="K20" i="87"/>
  <c r="K19" i="87"/>
  <c r="J17" i="87"/>
  <c r="I17" i="87"/>
  <c r="H17" i="87"/>
  <c r="G17" i="87"/>
  <c r="F17" i="87"/>
  <c r="E17" i="87"/>
  <c r="D17" i="87"/>
  <c r="C17" i="87"/>
  <c r="B17" i="87"/>
  <c r="K16" i="87"/>
  <c r="K15" i="87"/>
  <c r="K14" i="87"/>
  <c r="K13" i="87"/>
  <c r="K12" i="87"/>
  <c r="K36" i="87" s="1"/>
  <c r="J10" i="87"/>
  <c r="I10" i="87"/>
  <c r="H10" i="87"/>
  <c r="G10" i="87"/>
  <c r="F10" i="87"/>
  <c r="E10" i="87"/>
  <c r="D10" i="87"/>
  <c r="C10" i="87"/>
  <c r="B10" i="87"/>
  <c r="K9" i="87"/>
  <c r="K8" i="87"/>
  <c r="K7" i="87"/>
  <c r="K6" i="87"/>
  <c r="K5" i="87"/>
  <c r="K4" i="87"/>
  <c r="B70" i="86"/>
  <c r="B69" i="86"/>
  <c r="B66" i="86"/>
  <c r="B65" i="86"/>
  <c r="B64" i="86"/>
  <c r="B63" i="86"/>
  <c r="B62" i="86"/>
  <c r="B59" i="86"/>
  <c r="B58" i="86"/>
  <c r="B57" i="86"/>
  <c r="B56" i="86"/>
  <c r="B55" i="86"/>
  <c r="B54" i="86"/>
  <c r="H53" i="86"/>
  <c r="G53" i="86"/>
  <c r="F53" i="86"/>
  <c r="E53" i="86"/>
  <c r="D53" i="86"/>
  <c r="C53" i="86"/>
  <c r="B53" i="86"/>
  <c r="B44" i="86"/>
  <c r="G44" i="86" s="1"/>
  <c r="B43" i="86"/>
  <c r="B40" i="86"/>
  <c r="F40" i="86" s="1"/>
  <c r="B39" i="86"/>
  <c r="B38" i="86"/>
  <c r="F38" i="86" s="1"/>
  <c r="B37" i="86"/>
  <c r="B36" i="86"/>
  <c r="F36" i="86" s="1"/>
  <c r="B33" i="86"/>
  <c r="B32" i="86"/>
  <c r="G32" i="86" s="1"/>
  <c r="B31" i="86"/>
  <c r="B30" i="86"/>
  <c r="G30" i="86" s="1"/>
  <c r="B29" i="86"/>
  <c r="B28" i="86"/>
  <c r="G28" i="86" s="1"/>
  <c r="H27" i="86"/>
  <c r="G27" i="86"/>
  <c r="F27" i="86"/>
  <c r="E27" i="86"/>
  <c r="D27" i="86"/>
  <c r="C27" i="86"/>
  <c r="B27" i="86"/>
  <c r="G21" i="86"/>
  <c r="F21" i="86"/>
  <c r="E21" i="86"/>
  <c r="D21" i="86"/>
  <c r="C21" i="86"/>
  <c r="B21" i="86"/>
  <c r="H20" i="86"/>
  <c r="H44" i="86" s="1"/>
  <c r="H70" i="86" s="1"/>
  <c r="H19" i="86"/>
  <c r="G17" i="86"/>
  <c r="F17" i="86"/>
  <c r="E17" i="86"/>
  <c r="D17" i="86"/>
  <c r="C17" i="86"/>
  <c r="B17" i="86"/>
  <c r="B67" i="86" s="1"/>
  <c r="H16" i="86"/>
  <c r="H15" i="86"/>
  <c r="H14" i="86"/>
  <c r="H13" i="86"/>
  <c r="H12" i="86"/>
  <c r="G10" i="86"/>
  <c r="F10" i="86"/>
  <c r="E10" i="86"/>
  <c r="D10" i="86"/>
  <c r="C10" i="86"/>
  <c r="B10" i="86"/>
  <c r="B34" i="86" s="1"/>
  <c r="H9" i="86"/>
  <c r="H8" i="86"/>
  <c r="H7" i="86"/>
  <c r="H6" i="86"/>
  <c r="H5" i="86"/>
  <c r="H4" i="86"/>
  <c r="H28" i="86" s="1"/>
  <c r="H54" i="86" s="1"/>
  <c r="B70" i="85"/>
  <c r="B69" i="85"/>
  <c r="B66" i="85"/>
  <c r="B65" i="85"/>
  <c r="B64" i="85"/>
  <c r="B63" i="85"/>
  <c r="B62" i="85"/>
  <c r="B59" i="85"/>
  <c r="B58" i="85"/>
  <c r="B57" i="85"/>
  <c r="B56" i="85"/>
  <c r="B55" i="85"/>
  <c r="B54" i="85"/>
  <c r="H53" i="85"/>
  <c r="G53" i="85"/>
  <c r="F53" i="85"/>
  <c r="E53" i="85"/>
  <c r="D53" i="85"/>
  <c r="C53" i="85"/>
  <c r="B53" i="85"/>
  <c r="B44" i="85"/>
  <c r="G44" i="85"/>
  <c r="B43" i="85"/>
  <c r="B40" i="85"/>
  <c r="B39" i="85"/>
  <c r="G39" i="85" s="1"/>
  <c r="B38" i="85"/>
  <c r="B37" i="85"/>
  <c r="G37" i="85" s="1"/>
  <c r="B36" i="85"/>
  <c r="B33" i="85"/>
  <c r="F33" i="85" s="1"/>
  <c r="B32" i="85"/>
  <c r="B31" i="85"/>
  <c r="B30" i="85"/>
  <c r="B29" i="85"/>
  <c r="F29" i="85" s="1"/>
  <c r="B28" i="85"/>
  <c r="H27" i="85"/>
  <c r="G27" i="85"/>
  <c r="F27" i="85"/>
  <c r="E27" i="85"/>
  <c r="D27" i="85"/>
  <c r="C27" i="85"/>
  <c r="B27" i="85"/>
  <c r="G21" i="85"/>
  <c r="F21" i="85"/>
  <c r="E21" i="85"/>
  <c r="D21" i="85"/>
  <c r="C21" i="85"/>
  <c r="B21" i="85"/>
  <c r="B71" i="85" s="1"/>
  <c r="H20" i="85"/>
  <c r="H44" i="85" s="1"/>
  <c r="H70" i="85" s="1"/>
  <c r="H19" i="85"/>
  <c r="G17" i="85"/>
  <c r="F17" i="85"/>
  <c r="E17" i="85"/>
  <c r="D17" i="85"/>
  <c r="C17" i="85"/>
  <c r="B17" i="85"/>
  <c r="B67" i="85" s="1"/>
  <c r="H16" i="85"/>
  <c r="H15" i="85"/>
  <c r="H14" i="85"/>
  <c r="H13" i="85"/>
  <c r="H12" i="85"/>
  <c r="G10" i="85"/>
  <c r="F10" i="85"/>
  <c r="E10" i="85"/>
  <c r="D10" i="85"/>
  <c r="C10" i="85"/>
  <c r="B10" i="85"/>
  <c r="B34" i="85" s="1"/>
  <c r="H9" i="85"/>
  <c r="H8" i="85"/>
  <c r="H7" i="85"/>
  <c r="H6" i="85"/>
  <c r="H5" i="85"/>
  <c r="H29" i="85" s="1"/>
  <c r="H55" i="85" s="1"/>
  <c r="H4" i="85"/>
  <c r="B70" i="84"/>
  <c r="B69" i="84"/>
  <c r="B66" i="84"/>
  <c r="B65" i="84"/>
  <c r="B64" i="84"/>
  <c r="B63" i="84"/>
  <c r="B62" i="84"/>
  <c r="B59" i="84"/>
  <c r="B58" i="84"/>
  <c r="B57" i="84"/>
  <c r="B56" i="84"/>
  <c r="B55" i="84"/>
  <c r="B54" i="84"/>
  <c r="H53" i="84"/>
  <c r="G53" i="84"/>
  <c r="F53" i="84"/>
  <c r="E53" i="84"/>
  <c r="D53" i="84"/>
  <c r="C53" i="84"/>
  <c r="B53" i="84"/>
  <c r="B44" i="84"/>
  <c r="G44" i="84" s="1"/>
  <c r="B43" i="84"/>
  <c r="F43" i="84"/>
  <c r="B40" i="84"/>
  <c r="C40" i="84"/>
  <c r="B39" i="84"/>
  <c r="B38" i="84"/>
  <c r="B37" i="84"/>
  <c r="G37" i="84" s="1"/>
  <c r="B36" i="84"/>
  <c r="F36" i="84" s="1"/>
  <c r="B33" i="84"/>
  <c r="F33" i="84"/>
  <c r="B32" i="84"/>
  <c r="G32" i="84" s="1"/>
  <c r="B31" i="84"/>
  <c r="F31" i="84" s="1"/>
  <c r="B30" i="84"/>
  <c r="G30" i="84" s="1"/>
  <c r="B29" i="84"/>
  <c r="F29" i="84"/>
  <c r="B28" i="84"/>
  <c r="G28" i="84" s="1"/>
  <c r="H27" i="84"/>
  <c r="G27" i="84"/>
  <c r="F27" i="84"/>
  <c r="E27" i="84"/>
  <c r="D27" i="84"/>
  <c r="C27" i="84"/>
  <c r="B27" i="84"/>
  <c r="G21" i="84"/>
  <c r="F21" i="84"/>
  <c r="E21" i="84"/>
  <c r="D21" i="84"/>
  <c r="C21" i="84"/>
  <c r="B21" i="84"/>
  <c r="B71" i="84" s="1"/>
  <c r="H20" i="84"/>
  <c r="H19" i="84"/>
  <c r="G17" i="84"/>
  <c r="F17" i="84"/>
  <c r="E17" i="84"/>
  <c r="D17" i="84"/>
  <c r="C17" i="84"/>
  <c r="B17" i="84"/>
  <c r="B67" i="84" s="1"/>
  <c r="H16" i="84"/>
  <c r="H40" i="84" s="1"/>
  <c r="H66" i="84" s="1"/>
  <c r="H15" i="84"/>
  <c r="H14" i="84"/>
  <c r="H13" i="84"/>
  <c r="H37" i="84" s="1"/>
  <c r="H63" i="84" s="1"/>
  <c r="H12" i="84"/>
  <c r="G10" i="84"/>
  <c r="F10" i="84"/>
  <c r="E10" i="84"/>
  <c r="D10" i="84"/>
  <c r="C10" i="84"/>
  <c r="B10" i="84"/>
  <c r="B34" i="84" s="1"/>
  <c r="H9" i="84"/>
  <c r="H33" i="84" s="1"/>
  <c r="H59" i="84" s="1"/>
  <c r="H8" i="84"/>
  <c r="H7" i="84"/>
  <c r="H31" i="84" s="1"/>
  <c r="H6" i="84"/>
  <c r="H30" i="84"/>
  <c r="H56" i="84" s="1"/>
  <c r="H5" i="84"/>
  <c r="H29" i="84" s="1"/>
  <c r="H55" i="84" s="1"/>
  <c r="H4" i="84"/>
  <c r="M4" i="83"/>
  <c r="L30" i="83"/>
  <c r="M13" i="83"/>
  <c r="M14" i="83"/>
  <c r="M15" i="83"/>
  <c r="M16" i="83"/>
  <c r="M17" i="83"/>
  <c r="M21" i="83"/>
  <c r="M22" i="83"/>
  <c r="M5" i="83"/>
  <c r="M6" i="83"/>
  <c r="M7" i="83"/>
  <c r="M8" i="83"/>
  <c r="M9" i="83"/>
  <c r="L4" i="83"/>
  <c r="L9" i="83"/>
  <c r="I30" i="83"/>
  <c r="I23" i="83"/>
  <c r="I18" i="83"/>
  <c r="I10" i="83"/>
  <c r="I58" i="83"/>
  <c r="H58" i="83"/>
  <c r="G58" i="83"/>
  <c r="F58" i="83"/>
  <c r="E58" i="83"/>
  <c r="D58" i="83"/>
  <c r="C58" i="83"/>
  <c r="B57" i="83"/>
  <c r="B50" i="83"/>
  <c r="B49" i="83"/>
  <c r="B45" i="83"/>
  <c r="B44" i="83"/>
  <c r="B43" i="83"/>
  <c r="B42" i="83"/>
  <c r="B41" i="83"/>
  <c r="B37" i="83"/>
  <c r="B36" i="83"/>
  <c r="B35" i="83"/>
  <c r="C35" i="83" s="1"/>
  <c r="B34" i="83"/>
  <c r="B33" i="83"/>
  <c r="B32" i="83"/>
  <c r="K30" i="83"/>
  <c r="J30" i="83"/>
  <c r="H30" i="83"/>
  <c r="G30" i="83"/>
  <c r="F30" i="83"/>
  <c r="E30" i="83"/>
  <c r="D30" i="83"/>
  <c r="C30" i="83"/>
  <c r="B30" i="83"/>
  <c r="B29" i="83"/>
  <c r="H23" i="83"/>
  <c r="G23" i="83"/>
  <c r="F23" i="83"/>
  <c r="E23" i="83"/>
  <c r="D23" i="83"/>
  <c r="C23" i="83"/>
  <c r="B23" i="83"/>
  <c r="L22" i="83"/>
  <c r="J22" i="83"/>
  <c r="J50" i="83" s="1"/>
  <c r="L21" i="83"/>
  <c r="J21" i="83"/>
  <c r="J49" i="83" s="1"/>
  <c r="H18" i="83"/>
  <c r="G18" i="83"/>
  <c r="F18" i="83"/>
  <c r="E18" i="83"/>
  <c r="D18" i="83"/>
  <c r="C18" i="83"/>
  <c r="B18" i="83"/>
  <c r="L17" i="83"/>
  <c r="J17" i="83"/>
  <c r="K17" i="83" s="1"/>
  <c r="L16" i="83"/>
  <c r="J16" i="83"/>
  <c r="L15" i="83"/>
  <c r="J15" i="83"/>
  <c r="L14" i="83"/>
  <c r="J14" i="83"/>
  <c r="L13" i="83"/>
  <c r="J13" i="83"/>
  <c r="H10" i="83"/>
  <c r="G10" i="83"/>
  <c r="F10" i="83"/>
  <c r="E10" i="83"/>
  <c r="D10" i="83"/>
  <c r="C10" i="83"/>
  <c r="B10" i="83"/>
  <c r="J9" i="83"/>
  <c r="L8" i="83"/>
  <c r="J8" i="83"/>
  <c r="K8" i="83" s="1"/>
  <c r="L7" i="83"/>
  <c r="J7" i="83"/>
  <c r="L6" i="83"/>
  <c r="J6" i="83"/>
  <c r="K6" i="83" s="1"/>
  <c r="L5" i="83"/>
  <c r="J5" i="83"/>
  <c r="J4" i="83"/>
  <c r="B156" i="18"/>
  <c r="I156" i="18"/>
  <c r="E156" i="18"/>
  <c r="F156" i="18"/>
  <c r="G156" i="18"/>
  <c r="H156" i="18"/>
  <c r="B157" i="18"/>
  <c r="I157" i="18"/>
  <c r="E157" i="18"/>
  <c r="F157" i="18"/>
  <c r="G157" i="18"/>
  <c r="H157" i="18"/>
  <c r="D114" i="18"/>
  <c r="L114" i="18"/>
  <c r="E114" i="18"/>
  <c r="F114" i="18"/>
  <c r="G114" i="18"/>
  <c r="H114" i="18"/>
  <c r="I114" i="18"/>
  <c r="J114" i="18"/>
  <c r="K114" i="18"/>
  <c r="D115" i="18"/>
  <c r="L115" i="18"/>
  <c r="E115" i="18"/>
  <c r="F115" i="18"/>
  <c r="G115" i="18"/>
  <c r="H115" i="18"/>
  <c r="I115" i="18"/>
  <c r="J115" i="18"/>
  <c r="K115" i="18"/>
  <c r="B114" i="18"/>
  <c r="B115" i="18"/>
  <c r="C64" i="18"/>
  <c r="C65" i="18"/>
  <c r="C22" i="18"/>
  <c r="C23" i="18"/>
  <c r="T13" i="16"/>
  <c r="AJ13" i="16" s="1"/>
  <c r="T14" i="16"/>
  <c r="AJ14" i="16" s="1"/>
  <c r="T15" i="16"/>
  <c r="AJ15" i="16" s="1"/>
  <c r="T16" i="16"/>
  <c r="AJ16" i="16" s="1"/>
  <c r="T17" i="16"/>
  <c r="AJ17" i="16" s="1"/>
  <c r="T20" i="16"/>
  <c r="AJ20" i="16" s="1"/>
  <c r="T21" i="16"/>
  <c r="AJ21" i="16" s="1"/>
  <c r="T6" i="16"/>
  <c r="AJ6" i="16" s="1"/>
  <c r="T7" i="16"/>
  <c r="AJ7" i="16" s="1"/>
  <c r="T8" i="16"/>
  <c r="AJ8" i="16" s="1"/>
  <c r="T9" i="16"/>
  <c r="AJ9" i="16" s="1"/>
  <c r="T10" i="16"/>
  <c r="AJ10" i="16" s="1"/>
  <c r="T5" i="16"/>
  <c r="AJ5" i="16" s="1"/>
  <c r="B57" i="79"/>
  <c r="B29" i="79"/>
  <c r="J30" i="79"/>
  <c r="I30" i="79"/>
  <c r="K13" i="79"/>
  <c r="K14" i="79"/>
  <c r="K15" i="79"/>
  <c r="K16" i="79"/>
  <c r="K17" i="79"/>
  <c r="K21" i="79"/>
  <c r="K22" i="79"/>
  <c r="K5" i="79"/>
  <c r="K6" i="79"/>
  <c r="K7" i="79"/>
  <c r="K8" i="79"/>
  <c r="K9" i="79"/>
  <c r="K4" i="79"/>
  <c r="H58" i="79"/>
  <c r="H30" i="79"/>
  <c r="I22" i="79"/>
  <c r="I21" i="79"/>
  <c r="H23" i="79"/>
  <c r="I14" i="79"/>
  <c r="I15" i="79"/>
  <c r="I16" i="79"/>
  <c r="I17" i="79"/>
  <c r="I13" i="79"/>
  <c r="J13" i="79" s="1"/>
  <c r="H18" i="79"/>
  <c r="I5" i="79"/>
  <c r="J5" i="79" s="1"/>
  <c r="I6" i="79"/>
  <c r="I7" i="79"/>
  <c r="J7" i="79" s="1"/>
  <c r="I8" i="79"/>
  <c r="I9" i="79"/>
  <c r="J9" i="79" s="1"/>
  <c r="I4" i="79"/>
  <c r="H10" i="79"/>
  <c r="B50" i="79"/>
  <c r="H50" i="79" s="1"/>
  <c r="B49" i="79"/>
  <c r="B42" i="79"/>
  <c r="B43" i="79"/>
  <c r="G43" i="79" s="1"/>
  <c r="B44" i="79"/>
  <c r="J44" i="79"/>
  <c r="U16" i="2" s="1"/>
  <c r="B45" i="79"/>
  <c r="B41" i="79"/>
  <c r="B33" i="79"/>
  <c r="F33" i="79" s="1"/>
  <c r="B34" i="79"/>
  <c r="F34" i="79" s="1"/>
  <c r="B35" i="79"/>
  <c r="B36" i="79"/>
  <c r="F36" i="79" s="1"/>
  <c r="B37" i="79"/>
  <c r="J37" i="79" s="1"/>
  <c r="U10" i="2" s="1"/>
  <c r="B32" i="79"/>
  <c r="D32" i="79" s="1"/>
  <c r="D58" i="79"/>
  <c r="E58" i="79"/>
  <c r="F58" i="79"/>
  <c r="G58" i="79"/>
  <c r="I58" i="79"/>
  <c r="C58" i="79"/>
  <c r="C30" i="79"/>
  <c r="D30" i="79"/>
  <c r="E30" i="79"/>
  <c r="F30" i="79"/>
  <c r="G30" i="79"/>
  <c r="B30" i="79"/>
  <c r="B10" i="79"/>
  <c r="C10" i="79"/>
  <c r="D10" i="79"/>
  <c r="E10" i="79"/>
  <c r="F10" i="79"/>
  <c r="G10" i="79"/>
  <c r="B18" i="79"/>
  <c r="C18" i="79"/>
  <c r="D18" i="79"/>
  <c r="E18" i="79"/>
  <c r="F18" i="79"/>
  <c r="G18" i="79"/>
  <c r="B23" i="79"/>
  <c r="C23" i="79"/>
  <c r="D23" i="79"/>
  <c r="E23" i="79"/>
  <c r="F23" i="79"/>
  <c r="G23" i="79"/>
  <c r="C37" i="79"/>
  <c r="D37" i="79"/>
  <c r="E37" i="79"/>
  <c r="C44" i="79"/>
  <c r="D44" i="79"/>
  <c r="E44" i="79"/>
  <c r="F44" i="79"/>
  <c r="G44" i="79"/>
  <c r="H5" i="78"/>
  <c r="H29" i="78" s="1"/>
  <c r="H55" i="78" s="1"/>
  <c r="H6" i="78"/>
  <c r="H7" i="78"/>
  <c r="H8" i="78"/>
  <c r="H9" i="78"/>
  <c r="H4" i="78"/>
  <c r="B10" i="78"/>
  <c r="B34" i="78" s="1"/>
  <c r="C10" i="78"/>
  <c r="D10" i="78"/>
  <c r="E10" i="78"/>
  <c r="F10" i="78"/>
  <c r="G10" i="78"/>
  <c r="H12" i="78"/>
  <c r="H13" i="78"/>
  <c r="H14" i="78"/>
  <c r="H15" i="78"/>
  <c r="H16" i="78"/>
  <c r="B17" i="78"/>
  <c r="C17" i="78"/>
  <c r="D17" i="78"/>
  <c r="E17" i="78"/>
  <c r="F17" i="78"/>
  <c r="G17" i="78"/>
  <c r="H19" i="78"/>
  <c r="H20" i="78"/>
  <c r="B21" i="78"/>
  <c r="C21" i="78"/>
  <c r="D21" i="78"/>
  <c r="E21" i="78"/>
  <c r="F21" i="78"/>
  <c r="G21" i="78"/>
  <c r="B27" i="78"/>
  <c r="C27" i="78"/>
  <c r="D27" i="78"/>
  <c r="E27" i="78"/>
  <c r="F27" i="78"/>
  <c r="G27" i="78"/>
  <c r="H27" i="78"/>
  <c r="B28" i="78"/>
  <c r="B29" i="78"/>
  <c r="F29" i="78"/>
  <c r="B30" i="78"/>
  <c r="B31" i="78"/>
  <c r="F31" i="78" s="1"/>
  <c r="B32" i="78"/>
  <c r="B33" i="78"/>
  <c r="F33" i="78" s="1"/>
  <c r="B36" i="78"/>
  <c r="B37" i="78"/>
  <c r="B38" i="78"/>
  <c r="F38" i="78" s="1"/>
  <c r="B39" i="78"/>
  <c r="B40" i="78"/>
  <c r="E40" i="78" s="1"/>
  <c r="B43" i="78"/>
  <c r="F43" i="78"/>
  <c r="B44" i="78"/>
  <c r="D44" i="78" s="1"/>
  <c r="B45" i="78"/>
  <c r="B53" i="78"/>
  <c r="C53" i="78"/>
  <c r="D53" i="78"/>
  <c r="E53" i="78"/>
  <c r="F53" i="78"/>
  <c r="G53" i="78"/>
  <c r="H53" i="78"/>
  <c r="B54" i="78"/>
  <c r="B55" i="78"/>
  <c r="B56" i="78"/>
  <c r="B57" i="78"/>
  <c r="B58" i="78"/>
  <c r="B59" i="78"/>
  <c r="B62" i="78"/>
  <c r="B63" i="78"/>
  <c r="B64" i="78"/>
  <c r="B65" i="78"/>
  <c r="B66" i="78"/>
  <c r="B69" i="78"/>
  <c r="B70" i="78"/>
  <c r="C53" i="77"/>
  <c r="D53" i="77"/>
  <c r="E53" i="77"/>
  <c r="F53" i="77"/>
  <c r="G53" i="77"/>
  <c r="H53" i="77"/>
  <c r="C27" i="77"/>
  <c r="D27" i="77"/>
  <c r="E27" i="77"/>
  <c r="F27" i="77"/>
  <c r="G27" i="77"/>
  <c r="H27" i="77"/>
  <c r="H4" i="77"/>
  <c r="H5" i="77"/>
  <c r="H6" i="77"/>
  <c r="H7" i="77"/>
  <c r="H8" i="77"/>
  <c r="H9" i="77"/>
  <c r="B10" i="77"/>
  <c r="B34" i="77" s="1"/>
  <c r="C10" i="77"/>
  <c r="C23" i="77" s="1"/>
  <c r="D10" i="77"/>
  <c r="E10" i="77"/>
  <c r="F10" i="77"/>
  <c r="G10" i="77"/>
  <c r="H12" i="77"/>
  <c r="H13" i="77"/>
  <c r="H14" i="77"/>
  <c r="H15" i="77"/>
  <c r="H16" i="77"/>
  <c r="B17" i="77"/>
  <c r="B67" i="77" s="1"/>
  <c r="C17" i="77"/>
  <c r="D17" i="77"/>
  <c r="E17" i="77"/>
  <c r="F17" i="77"/>
  <c r="G17" i="77"/>
  <c r="H19" i="77"/>
  <c r="H20" i="77"/>
  <c r="B21" i="77"/>
  <c r="C21" i="77"/>
  <c r="D21" i="77"/>
  <c r="E21" i="77"/>
  <c r="F21" i="77"/>
  <c r="G21" i="77"/>
  <c r="B27" i="77"/>
  <c r="B28" i="77"/>
  <c r="D28" i="77" s="1"/>
  <c r="B29" i="77"/>
  <c r="B30" i="77"/>
  <c r="B31" i="77"/>
  <c r="B32" i="77"/>
  <c r="C32" i="77" s="1"/>
  <c r="D32" i="77"/>
  <c r="B33" i="77"/>
  <c r="B36" i="77"/>
  <c r="F36" i="77" s="1"/>
  <c r="B37" i="77"/>
  <c r="B38" i="77"/>
  <c r="E38" i="77" s="1"/>
  <c r="B39" i="77"/>
  <c r="B40" i="77"/>
  <c r="D40" i="77" s="1"/>
  <c r="B43" i="77"/>
  <c r="E43" i="77" s="1"/>
  <c r="B44" i="77"/>
  <c r="G44" i="77" s="1"/>
  <c r="B53" i="77"/>
  <c r="B54" i="77"/>
  <c r="B55" i="77"/>
  <c r="B56" i="77"/>
  <c r="B57" i="77"/>
  <c r="B58" i="77"/>
  <c r="B59" i="77"/>
  <c r="B62" i="77"/>
  <c r="B63" i="77"/>
  <c r="B64" i="77"/>
  <c r="B65" i="77"/>
  <c r="B66" i="77"/>
  <c r="B69" i="77"/>
  <c r="B70" i="77"/>
  <c r="K4" i="76"/>
  <c r="K5" i="76"/>
  <c r="K6" i="76"/>
  <c r="K7" i="76"/>
  <c r="K8" i="76"/>
  <c r="K9" i="76"/>
  <c r="B10" i="76"/>
  <c r="C10" i="76"/>
  <c r="D10" i="76"/>
  <c r="E10" i="76"/>
  <c r="F10" i="76"/>
  <c r="G10" i="76"/>
  <c r="H10" i="76"/>
  <c r="I10" i="76"/>
  <c r="J10" i="76"/>
  <c r="K12" i="76"/>
  <c r="K13" i="76"/>
  <c r="K14" i="76"/>
  <c r="K38" i="76" s="1"/>
  <c r="K15" i="76"/>
  <c r="K16" i="76"/>
  <c r="B17" i="76"/>
  <c r="C17" i="76"/>
  <c r="D17" i="76"/>
  <c r="E17" i="76"/>
  <c r="F17" i="76"/>
  <c r="G17" i="76"/>
  <c r="H17" i="76"/>
  <c r="I17" i="76"/>
  <c r="J17" i="76"/>
  <c r="K19" i="76"/>
  <c r="K20" i="76"/>
  <c r="B21" i="76"/>
  <c r="C21" i="76"/>
  <c r="D21" i="76"/>
  <c r="D23" i="76" s="1"/>
  <c r="E21" i="76"/>
  <c r="F21" i="76"/>
  <c r="G21" i="76"/>
  <c r="H21" i="76"/>
  <c r="I21" i="76"/>
  <c r="J21" i="76"/>
  <c r="B28" i="76"/>
  <c r="D28" i="76" s="1"/>
  <c r="B29" i="76"/>
  <c r="B30" i="76"/>
  <c r="B31" i="76"/>
  <c r="F31" i="76" s="1"/>
  <c r="B32" i="76"/>
  <c r="D32" i="76" s="1"/>
  <c r="B33" i="76"/>
  <c r="B36" i="76"/>
  <c r="B37" i="76"/>
  <c r="H37" i="76" s="1"/>
  <c r="B38" i="76"/>
  <c r="B62" i="76" s="1"/>
  <c r="F38" i="76"/>
  <c r="B39" i="76"/>
  <c r="B40" i="76"/>
  <c r="C40" i="76" s="1"/>
  <c r="B43" i="76"/>
  <c r="H43" i="76" s="1"/>
  <c r="B44" i="76"/>
  <c r="B52" i="76"/>
  <c r="B53" i="76"/>
  <c r="B54" i="76"/>
  <c r="B55" i="76"/>
  <c r="B56" i="76"/>
  <c r="B57" i="76"/>
  <c r="K4" i="75"/>
  <c r="K5" i="75"/>
  <c r="K6" i="75"/>
  <c r="K7" i="75"/>
  <c r="K8" i="75"/>
  <c r="K9" i="75"/>
  <c r="B10" i="75"/>
  <c r="T11" i="16" s="1"/>
  <c r="AJ11" i="16" s="1"/>
  <c r="C10" i="75"/>
  <c r="D10" i="75"/>
  <c r="E10" i="75"/>
  <c r="F10" i="75"/>
  <c r="G10" i="75"/>
  <c r="H10" i="75"/>
  <c r="I10" i="75"/>
  <c r="J10" i="75"/>
  <c r="K12" i="75"/>
  <c r="K13" i="75"/>
  <c r="K14" i="75"/>
  <c r="K38" i="75" s="1"/>
  <c r="K15" i="75"/>
  <c r="K16" i="75"/>
  <c r="B17" i="75"/>
  <c r="T18" i="16" s="1"/>
  <c r="AJ18" i="16" s="1"/>
  <c r="C17" i="75"/>
  <c r="D17" i="75"/>
  <c r="E17" i="75"/>
  <c r="F17" i="75"/>
  <c r="G17" i="75"/>
  <c r="H17" i="75"/>
  <c r="I17" i="75"/>
  <c r="J17" i="75"/>
  <c r="K19" i="75"/>
  <c r="K20" i="75"/>
  <c r="B21" i="75"/>
  <c r="C21" i="75"/>
  <c r="D21" i="75"/>
  <c r="E21" i="75"/>
  <c r="F21" i="75"/>
  <c r="G21" i="75"/>
  <c r="H21" i="75"/>
  <c r="I21" i="75"/>
  <c r="J21" i="75"/>
  <c r="B28" i="75"/>
  <c r="E28" i="75" s="1"/>
  <c r="B29" i="75"/>
  <c r="J29" i="75" s="1"/>
  <c r="B30" i="75"/>
  <c r="J30" i="75" s="1"/>
  <c r="B31" i="75"/>
  <c r="B32" i="75"/>
  <c r="E32" i="75" s="1"/>
  <c r="B33" i="75"/>
  <c r="B36" i="75"/>
  <c r="B37" i="75"/>
  <c r="B38" i="75"/>
  <c r="F38" i="75" s="1"/>
  <c r="J38" i="75"/>
  <c r="B39" i="75"/>
  <c r="J39" i="75" s="1"/>
  <c r="F39" i="75"/>
  <c r="B40" i="75"/>
  <c r="C40" i="75" s="1"/>
  <c r="B43" i="75"/>
  <c r="B44" i="75"/>
  <c r="B68" i="75" s="1"/>
  <c r="B52" i="75"/>
  <c r="B53" i="75"/>
  <c r="B54" i="75"/>
  <c r="B55" i="75"/>
  <c r="B56" i="75"/>
  <c r="B57" i="75"/>
  <c r="H4" i="72"/>
  <c r="I4" i="72" s="1"/>
  <c r="H5" i="72"/>
  <c r="H6" i="72"/>
  <c r="I6" i="72" s="1"/>
  <c r="H7" i="72"/>
  <c r="H8" i="72"/>
  <c r="H9" i="72"/>
  <c r="H13" i="72"/>
  <c r="H14" i="72"/>
  <c r="I14" i="72" s="1"/>
  <c r="H15" i="72"/>
  <c r="H16" i="72"/>
  <c r="H17" i="72"/>
  <c r="I17" i="72" s="1"/>
  <c r="H21" i="72"/>
  <c r="H22" i="72"/>
  <c r="B51" i="72"/>
  <c r="B46" i="72"/>
  <c r="B38" i="72"/>
  <c r="H34" i="72"/>
  <c r="H25" i="67"/>
  <c r="R13" i="3" s="1"/>
  <c r="B49" i="67"/>
  <c r="H49" i="67" s="1"/>
  <c r="B50" i="67"/>
  <c r="B41" i="67"/>
  <c r="B42" i="67"/>
  <c r="B43" i="67"/>
  <c r="B44" i="67"/>
  <c r="B45" i="67"/>
  <c r="B32" i="67"/>
  <c r="B33" i="67"/>
  <c r="B34" i="67"/>
  <c r="B35" i="67"/>
  <c r="B36" i="67"/>
  <c r="B37" i="67"/>
  <c r="C37" i="67" s="1"/>
  <c r="G10" i="72"/>
  <c r="G18" i="72"/>
  <c r="G23" i="72"/>
  <c r="F10" i="72"/>
  <c r="F18" i="72"/>
  <c r="F23" i="72"/>
  <c r="F51" i="72" s="1"/>
  <c r="E10" i="72"/>
  <c r="E18" i="72"/>
  <c r="E23" i="72"/>
  <c r="D10" i="72"/>
  <c r="D38" i="72" s="1"/>
  <c r="D18" i="72"/>
  <c r="D23" i="72"/>
  <c r="D51" i="72" s="1"/>
  <c r="C10" i="72"/>
  <c r="C18" i="72"/>
  <c r="C23" i="72"/>
  <c r="G25" i="67"/>
  <c r="R10" i="3" s="1"/>
  <c r="R22" i="3" s="1"/>
  <c r="F25" i="67"/>
  <c r="E25" i="67"/>
  <c r="R8" i="3" s="1"/>
  <c r="D25" i="67"/>
  <c r="R7" i="3" s="1"/>
  <c r="C25" i="67"/>
  <c r="R6" i="3" s="1"/>
  <c r="S6" i="16"/>
  <c r="I6" i="16"/>
  <c r="S7" i="16"/>
  <c r="I7" i="16"/>
  <c r="S8" i="16"/>
  <c r="I8" i="16"/>
  <c r="S9" i="16"/>
  <c r="I9" i="16"/>
  <c r="S10" i="16"/>
  <c r="I10" i="16"/>
  <c r="B10" i="71"/>
  <c r="S11" i="16" s="1"/>
  <c r="I11" i="16"/>
  <c r="S13" i="16"/>
  <c r="I13" i="16"/>
  <c r="S14" i="16"/>
  <c r="I14" i="16"/>
  <c r="S15" i="16"/>
  <c r="I15" i="16"/>
  <c r="S16" i="16"/>
  <c r="I16" i="16"/>
  <c r="S17" i="16"/>
  <c r="I17" i="16"/>
  <c r="B17" i="71"/>
  <c r="I18" i="16"/>
  <c r="S20" i="16"/>
  <c r="I20" i="16"/>
  <c r="S21" i="16"/>
  <c r="I21" i="16"/>
  <c r="B21" i="71"/>
  <c r="S22" i="16" s="1"/>
  <c r="I22" i="16"/>
  <c r="I24" i="16"/>
  <c r="S5" i="16"/>
  <c r="I5" i="16"/>
  <c r="K19" i="71"/>
  <c r="K20" i="71"/>
  <c r="K12" i="71"/>
  <c r="K13" i="71"/>
  <c r="K14" i="71"/>
  <c r="K15" i="71"/>
  <c r="K16" i="71"/>
  <c r="K4" i="71"/>
  <c r="K5" i="71"/>
  <c r="K6" i="71"/>
  <c r="K7" i="71"/>
  <c r="K8" i="71"/>
  <c r="K9" i="71"/>
  <c r="B43" i="71"/>
  <c r="B44" i="71"/>
  <c r="B36" i="71"/>
  <c r="B37" i="71"/>
  <c r="J37" i="71" s="1"/>
  <c r="B38" i="71"/>
  <c r="B39" i="71"/>
  <c r="J39" i="71" s="1"/>
  <c r="B40" i="71"/>
  <c r="G40" i="71" s="1"/>
  <c r="B28" i="71"/>
  <c r="B29" i="71"/>
  <c r="B30" i="71"/>
  <c r="B31" i="71"/>
  <c r="B32" i="71"/>
  <c r="C32" i="71" s="1"/>
  <c r="B33" i="71"/>
  <c r="G33" i="71" s="1"/>
  <c r="K21" i="68"/>
  <c r="K17" i="68"/>
  <c r="K10" i="68"/>
  <c r="B43" i="68"/>
  <c r="B44" i="68"/>
  <c r="B36" i="68"/>
  <c r="B60" i="68" s="1"/>
  <c r="B37" i="68"/>
  <c r="B38" i="68"/>
  <c r="J38" i="68" s="1"/>
  <c r="B39" i="68"/>
  <c r="I39" i="68" s="1"/>
  <c r="B40" i="68"/>
  <c r="E40" i="68" s="1"/>
  <c r="B28" i="68"/>
  <c r="B29" i="68"/>
  <c r="B30" i="68"/>
  <c r="H30" i="68" s="1"/>
  <c r="K30" i="68"/>
  <c r="B31" i="68"/>
  <c r="B32" i="68"/>
  <c r="D32" i="68" s="1"/>
  <c r="B33" i="68"/>
  <c r="K33" i="68" s="1"/>
  <c r="C10" i="59"/>
  <c r="C18" i="59"/>
  <c r="C23" i="59"/>
  <c r="B10" i="54"/>
  <c r="B18" i="54"/>
  <c r="B72" i="54" s="1"/>
  <c r="B23" i="54"/>
  <c r="B77" i="54" s="1"/>
  <c r="D10" i="59"/>
  <c r="D18" i="59"/>
  <c r="D23" i="59"/>
  <c r="B10" i="59"/>
  <c r="B64" i="59" s="1"/>
  <c r="B18" i="59"/>
  <c r="B23" i="59"/>
  <c r="B77" i="59"/>
  <c r="E10" i="59"/>
  <c r="E18" i="59"/>
  <c r="E23" i="59"/>
  <c r="F10" i="59"/>
  <c r="F18" i="59"/>
  <c r="F23" i="59"/>
  <c r="G10" i="59"/>
  <c r="G18" i="59"/>
  <c r="G23" i="59"/>
  <c r="E153" i="18"/>
  <c r="F153" i="18"/>
  <c r="G153" i="18"/>
  <c r="H153" i="18"/>
  <c r="I153" i="18"/>
  <c r="C21" i="69"/>
  <c r="C17" i="69"/>
  <c r="C10" i="69"/>
  <c r="D21" i="69"/>
  <c r="D17" i="69"/>
  <c r="D10" i="69"/>
  <c r="B21" i="69"/>
  <c r="B17" i="69"/>
  <c r="B10" i="69"/>
  <c r="B34" i="69" s="1"/>
  <c r="E21" i="69"/>
  <c r="E17" i="69"/>
  <c r="E10" i="69"/>
  <c r="F21" i="69"/>
  <c r="F17" i="69"/>
  <c r="F10" i="69"/>
  <c r="G21" i="69"/>
  <c r="G17" i="69"/>
  <c r="G10" i="69"/>
  <c r="H21" i="69"/>
  <c r="H17" i="69"/>
  <c r="H10" i="69"/>
  <c r="C21" i="73"/>
  <c r="C17" i="73"/>
  <c r="C10" i="73"/>
  <c r="D21" i="73"/>
  <c r="D17" i="73"/>
  <c r="D10" i="73"/>
  <c r="B21" i="73"/>
  <c r="B17" i="73"/>
  <c r="B10" i="73"/>
  <c r="B34" i="73" s="1"/>
  <c r="E21" i="73"/>
  <c r="E17" i="73"/>
  <c r="E10" i="73"/>
  <c r="F21" i="73"/>
  <c r="F17" i="73"/>
  <c r="F10" i="73"/>
  <c r="G21" i="73"/>
  <c r="G17" i="73"/>
  <c r="G10" i="73"/>
  <c r="H19" i="73"/>
  <c r="H20" i="73"/>
  <c r="H12" i="73"/>
  <c r="H13" i="73"/>
  <c r="H14" i="73"/>
  <c r="H15" i="73"/>
  <c r="H16" i="73"/>
  <c r="H4" i="73"/>
  <c r="H5" i="73"/>
  <c r="H6" i="73"/>
  <c r="H7" i="73"/>
  <c r="H8" i="73"/>
  <c r="H9" i="73"/>
  <c r="C10" i="54"/>
  <c r="C18" i="54"/>
  <c r="C23" i="54"/>
  <c r="D10" i="54"/>
  <c r="D18" i="54"/>
  <c r="D23" i="54"/>
  <c r="E10" i="54"/>
  <c r="E18" i="54"/>
  <c r="E23" i="54"/>
  <c r="F10" i="54"/>
  <c r="F18" i="54"/>
  <c r="F23" i="54"/>
  <c r="G10" i="54"/>
  <c r="G18" i="54"/>
  <c r="G23" i="54"/>
  <c r="C10" i="60"/>
  <c r="C17" i="60"/>
  <c r="C21" i="60"/>
  <c r="B10" i="60"/>
  <c r="B17" i="60"/>
  <c r="B21" i="60"/>
  <c r="D111" i="18"/>
  <c r="C21" i="68"/>
  <c r="C17" i="68"/>
  <c r="C10" i="68"/>
  <c r="B21" i="68"/>
  <c r="R22" i="16" s="1"/>
  <c r="B17" i="68"/>
  <c r="R18" i="16" s="1"/>
  <c r="B10" i="68"/>
  <c r="R11" i="16" s="1"/>
  <c r="C21" i="71"/>
  <c r="C17" i="71"/>
  <c r="C10" i="71"/>
  <c r="C10" i="55"/>
  <c r="C17" i="55"/>
  <c r="C21" i="55"/>
  <c r="B10" i="55"/>
  <c r="B17" i="55"/>
  <c r="O18" i="16" s="1"/>
  <c r="B21" i="55"/>
  <c r="D10" i="60"/>
  <c r="D17" i="60"/>
  <c r="D21" i="60"/>
  <c r="E10" i="60"/>
  <c r="E17" i="60"/>
  <c r="E21" i="60"/>
  <c r="F10" i="60"/>
  <c r="F17" i="60"/>
  <c r="F21" i="60"/>
  <c r="G10" i="60"/>
  <c r="G17" i="60"/>
  <c r="G21" i="60"/>
  <c r="H10" i="60"/>
  <c r="H17" i="60"/>
  <c r="H21" i="60"/>
  <c r="I10" i="60"/>
  <c r="I17" i="60"/>
  <c r="I21" i="60"/>
  <c r="J10" i="60"/>
  <c r="J17" i="60"/>
  <c r="J21" i="60"/>
  <c r="E111" i="18"/>
  <c r="F111" i="18"/>
  <c r="G111" i="18"/>
  <c r="H111" i="18"/>
  <c r="I111" i="18"/>
  <c r="J111" i="18"/>
  <c r="K111" i="18"/>
  <c r="D21" i="68"/>
  <c r="D23" i="68" s="1"/>
  <c r="E20" i="18" s="1"/>
  <c r="D17" i="68"/>
  <c r="D10" i="68"/>
  <c r="E21" i="68"/>
  <c r="E17" i="68"/>
  <c r="E10" i="68"/>
  <c r="F21" i="68"/>
  <c r="F17" i="68"/>
  <c r="F10" i="68"/>
  <c r="F23" i="68" s="1"/>
  <c r="G20" i="18" s="1"/>
  <c r="G21" i="68"/>
  <c r="G17" i="68"/>
  <c r="G10" i="68"/>
  <c r="H21" i="68"/>
  <c r="H17" i="68"/>
  <c r="H10" i="68"/>
  <c r="I21" i="68"/>
  <c r="I17" i="68"/>
  <c r="I23" i="68" s="1"/>
  <c r="J20" i="18" s="1"/>
  <c r="I10" i="68"/>
  <c r="J21" i="68"/>
  <c r="J17" i="68"/>
  <c r="J10" i="68"/>
  <c r="D21" i="71"/>
  <c r="D17" i="71"/>
  <c r="D10" i="71"/>
  <c r="E21" i="71"/>
  <c r="E23" i="71" s="1"/>
  <c r="F21" i="18" s="1"/>
  <c r="E17" i="71"/>
  <c r="E10" i="71"/>
  <c r="F21" i="71"/>
  <c r="F17" i="71"/>
  <c r="F10" i="71"/>
  <c r="G21" i="71"/>
  <c r="G17" i="71"/>
  <c r="G10" i="71"/>
  <c r="G23" i="71" s="1"/>
  <c r="H21" i="71"/>
  <c r="H17" i="71"/>
  <c r="H10" i="71"/>
  <c r="I21" i="71"/>
  <c r="I17" i="71"/>
  <c r="I10" i="71"/>
  <c r="J21" i="71"/>
  <c r="J17" i="71"/>
  <c r="J10" i="71"/>
  <c r="J10" i="55"/>
  <c r="J17" i="55"/>
  <c r="J21" i="55"/>
  <c r="I10" i="55"/>
  <c r="I17" i="55"/>
  <c r="I21" i="55"/>
  <c r="H10" i="55"/>
  <c r="H17" i="55"/>
  <c r="H21" i="55"/>
  <c r="G10" i="55"/>
  <c r="G17" i="55"/>
  <c r="G21" i="55"/>
  <c r="F10" i="55"/>
  <c r="F17" i="55"/>
  <c r="F21" i="55"/>
  <c r="E10" i="55"/>
  <c r="E17" i="55"/>
  <c r="E21" i="55"/>
  <c r="D10" i="55"/>
  <c r="D17" i="55"/>
  <c r="D21" i="55"/>
  <c r="K4" i="60"/>
  <c r="K5" i="60"/>
  <c r="K6" i="60"/>
  <c r="K7" i="60"/>
  <c r="K8" i="60"/>
  <c r="K9" i="60"/>
  <c r="K12" i="60"/>
  <c r="K13" i="60"/>
  <c r="K14" i="60"/>
  <c r="K15" i="60"/>
  <c r="C64" i="60" s="1"/>
  <c r="K16" i="60"/>
  <c r="K19" i="60"/>
  <c r="K20" i="60"/>
  <c r="L111" i="18"/>
  <c r="C111" i="18" s="1"/>
  <c r="K4" i="55"/>
  <c r="K5" i="55"/>
  <c r="K6" i="55"/>
  <c r="K7" i="55"/>
  <c r="K8" i="55"/>
  <c r="K9" i="55"/>
  <c r="K12" i="55"/>
  <c r="K13" i="55"/>
  <c r="K14" i="55"/>
  <c r="K15" i="55"/>
  <c r="K16" i="55"/>
  <c r="K19" i="55"/>
  <c r="K20" i="55"/>
  <c r="L9" i="18"/>
  <c r="B9" i="18"/>
  <c r="B23" i="72"/>
  <c r="B18" i="72"/>
  <c r="B10" i="72"/>
  <c r="B27" i="73"/>
  <c r="B53" i="73"/>
  <c r="B28" i="73"/>
  <c r="B29" i="73"/>
  <c r="B30" i="73"/>
  <c r="B31" i="73"/>
  <c r="D31" i="73" s="1"/>
  <c r="B32" i="73"/>
  <c r="D32" i="73" s="1"/>
  <c r="B33" i="73"/>
  <c r="B36" i="73"/>
  <c r="F36" i="73" s="1"/>
  <c r="B37" i="73"/>
  <c r="E37" i="73" s="1"/>
  <c r="B38" i="73"/>
  <c r="F38" i="73" s="1"/>
  <c r="B39" i="73"/>
  <c r="B40" i="73"/>
  <c r="B41" i="73"/>
  <c r="B43" i="73"/>
  <c r="F43" i="73" s="1"/>
  <c r="B44" i="73"/>
  <c r="B54" i="73"/>
  <c r="B55" i="73"/>
  <c r="B56" i="73"/>
  <c r="B57" i="73"/>
  <c r="B58" i="73"/>
  <c r="B59" i="73"/>
  <c r="B62" i="73"/>
  <c r="B63" i="73"/>
  <c r="B64" i="73"/>
  <c r="B65" i="73"/>
  <c r="B66" i="73"/>
  <c r="B67" i="73"/>
  <c r="B69" i="73"/>
  <c r="B70" i="73"/>
  <c r="C32" i="72"/>
  <c r="D32" i="72"/>
  <c r="E32" i="72"/>
  <c r="F32" i="72"/>
  <c r="G32" i="72"/>
  <c r="C33" i="72"/>
  <c r="D33" i="72"/>
  <c r="E33" i="72"/>
  <c r="F33" i="72"/>
  <c r="G33" i="72"/>
  <c r="C34" i="72"/>
  <c r="C61" i="72" s="1"/>
  <c r="D34" i="72"/>
  <c r="E34" i="72"/>
  <c r="F34" i="72"/>
  <c r="G34" i="72"/>
  <c r="C35" i="72"/>
  <c r="D35" i="72"/>
  <c r="E35" i="72"/>
  <c r="F35" i="72"/>
  <c r="G35" i="72"/>
  <c r="C36" i="72"/>
  <c r="D36" i="72"/>
  <c r="E36" i="72"/>
  <c r="F36" i="72"/>
  <c r="G36" i="72"/>
  <c r="C37" i="72"/>
  <c r="D37" i="72"/>
  <c r="E37" i="72"/>
  <c r="F37" i="72"/>
  <c r="G37" i="72"/>
  <c r="C41" i="72"/>
  <c r="D41" i="72"/>
  <c r="E41" i="72"/>
  <c r="F41" i="72"/>
  <c r="G41" i="72"/>
  <c r="C42" i="72"/>
  <c r="D42" i="72"/>
  <c r="E42" i="72"/>
  <c r="F42" i="72"/>
  <c r="G42" i="72"/>
  <c r="C43" i="72"/>
  <c r="D43" i="72"/>
  <c r="E43" i="72"/>
  <c r="F43" i="72"/>
  <c r="G43" i="72"/>
  <c r="C44" i="72"/>
  <c r="D44" i="72"/>
  <c r="E44" i="72"/>
  <c r="F44" i="72"/>
  <c r="G44" i="72"/>
  <c r="C45" i="72"/>
  <c r="D45" i="72"/>
  <c r="E45" i="72"/>
  <c r="F45" i="72"/>
  <c r="G45" i="72"/>
  <c r="C49" i="72"/>
  <c r="D49" i="72"/>
  <c r="E49" i="72"/>
  <c r="F49" i="72"/>
  <c r="G49" i="72"/>
  <c r="C50" i="72"/>
  <c r="D50" i="72"/>
  <c r="E50" i="72"/>
  <c r="F50" i="72"/>
  <c r="G50" i="72"/>
  <c r="G51" i="72"/>
  <c r="E28" i="71"/>
  <c r="E29" i="71"/>
  <c r="F29" i="71"/>
  <c r="G29" i="71"/>
  <c r="D30" i="71"/>
  <c r="D32" i="71"/>
  <c r="E32" i="71"/>
  <c r="G36" i="71"/>
  <c r="H37" i="71"/>
  <c r="I37" i="71"/>
  <c r="G39" i="71"/>
  <c r="H39" i="71"/>
  <c r="G43" i="71"/>
  <c r="H43" i="71"/>
  <c r="B52" i="71"/>
  <c r="B53" i="71"/>
  <c r="B54" i="71"/>
  <c r="B55" i="71"/>
  <c r="B56" i="71"/>
  <c r="B57" i="71"/>
  <c r="B61" i="71"/>
  <c r="B29" i="69"/>
  <c r="D29" i="69" s="1"/>
  <c r="B30" i="69"/>
  <c r="F30" i="69" s="1"/>
  <c r="B31" i="69"/>
  <c r="D31" i="69" s="1"/>
  <c r="B32" i="69"/>
  <c r="C32" i="69"/>
  <c r="B33" i="69"/>
  <c r="B36" i="69"/>
  <c r="D36" i="69" s="1"/>
  <c r="B37" i="69"/>
  <c r="E37" i="69" s="1"/>
  <c r="B38" i="69"/>
  <c r="F38" i="69" s="1"/>
  <c r="B39" i="69"/>
  <c r="B40" i="69"/>
  <c r="B43" i="69"/>
  <c r="F43" i="69" s="1"/>
  <c r="B44" i="69"/>
  <c r="C44" i="69" s="1"/>
  <c r="B45" i="69"/>
  <c r="D45" i="69" s="1"/>
  <c r="B28" i="69"/>
  <c r="B54" i="69"/>
  <c r="B55" i="69"/>
  <c r="B56" i="69"/>
  <c r="B57" i="69"/>
  <c r="B58" i="69"/>
  <c r="B59" i="69"/>
  <c r="B71" i="69"/>
  <c r="B62" i="69"/>
  <c r="B63" i="69"/>
  <c r="B64" i="69"/>
  <c r="B65" i="69"/>
  <c r="B66" i="69"/>
  <c r="B69" i="69"/>
  <c r="B70" i="69"/>
  <c r="G29" i="69"/>
  <c r="D30" i="69"/>
  <c r="H30" i="69"/>
  <c r="H56" i="69" s="1"/>
  <c r="D32" i="69"/>
  <c r="C37" i="69"/>
  <c r="D43" i="69"/>
  <c r="H43" i="69"/>
  <c r="H69" i="69" s="1"/>
  <c r="F44" i="69"/>
  <c r="H6" i="16"/>
  <c r="H7" i="16"/>
  <c r="H8" i="16"/>
  <c r="H9" i="16"/>
  <c r="H10" i="16"/>
  <c r="H11" i="16"/>
  <c r="H13" i="16"/>
  <c r="H14" i="16"/>
  <c r="H15" i="16"/>
  <c r="H16" i="16"/>
  <c r="H17" i="16"/>
  <c r="H18" i="16"/>
  <c r="H20" i="16"/>
  <c r="H21" i="16"/>
  <c r="H22" i="16"/>
  <c r="H24" i="16"/>
  <c r="H5" i="16"/>
  <c r="D29" i="68"/>
  <c r="G29" i="68"/>
  <c r="D30" i="68"/>
  <c r="E30" i="68"/>
  <c r="E54" i="68" s="1"/>
  <c r="F30" i="68"/>
  <c r="F54" i="68" s="1"/>
  <c r="G30" i="68"/>
  <c r="G54" i="68" s="1"/>
  <c r="C32" i="68"/>
  <c r="C33" i="68"/>
  <c r="D33" i="68"/>
  <c r="E33" i="68"/>
  <c r="F33" i="68"/>
  <c r="G33" i="68"/>
  <c r="H33" i="68"/>
  <c r="I33" i="68"/>
  <c r="J33" i="68"/>
  <c r="C38" i="68"/>
  <c r="D38" i="68"/>
  <c r="C39" i="68"/>
  <c r="D39" i="68"/>
  <c r="I40" i="68"/>
  <c r="F44" i="68"/>
  <c r="J44" i="68"/>
  <c r="D28" i="68"/>
  <c r="H28" i="68"/>
  <c r="I28" i="68"/>
  <c r="D32" i="67"/>
  <c r="B68" i="68"/>
  <c r="B52" i="68"/>
  <c r="B53" i="68"/>
  <c r="B54" i="68"/>
  <c r="B55" i="68"/>
  <c r="B56" i="68"/>
  <c r="B57" i="68"/>
  <c r="Q25" i="3"/>
  <c r="Q22" i="3"/>
  <c r="Q21" i="3"/>
  <c r="Q17" i="3"/>
  <c r="Q18" i="3"/>
  <c r="Q19" i="3"/>
  <c r="C23" i="61"/>
  <c r="C18" i="61"/>
  <c r="C10" i="61"/>
  <c r="D23" i="61"/>
  <c r="D18" i="61"/>
  <c r="D10" i="61"/>
  <c r="E23" i="61"/>
  <c r="E18" i="61"/>
  <c r="E10" i="61"/>
  <c r="F23" i="61"/>
  <c r="F18" i="61"/>
  <c r="F10" i="61"/>
  <c r="G23" i="61"/>
  <c r="G18" i="61"/>
  <c r="G10" i="61"/>
  <c r="I22" i="67"/>
  <c r="B23" i="67"/>
  <c r="I23" i="67" s="1"/>
  <c r="I21" i="67"/>
  <c r="I14" i="67"/>
  <c r="I15" i="67"/>
  <c r="I16" i="67"/>
  <c r="I17" i="67"/>
  <c r="B18" i="67"/>
  <c r="I13" i="67"/>
  <c r="B10" i="67"/>
  <c r="I10" i="67" s="1"/>
  <c r="I4" i="67"/>
  <c r="I5" i="67"/>
  <c r="I6" i="67"/>
  <c r="I7" i="67"/>
  <c r="I8" i="67"/>
  <c r="I9" i="67"/>
  <c r="E32" i="67"/>
  <c r="D34" i="67"/>
  <c r="F34" i="67"/>
  <c r="F36" i="67"/>
  <c r="F41" i="67"/>
  <c r="C49" i="67"/>
  <c r="G49" i="67"/>
  <c r="C50" i="67"/>
  <c r="E50" i="67"/>
  <c r="H5" i="44"/>
  <c r="I5" i="44" s="1"/>
  <c r="H6" i="44"/>
  <c r="I6" i="44" s="1"/>
  <c r="H7" i="44"/>
  <c r="I7" i="44" s="1"/>
  <c r="H8" i="44"/>
  <c r="I8" i="44" s="1"/>
  <c r="H9" i="44"/>
  <c r="I9" i="44" s="1"/>
  <c r="H10" i="44"/>
  <c r="I10" i="44" s="1"/>
  <c r="B11" i="44"/>
  <c r="C11" i="44"/>
  <c r="D11" i="44"/>
  <c r="E11" i="44"/>
  <c r="F11" i="44"/>
  <c r="G11" i="44"/>
  <c r="H13" i="44"/>
  <c r="I13" i="44" s="1"/>
  <c r="H14" i="44"/>
  <c r="I14" i="44" s="1"/>
  <c r="H15" i="44"/>
  <c r="I15" i="44" s="1"/>
  <c r="H16" i="44"/>
  <c r="I16" i="44" s="1"/>
  <c r="H17" i="44"/>
  <c r="I17" i="44" s="1"/>
  <c r="B18" i="44"/>
  <c r="C18" i="44"/>
  <c r="C24" i="44" s="1"/>
  <c r="D46" i="18" s="1"/>
  <c r="D18" i="44"/>
  <c r="E18" i="44"/>
  <c r="F18" i="44"/>
  <c r="G18" i="44"/>
  <c r="B22" i="44"/>
  <c r="C22" i="44"/>
  <c r="D22" i="44"/>
  <c r="E22" i="44"/>
  <c r="F22" i="44"/>
  <c r="G22" i="44"/>
  <c r="H22" i="44"/>
  <c r="B29" i="44"/>
  <c r="C29" i="44"/>
  <c r="D29" i="44"/>
  <c r="E29" i="44"/>
  <c r="F29" i="44"/>
  <c r="G29" i="44"/>
  <c r="B30" i="44"/>
  <c r="C30" i="44"/>
  <c r="D30" i="44"/>
  <c r="E30" i="44"/>
  <c r="F30" i="44"/>
  <c r="G30" i="44"/>
  <c r="B31" i="44"/>
  <c r="C31" i="44"/>
  <c r="D31" i="44"/>
  <c r="E31" i="44"/>
  <c r="F31" i="44"/>
  <c r="G31" i="44"/>
  <c r="B32" i="44"/>
  <c r="C32" i="44"/>
  <c r="D32" i="44"/>
  <c r="E32" i="44"/>
  <c r="F32" i="44"/>
  <c r="G32" i="44"/>
  <c r="B33" i="44"/>
  <c r="C33" i="44"/>
  <c r="D33" i="44"/>
  <c r="E33" i="44"/>
  <c r="F33" i="44"/>
  <c r="G33" i="44"/>
  <c r="B34" i="44"/>
  <c r="C34" i="44"/>
  <c r="D34" i="44"/>
  <c r="E34" i="44"/>
  <c r="F34" i="44"/>
  <c r="G34" i="44"/>
  <c r="B37" i="44"/>
  <c r="C37" i="44"/>
  <c r="D37" i="44"/>
  <c r="E37" i="44"/>
  <c r="F37" i="44"/>
  <c r="G37" i="44"/>
  <c r="B38" i="44"/>
  <c r="C38" i="44"/>
  <c r="D38" i="44"/>
  <c r="E38" i="44"/>
  <c r="F38" i="44"/>
  <c r="G38" i="44"/>
  <c r="B39" i="44"/>
  <c r="C39" i="44"/>
  <c r="D39" i="44"/>
  <c r="E39" i="44"/>
  <c r="F39" i="44"/>
  <c r="G39" i="44"/>
  <c r="B40" i="44"/>
  <c r="C40" i="44"/>
  <c r="D40" i="44"/>
  <c r="E40" i="44"/>
  <c r="F40" i="44"/>
  <c r="G40" i="44"/>
  <c r="B41" i="44"/>
  <c r="C41" i="44"/>
  <c r="D41" i="44"/>
  <c r="E41" i="44"/>
  <c r="F41" i="44"/>
  <c r="G41" i="44"/>
  <c r="B54" i="44"/>
  <c r="B55" i="44"/>
  <c r="B56" i="44"/>
  <c r="B57" i="44"/>
  <c r="B58" i="44"/>
  <c r="B59" i="44"/>
  <c r="B62" i="44"/>
  <c r="B63" i="44"/>
  <c r="B64" i="44"/>
  <c r="B65" i="44"/>
  <c r="B66" i="44"/>
  <c r="H5" i="43"/>
  <c r="I5" i="43" s="1"/>
  <c r="H6" i="43"/>
  <c r="I6" i="43" s="1"/>
  <c r="H7" i="43"/>
  <c r="H8" i="43"/>
  <c r="I8" i="43" s="1"/>
  <c r="H9" i="43"/>
  <c r="I9" i="43" s="1"/>
  <c r="H10" i="43"/>
  <c r="I10" i="43" s="1"/>
  <c r="B11" i="43"/>
  <c r="C11" i="43"/>
  <c r="D11" i="43"/>
  <c r="E11" i="43"/>
  <c r="F11" i="43"/>
  <c r="G11" i="43"/>
  <c r="H13" i="43"/>
  <c r="H14" i="43"/>
  <c r="I14" i="43" s="1"/>
  <c r="H15" i="43"/>
  <c r="I15" i="43" s="1"/>
  <c r="H16" i="43"/>
  <c r="I16" i="43" s="1"/>
  <c r="H17" i="43"/>
  <c r="I17" i="43" s="1"/>
  <c r="B18" i="43"/>
  <c r="C18" i="43"/>
  <c r="D18" i="43"/>
  <c r="E18" i="43"/>
  <c r="F18" i="43"/>
  <c r="G18" i="43"/>
  <c r="B24" i="43"/>
  <c r="B47" i="18" s="1"/>
  <c r="B29" i="43"/>
  <c r="C29" i="43"/>
  <c r="D29" i="43"/>
  <c r="E29" i="43"/>
  <c r="F29" i="43"/>
  <c r="G29" i="43"/>
  <c r="B30" i="43"/>
  <c r="C30" i="43"/>
  <c r="D30" i="43"/>
  <c r="E30" i="43"/>
  <c r="F30" i="43"/>
  <c r="G30" i="43"/>
  <c r="B31" i="43"/>
  <c r="C31" i="43"/>
  <c r="D31" i="43"/>
  <c r="E31" i="43"/>
  <c r="F31" i="43"/>
  <c r="G31" i="43"/>
  <c r="B32" i="43"/>
  <c r="C32" i="43"/>
  <c r="D32" i="43"/>
  <c r="E32" i="43"/>
  <c r="F32" i="43"/>
  <c r="G32" i="43"/>
  <c r="B33" i="43"/>
  <c r="C33" i="43"/>
  <c r="D33" i="43"/>
  <c r="E33" i="43"/>
  <c r="F33" i="43"/>
  <c r="G33" i="43"/>
  <c r="B34" i="43"/>
  <c r="C34" i="43"/>
  <c r="D34" i="43"/>
  <c r="E34" i="43"/>
  <c r="F34" i="43"/>
  <c r="G34" i="43"/>
  <c r="B37" i="43"/>
  <c r="C37" i="43"/>
  <c r="D37" i="43"/>
  <c r="E37" i="43"/>
  <c r="F37" i="43"/>
  <c r="G37" i="43"/>
  <c r="B38" i="43"/>
  <c r="C38" i="43"/>
  <c r="D38" i="43"/>
  <c r="E38" i="43"/>
  <c r="F38" i="43"/>
  <c r="G38" i="43"/>
  <c r="B39" i="43"/>
  <c r="C39" i="43"/>
  <c r="D39" i="43"/>
  <c r="E39" i="43"/>
  <c r="F39" i="43"/>
  <c r="G39" i="43"/>
  <c r="B40" i="43"/>
  <c r="C40" i="43"/>
  <c r="D40" i="43"/>
  <c r="E40" i="43"/>
  <c r="F40" i="43"/>
  <c r="G40" i="43"/>
  <c r="B41" i="43"/>
  <c r="C41" i="43"/>
  <c r="D41" i="43"/>
  <c r="E41" i="43"/>
  <c r="F41" i="43"/>
  <c r="G41" i="43"/>
  <c r="B54" i="43"/>
  <c r="B55" i="43"/>
  <c r="B56" i="43"/>
  <c r="B57" i="43"/>
  <c r="B58" i="43"/>
  <c r="B59" i="43"/>
  <c r="B62" i="43"/>
  <c r="B63" i="43"/>
  <c r="B64" i="43"/>
  <c r="B65" i="43"/>
  <c r="B66" i="43"/>
  <c r="H5" i="42"/>
  <c r="I5" i="42" s="1"/>
  <c r="H6" i="42"/>
  <c r="H7" i="42"/>
  <c r="I7" i="42" s="1"/>
  <c r="H8" i="42"/>
  <c r="I8" i="42" s="1"/>
  <c r="H9" i="42"/>
  <c r="I9" i="42" s="1"/>
  <c r="H10" i="42"/>
  <c r="I10" i="42" s="1"/>
  <c r="B11" i="42"/>
  <c r="C11" i="42"/>
  <c r="D11" i="42"/>
  <c r="E11" i="42"/>
  <c r="F11" i="42"/>
  <c r="G11" i="42"/>
  <c r="H13" i="42"/>
  <c r="H14" i="42"/>
  <c r="I14" i="42" s="1"/>
  <c r="H15" i="42"/>
  <c r="I15" i="42" s="1"/>
  <c r="H16" i="42"/>
  <c r="I16" i="42" s="1"/>
  <c r="H17" i="42"/>
  <c r="I17" i="42" s="1"/>
  <c r="B18" i="42"/>
  <c r="C18" i="42"/>
  <c r="D18" i="42"/>
  <c r="E18" i="42"/>
  <c r="F18" i="42"/>
  <c r="G18" i="42"/>
  <c r="H20" i="42"/>
  <c r="I20" i="42" s="1"/>
  <c r="H21" i="42"/>
  <c r="I21" i="42" s="1"/>
  <c r="B22" i="42"/>
  <c r="C22" i="42"/>
  <c r="C46" i="42" s="1"/>
  <c r="D22" i="42"/>
  <c r="E22" i="42"/>
  <c r="F22" i="42"/>
  <c r="G22" i="42"/>
  <c r="B29" i="42"/>
  <c r="C29" i="42"/>
  <c r="D29" i="42"/>
  <c r="E29" i="42"/>
  <c r="F29" i="42"/>
  <c r="G29" i="42"/>
  <c r="B30" i="42"/>
  <c r="C30" i="42"/>
  <c r="D30" i="42"/>
  <c r="E30" i="42"/>
  <c r="F30" i="42"/>
  <c r="G30" i="42"/>
  <c r="H30" i="42" s="1"/>
  <c r="B31" i="42"/>
  <c r="C31" i="42"/>
  <c r="D31" i="42"/>
  <c r="E31" i="42"/>
  <c r="F31" i="42"/>
  <c r="G31" i="42"/>
  <c r="B32" i="42"/>
  <c r="C32" i="42"/>
  <c r="D32" i="42"/>
  <c r="E32" i="42"/>
  <c r="F32" i="42"/>
  <c r="G32" i="42"/>
  <c r="B33" i="42"/>
  <c r="C33" i="42"/>
  <c r="D33" i="42"/>
  <c r="E33" i="42"/>
  <c r="H33" i="42" s="1"/>
  <c r="F33" i="42"/>
  <c r="G33" i="42"/>
  <c r="B34" i="42"/>
  <c r="C34" i="42"/>
  <c r="D34" i="42"/>
  <c r="E34" i="42"/>
  <c r="F34" i="42"/>
  <c r="G34" i="42"/>
  <c r="B37" i="42"/>
  <c r="C37" i="42"/>
  <c r="D37" i="42"/>
  <c r="E37" i="42"/>
  <c r="F37" i="42"/>
  <c r="G37" i="42"/>
  <c r="B38" i="42"/>
  <c r="C38" i="42"/>
  <c r="D38" i="42"/>
  <c r="E38" i="42"/>
  <c r="F38" i="42"/>
  <c r="G38" i="42"/>
  <c r="B39" i="42"/>
  <c r="C39" i="42"/>
  <c r="D39" i="42"/>
  <c r="E39" i="42"/>
  <c r="F39" i="42"/>
  <c r="G39" i="42"/>
  <c r="B40" i="42"/>
  <c r="C40" i="42"/>
  <c r="D40" i="42"/>
  <c r="E40" i="42"/>
  <c r="F40" i="42"/>
  <c r="G40" i="42"/>
  <c r="B41" i="42"/>
  <c r="C41" i="42"/>
  <c r="D41" i="42"/>
  <c r="E41" i="42"/>
  <c r="F41" i="42"/>
  <c r="G41" i="42"/>
  <c r="B44" i="42"/>
  <c r="B46" i="42" s="1"/>
  <c r="E46" i="42" s="1"/>
  <c r="C44" i="42"/>
  <c r="H44" i="42" s="1"/>
  <c r="D44" i="42"/>
  <c r="E44" i="42"/>
  <c r="F44" i="42"/>
  <c r="G44" i="42"/>
  <c r="B45" i="42"/>
  <c r="C45" i="42"/>
  <c r="D45" i="42"/>
  <c r="E45" i="42"/>
  <c r="F45" i="42"/>
  <c r="G45" i="42"/>
  <c r="B54" i="42"/>
  <c r="B55" i="42"/>
  <c r="B56" i="42"/>
  <c r="B57" i="42"/>
  <c r="B58" i="42"/>
  <c r="B59" i="42"/>
  <c r="B60" i="42" s="1"/>
  <c r="B62" i="42"/>
  <c r="B63" i="42"/>
  <c r="B64" i="42"/>
  <c r="B65" i="42"/>
  <c r="B66" i="42"/>
  <c r="B69" i="42"/>
  <c r="B70" i="42"/>
  <c r="I5" i="41"/>
  <c r="I6" i="41"/>
  <c r="I7" i="41"/>
  <c r="I8" i="41"/>
  <c r="I9" i="41"/>
  <c r="I10" i="41"/>
  <c r="I11" i="41"/>
  <c r="I13" i="41"/>
  <c r="I14" i="41"/>
  <c r="I15" i="41"/>
  <c r="I16" i="41"/>
  <c r="I17" i="41"/>
  <c r="I18" i="41"/>
  <c r="I20" i="41"/>
  <c r="I21" i="41"/>
  <c r="I22" i="41"/>
  <c r="I24" i="41"/>
  <c r="H5" i="40"/>
  <c r="H6" i="40"/>
  <c r="G55" i="40" s="1"/>
  <c r="H7" i="40"/>
  <c r="H8" i="40"/>
  <c r="C57" i="40" s="1"/>
  <c r="H9" i="40"/>
  <c r="H10" i="40"/>
  <c r="G59" i="40" s="1"/>
  <c r="B11" i="40"/>
  <c r="C11" i="40"/>
  <c r="C35" i="40" s="1"/>
  <c r="D11" i="40"/>
  <c r="E11" i="40"/>
  <c r="F11" i="40"/>
  <c r="G11" i="40"/>
  <c r="H13" i="40"/>
  <c r="H14" i="40"/>
  <c r="G63" i="40" s="1"/>
  <c r="H15" i="40"/>
  <c r="C64" i="40" s="1"/>
  <c r="H16" i="40"/>
  <c r="H17" i="40"/>
  <c r="B18" i="40"/>
  <c r="C18" i="40"/>
  <c r="D18" i="40"/>
  <c r="E18" i="40"/>
  <c r="F18" i="40"/>
  <c r="G18" i="40"/>
  <c r="H20" i="40"/>
  <c r="H21" i="40"/>
  <c r="E70" i="40" s="1"/>
  <c r="B22" i="40"/>
  <c r="C22" i="40"/>
  <c r="D22" i="40"/>
  <c r="E22" i="40"/>
  <c r="F22" i="40"/>
  <c r="G22" i="40"/>
  <c r="C29" i="40"/>
  <c r="D29" i="40"/>
  <c r="E29" i="40"/>
  <c r="F29" i="40"/>
  <c r="G29" i="40"/>
  <c r="C30" i="40"/>
  <c r="D30" i="40"/>
  <c r="E30" i="40"/>
  <c r="F30" i="40"/>
  <c r="G30" i="40"/>
  <c r="C31" i="40"/>
  <c r="D31" i="40"/>
  <c r="E31" i="40"/>
  <c r="F31" i="40"/>
  <c r="G31" i="40"/>
  <c r="C32" i="40"/>
  <c r="D32" i="40"/>
  <c r="E32" i="40"/>
  <c r="F32" i="40"/>
  <c r="G32" i="40"/>
  <c r="C33" i="40"/>
  <c r="D33" i="40"/>
  <c r="E33" i="40"/>
  <c r="F33" i="40"/>
  <c r="G33" i="40"/>
  <c r="C34" i="40"/>
  <c r="D34" i="40"/>
  <c r="E34" i="40"/>
  <c r="F34" i="40"/>
  <c r="G34" i="40"/>
  <c r="C37" i="40"/>
  <c r="D37" i="40"/>
  <c r="E37" i="40"/>
  <c r="F37" i="40"/>
  <c r="G37" i="40"/>
  <c r="C38" i="40"/>
  <c r="D38" i="40"/>
  <c r="E38" i="40"/>
  <c r="F38" i="40"/>
  <c r="G38" i="40"/>
  <c r="H38" i="40"/>
  <c r="C39" i="40"/>
  <c r="D39" i="40"/>
  <c r="E39" i="40"/>
  <c r="F39" i="40"/>
  <c r="G39" i="40"/>
  <c r="C40" i="40"/>
  <c r="D40" i="40"/>
  <c r="E40" i="40"/>
  <c r="F40" i="40"/>
  <c r="G40" i="40"/>
  <c r="C41" i="40"/>
  <c r="D41" i="40"/>
  <c r="E41" i="40"/>
  <c r="F41" i="40"/>
  <c r="G41" i="40"/>
  <c r="C44" i="40"/>
  <c r="D44" i="40"/>
  <c r="E44" i="40"/>
  <c r="F44" i="40"/>
  <c r="G44" i="40"/>
  <c r="C45" i="40"/>
  <c r="D45" i="40"/>
  <c r="E45" i="40"/>
  <c r="F45" i="40"/>
  <c r="G45" i="40"/>
  <c r="C54" i="40"/>
  <c r="C62" i="40"/>
  <c r="G62" i="40"/>
  <c r="C63" i="40"/>
  <c r="E63" i="40"/>
  <c r="G64" i="40"/>
  <c r="C66" i="40"/>
  <c r="G66" i="40"/>
  <c r="I5" i="39"/>
  <c r="I6" i="39"/>
  <c r="I7" i="39"/>
  <c r="I8" i="39"/>
  <c r="I9" i="39"/>
  <c r="I10" i="39"/>
  <c r="I11" i="39"/>
  <c r="I13" i="39"/>
  <c r="I14" i="39"/>
  <c r="I15" i="39"/>
  <c r="I16" i="39"/>
  <c r="I17" i="39"/>
  <c r="I18" i="39"/>
  <c r="I20" i="39"/>
  <c r="I21" i="39"/>
  <c r="I22" i="39"/>
  <c r="I24" i="39"/>
  <c r="H5" i="38"/>
  <c r="I5" i="38" s="1"/>
  <c r="H6" i="38"/>
  <c r="I6" i="38" s="1"/>
  <c r="H7" i="38"/>
  <c r="I7" i="38" s="1"/>
  <c r="H8" i="38"/>
  <c r="I8" i="38" s="1"/>
  <c r="H9" i="38"/>
  <c r="I9" i="38" s="1"/>
  <c r="H10" i="38"/>
  <c r="I10" i="38" s="1"/>
  <c r="B11" i="38"/>
  <c r="C11" i="38"/>
  <c r="D11" i="38"/>
  <c r="E11" i="38"/>
  <c r="F11" i="38"/>
  <c r="G11" i="38"/>
  <c r="H13" i="38"/>
  <c r="I13" i="38" s="1"/>
  <c r="H14" i="38"/>
  <c r="I14" i="38" s="1"/>
  <c r="H15" i="38"/>
  <c r="I15" i="38" s="1"/>
  <c r="H16" i="38"/>
  <c r="I16" i="38" s="1"/>
  <c r="H17" i="38"/>
  <c r="I17" i="38" s="1"/>
  <c r="B18" i="38"/>
  <c r="C18" i="38"/>
  <c r="D18" i="38"/>
  <c r="E18" i="38"/>
  <c r="F18" i="38"/>
  <c r="G18" i="38"/>
  <c r="H20" i="38"/>
  <c r="H21" i="38"/>
  <c r="I21" i="38" s="1"/>
  <c r="B22" i="38"/>
  <c r="C22" i="38"/>
  <c r="D22" i="38"/>
  <c r="E22" i="38"/>
  <c r="F22" i="38"/>
  <c r="G22" i="38"/>
  <c r="I5" i="37"/>
  <c r="I6" i="37"/>
  <c r="I7" i="37"/>
  <c r="I8" i="37"/>
  <c r="I9" i="37"/>
  <c r="I10" i="37"/>
  <c r="I11" i="37"/>
  <c r="I13" i="37"/>
  <c r="I14" i="37"/>
  <c r="I15" i="37"/>
  <c r="I16" i="37"/>
  <c r="I17" i="37"/>
  <c r="I18" i="37"/>
  <c r="I20" i="37"/>
  <c r="I21" i="37"/>
  <c r="I22" i="37"/>
  <c r="I24" i="37"/>
  <c r="I5" i="36"/>
  <c r="I6" i="36"/>
  <c r="I7" i="36"/>
  <c r="I8" i="36"/>
  <c r="I9" i="36"/>
  <c r="I10" i="36"/>
  <c r="I11" i="36"/>
  <c r="I13" i="36"/>
  <c r="I14" i="36"/>
  <c r="I15" i="36"/>
  <c r="I16" i="36"/>
  <c r="I17" i="36"/>
  <c r="I18" i="36"/>
  <c r="I20" i="36"/>
  <c r="I21" i="36"/>
  <c r="I22" i="36"/>
  <c r="I24" i="36"/>
  <c r="I4" i="35"/>
  <c r="I5" i="35"/>
  <c r="I6" i="35"/>
  <c r="I7" i="35"/>
  <c r="I8" i="35"/>
  <c r="I9" i="35"/>
  <c r="I10" i="35"/>
  <c r="I13" i="35"/>
  <c r="I14" i="35"/>
  <c r="I15" i="35"/>
  <c r="I16" i="35"/>
  <c r="I17" i="35"/>
  <c r="I18" i="35"/>
  <c r="I21" i="35"/>
  <c r="I22" i="35"/>
  <c r="I23" i="35"/>
  <c r="I25" i="35"/>
  <c r="H4" i="34"/>
  <c r="E58" i="34" s="1"/>
  <c r="H5" i="34"/>
  <c r="G59" i="34" s="1"/>
  <c r="H6" i="34"/>
  <c r="E60" i="34" s="1"/>
  <c r="H7" i="34"/>
  <c r="H8" i="34"/>
  <c r="E62" i="34" s="1"/>
  <c r="H9" i="34"/>
  <c r="B10" i="34"/>
  <c r="C10" i="34"/>
  <c r="D10" i="34"/>
  <c r="E10" i="34"/>
  <c r="F10" i="34"/>
  <c r="G10" i="34"/>
  <c r="G25" i="34" s="1"/>
  <c r="H56" i="18" s="1"/>
  <c r="H13" i="34"/>
  <c r="C67" i="34" s="1"/>
  <c r="H14" i="34"/>
  <c r="H15" i="34"/>
  <c r="I15" i="34" s="1"/>
  <c r="H16" i="34"/>
  <c r="I16" i="34" s="1"/>
  <c r="H17" i="34"/>
  <c r="E71" i="34" s="1"/>
  <c r="B18" i="34"/>
  <c r="C18" i="34"/>
  <c r="D18" i="34"/>
  <c r="H18" i="34" s="1"/>
  <c r="E18" i="34"/>
  <c r="F18" i="34"/>
  <c r="G18" i="34"/>
  <c r="H21" i="34"/>
  <c r="H22" i="34"/>
  <c r="B23" i="34"/>
  <c r="C23" i="34"/>
  <c r="D23" i="34"/>
  <c r="E23" i="34"/>
  <c r="F23" i="34"/>
  <c r="G23" i="34"/>
  <c r="C30" i="34"/>
  <c r="D30" i="34"/>
  <c r="E30" i="34"/>
  <c r="F30" i="34"/>
  <c r="G30" i="34"/>
  <c r="C31" i="34"/>
  <c r="D31" i="34"/>
  <c r="E31" i="34"/>
  <c r="F31" i="34"/>
  <c r="G31" i="34"/>
  <c r="C32" i="34"/>
  <c r="D32" i="34"/>
  <c r="E32" i="34"/>
  <c r="F32" i="34"/>
  <c r="G32" i="34"/>
  <c r="C33" i="34"/>
  <c r="D33" i="34"/>
  <c r="E33" i="34"/>
  <c r="F33" i="34"/>
  <c r="G33" i="34"/>
  <c r="C34" i="34"/>
  <c r="D34" i="34"/>
  <c r="E34" i="34"/>
  <c r="F34" i="34"/>
  <c r="G34" i="34"/>
  <c r="C35" i="34"/>
  <c r="D35" i="34"/>
  <c r="E35" i="34"/>
  <c r="F35" i="34"/>
  <c r="G35" i="34"/>
  <c r="B36" i="34"/>
  <c r="C39" i="34"/>
  <c r="D39" i="34"/>
  <c r="E39" i="34"/>
  <c r="F39" i="34"/>
  <c r="G39" i="34"/>
  <c r="C40" i="34"/>
  <c r="H40" i="34" s="1"/>
  <c r="D40" i="34"/>
  <c r="E40" i="34"/>
  <c r="F40" i="34"/>
  <c r="G40" i="34"/>
  <c r="C41" i="34"/>
  <c r="D41" i="34"/>
  <c r="E41" i="34"/>
  <c r="F41" i="34"/>
  <c r="G41" i="34"/>
  <c r="C42" i="34"/>
  <c r="D42" i="34"/>
  <c r="E42" i="34"/>
  <c r="F42" i="34"/>
  <c r="G42" i="34"/>
  <c r="C43" i="34"/>
  <c r="D43" i="34"/>
  <c r="E43" i="34"/>
  <c r="F43" i="34"/>
  <c r="G43" i="34"/>
  <c r="B44" i="34"/>
  <c r="C47" i="34"/>
  <c r="D47" i="34"/>
  <c r="E47" i="34"/>
  <c r="F47" i="34"/>
  <c r="G47" i="34"/>
  <c r="C48" i="34"/>
  <c r="D48" i="34"/>
  <c r="E48" i="34"/>
  <c r="F48" i="34"/>
  <c r="G48" i="34"/>
  <c r="B49" i="34"/>
  <c r="C61" i="34"/>
  <c r="G63" i="34"/>
  <c r="C69" i="34"/>
  <c r="E69" i="34"/>
  <c r="G69" i="34"/>
  <c r="E76" i="34"/>
  <c r="H4" i="33"/>
  <c r="E58" i="33" s="1"/>
  <c r="H5" i="33"/>
  <c r="H6" i="33"/>
  <c r="F60" i="33" s="1"/>
  <c r="H7" i="33"/>
  <c r="H8" i="33"/>
  <c r="D62" i="33" s="1"/>
  <c r="H9" i="33"/>
  <c r="B10" i="33"/>
  <c r="C10" i="33"/>
  <c r="D10" i="33"/>
  <c r="E10" i="33"/>
  <c r="F10" i="33"/>
  <c r="G10" i="33"/>
  <c r="H13" i="33"/>
  <c r="H14" i="33"/>
  <c r="C68" i="33" s="1"/>
  <c r="H15" i="33"/>
  <c r="H16" i="33"/>
  <c r="F70" i="33" s="1"/>
  <c r="H17" i="33"/>
  <c r="B18" i="33"/>
  <c r="B72" i="33" s="1"/>
  <c r="C18" i="33"/>
  <c r="D18" i="33"/>
  <c r="E18" i="33"/>
  <c r="F18" i="33"/>
  <c r="G18" i="33"/>
  <c r="H21" i="33"/>
  <c r="H22" i="33"/>
  <c r="E76" i="33" s="1"/>
  <c r="B23" i="33"/>
  <c r="C23" i="33"/>
  <c r="D23" i="33"/>
  <c r="E23" i="33"/>
  <c r="F23" i="33"/>
  <c r="G23" i="33"/>
  <c r="B30" i="33"/>
  <c r="B31" i="33"/>
  <c r="B32" i="33"/>
  <c r="B33" i="33"/>
  <c r="B34" i="33"/>
  <c r="B35" i="33"/>
  <c r="B39" i="33"/>
  <c r="G39" i="33" s="1"/>
  <c r="B40" i="33"/>
  <c r="D40" i="33" s="1"/>
  <c r="B41" i="33"/>
  <c r="B42" i="33"/>
  <c r="B43" i="33"/>
  <c r="B47" i="33"/>
  <c r="G47" i="33" s="1"/>
  <c r="E47" i="33"/>
  <c r="B48" i="33"/>
  <c r="B58" i="33"/>
  <c r="B59" i="33"/>
  <c r="B60" i="33"/>
  <c r="B61" i="33"/>
  <c r="B62" i="33"/>
  <c r="B63" i="33"/>
  <c r="B67" i="33"/>
  <c r="B68" i="33"/>
  <c r="B69" i="33"/>
  <c r="B70" i="33"/>
  <c r="B71" i="33"/>
  <c r="G75" i="33"/>
  <c r="H4" i="48"/>
  <c r="D58" i="48" s="1"/>
  <c r="H5" i="48"/>
  <c r="D59" i="48" s="1"/>
  <c r="H6" i="48"/>
  <c r="H7" i="48"/>
  <c r="H8" i="48"/>
  <c r="I8" i="48" s="1"/>
  <c r="H9" i="48"/>
  <c r="C63" i="48" s="1"/>
  <c r="B10" i="48"/>
  <c r="C10" i="48"/>
  <c r="D10" i="48"/>
  <c r="E10" i="48"/>
  <c r="F10" i="48"/>
  <c r="G10" i="48"/>
  <c r="H13" i="48"/>
  <c r="H14" i="48"/>
  <c r="H15" i="48"/>
  <c r="D69" i="48" s="1"/>
  <c r="H16" i="48"/>
  <c r="F70" i="48" s="1"/>
  <c r="H17" i="48"/>
  <c r="C71" i="48" s="1"/>
  <c r="B18" i="48"/>
  <c r="B72" i="48" s="1"/>
  <c r="C18" i="48"/>
  <c r="D18" i="48"/>
  <c r="E18" i="48"/>
  <c r="F18" i="48"/>
  <c r="G18" i="48"/>
  <c r="H21" i="48"/>
  <c r="H22" i="48"/>
  <c r="I22" i="48" s="1"/>
  <c r="B23" i="48"/>
  <c r="C23" i="48"/>
  <c r="D23" i="48"/>
  <c r="E23" i="48"/>
  <c r="F23" i="48"/>
  <c r="G23" i="48"/>
  <c r="B29" i="48"/>
  <c r="B30" i="48"/>
  <c r="E30" i="48" s="1"/>
  <c r="B31" i="48"/>
  <c r="B32" i="48"/>
  <c r="E32" i="48" s="1"/>
  <c r="B33" i="48"/>
  <c r="D33" i="48" s="1"/>
  <c r="B34" i="48"/>
  <c r="C34" i="48" s="1"/>
  <c r="B35" i="48"/>
  <c r="D35" i="48" s="1"/>
  <c r="B39" i="48"/>
  <c r="D39" i="48" s="1"/>
  <c r="B40" i="48"/>
  <c r="E40" i="48" s="1"/>
  <c r="B41" i="48"/>
  <c r="D41" i="48" s="1"/>
  <c r="B42" i="48"/>
  <c r="E42" i="48" s="1"/>
  <c r="B43" i="48"/>
  <c r="B47" i="48"/>
  <c r="B48" i="48"/>
  <c r="B57" i="48"/>
  <c r="B58" i="48"/>
  <c r="B59" i="48"/>
  <c r="B60" i="48"/>
  <c r="F60" i="48"/>
  <c r="B61" i="48"/>
  <c r="B62" i="48"/>
  <c r="C62" i="48"/>
  <c r="E62" i="48"/>
  <c r="G62" i="48"/>
  <c r="B63" i="48"/>
  <c r="B67" i="48"/>
  <c r="F67" i="48"/>
  <c r="B68" i="48"/>
  <c r="D68" i="48"/>
  <c r="B69" i="48"/>
  <c r="B70" i="48"/>
  <c r="B71" i="48"/>
  <c r="H4" i="54"/>
  <c r="F58" i="54" s="1"/>
  <c r="H5" i="54"/>
  <c r="E59" i="54" s="1"/>
  <c r="H6" i="54"/>
  <c r="H7" i="54"/>
  <c r="H8" i="54"/>
  <c r="H9" i="54"/>
  <c r="H13" i="54"/>
  <c r="H14" i="54"/>
  <c r="H15" i="54"/>
  <c r="I15" i="54" s="1"/>
  <c r="H16" i="54"/>
  <c r="G70" i="54" s="1"/>
  <c r="H17" i="54"/>
  <c r="H21" i="54"/>
  <c r="H22" i="54"/>
  <c r="B29" i="54"/>
  <c r="B30" i="54"/>
  <c r="B31" i="54"/>
  <c r="B32" i="54"/>
  <c r="F32" i="54" s="1"/>
  <c r="D32" i="54"/>
  <c r="B33" i="54"/>
  <c r="B34" i="54"/>
  <c r="B35" i="54"/>
  <c r="B39" i="54"/>
  <c r="F39" i="54" s="1"/>
  <c r="B40" i="54"/>
  <c r="B41" i="54"/>
  <c r="B42" i="54"/>
  <c r="D42" i="54" s="1"/>
  <c r="B43" i="54"/>
  <c r="D43" i="54" s="1"/>
  <c r="B47" i="54"/>
  <c r="B48" i="54"/>
  <c r="B58" i="54"/>
  <c r="E58" i="54"/>
  <c r="B59" i="54"/>
  <c r="F59" i="54"/>
  <c r="G59" i="54"/>
  <c r="B60" i="54"/>
  <c r="C60" i="54"/>
  <c r="G60" i="54"/>
  <c r="B61" i="54"/>
  <c r="B62" i="54"/>
  <c r="B63" i="54"/>
  <c r="B67" i="54"/>
  <c r="E67" i="54"/>
  <c r="F67" i="54"/>
  <c r="G67" i="54"/>
  <c r="B68" i="54"/>
  <c r="G68" i="54"/>
  <c r="B69" i="54"/>
  <c r="C69" i="54"/>
  <c r="D69" i="54"/>
  <c r="E69" i="54"/>
  <c r="F69" i="54"/>
  <c r="G69" i="54"/>
  <c r="B70" i="54"/>
  <c r="E70" i="54"/>
  <c r="F70" i="54"/>
  <c r="B71" i="54"/>
  <c r="B75" i="54"/>
  <c r="B76" i="54"/>
  <c r="H4" i="59"/>
  <c r="E58" i="59" s="1"/>
  <c r="H5" i="59"/>
  <c r="H6" i="59"/>
  <c r="C60" i="59" s="1"/>
  <c r="H7" i="59"/>
  <c r="H8" i="59"/>
  <c r="E62" i="59" s="1"/>
  <c r="H9" i="59"/>
  <c r="H13" i="59"/>
  <c r="H14" i="59"/>
  <c r="E68" i="59" s="1"/>
  <c r="H15" i="59"/>
  <c r="H16" i="59"/>
  <c r="C70" i="59" s="1"/>
  <c r="H17" i="59"/>
  <c r="H21" i="59"/>
  <c r="C75" i="59" s="1"/>
  <c r="H22" i="59"/>
  <c r="G76" i="59" s="1"/>
  <c r="B29" i="59"/>
  <c r="B57" i="59" s="1"/>
  <c r="B30" i="59"/>
  <c r="B31" i="59"/>
  <c r="B32" i="59"/>
  <c r="G32" i="59" s="1"/>
  <c r="B33" i="59"/>
  <c r="B34" i="59"/>
  <c r="D34" i="59" s="1"/>
  <c r="B35" i="59"/>
  <c r="D35" i="59" s="1"/>
  <c r="B39" i="59"/>
  <c r="B40" i="59"/>
  <c r="B41" i="59"/>
  <c r="B42" i="59"/>
  <c r="D42" i="59" s="1"/>
  <c r="B43" i="59"/>
  <c r="B47" i="59"/>
  <c r="B48" i="59"/>
  <c r="C57" i="59"/>
  <c r="D57" i="59"/>
  <c r="E57" i="59"/>
  <c r="F57" i="59"/>
  <c r="G57" i="59"/>
  <c r="H57" i="59"/>
  <c r="B58" i="59"/>
  <c r="B59" i="59"/>
  <c r="C59" i="59"/>
  <c r="D59" i="59"/>
  <c r="E59" i="59"/>
  <c r="F59" i="59"/>
  <c r="G59" i="59"/>
  <c r="B60" i="59"/>
  <c r="B61" i="59"/>
  <c r="B62" i="59"/>
  <c r="B63" i="59"/>
  <c r="B67" i="59"/>
  <c r="B68" i="59"/>
  <c r="B69" i="59"/>
  <c r="D69" i="59"/>
  <c r="B70" i="59"/>
  <c r="B71" i="59"/>
  <c r="F71" i="59"/>
  <c r="B72" i="59"/>
  <c r="B75" i="59"/>
  <c r="E75" i="59"/>
  <c r="G75" i="59"/>
  <c r="B76" i="59"/>
  <c r="C28" i="63"/>
  <c r="D28" i="63"/>
  <c r="E28" i="63"/>
  <c r="F28" i="63"/>
  <c r="G28" i="63"/>
  <c r="H28" i="63"/>
  <c r="C29" i="63"/>
  <c r="D29" i="63"/>
  <c r="E29" i="63"/>
  <c r="F29" i="63"/>
  <c r="G29" i="63"/>
  <c r="H29" i="63"/>
  <c r="C30" i="63"/>
  <c r="D30" i="63"/>
  <c r="E30" i="63"/>
  <c r="F30" i="63"/>
  <c r="G30" i="63"/>
  <c r="H30" i="63"/>
  <c r="C31" i="63"/>
  <c r="D31" i="63"/>
  <c r="D57" i="63" s="1"/>
  <c r="E31" i="63"/>
  <c r="E57" i="63" s="1"/>
  <c r="F31" i="63"/>
  <c r="F57" i="63" s="1"/>
  <c r="G31" i="63"/>
  <c r="G57" i="63" s="1"/>
  <c r="H31" i="63"/>
  <c r="C32" i="63"/>
  <c r="D32" i="63"/>
  <c r="E32" i="63"/>
  <c r="F32" i="63"/>
  <c r="G32" i="63"/>
  <c r="H32" i="63"/>
  <c r="C33" i="63"/>
  <c r="D33" i="63"/>
  <c r="E33" i="63"/>
  <c r="F33" i="63"/>
  <c r="G33" i="63"/>
  <c r="H33" i="63"/>
  <c r="D59" i="63" s="1"/>
  <c r="C34" i="63"/>
  <c r="D34" i="63"/>
  <c r="E34" i="63"/>
  <c r="F34" i="63"/>
  <c r="G34" i="63"/>
  <c r="H34" i="63"/>
  <c r="C36" i="63"/>
  <c r="C62" i="63" s="1"/>
  <c r="D36" i="63"/>
  <c r="D62" i="63" s="1"/>
  <c r="E36" i="63"/>
  <c r="F36" i="63"/>
  <c r="F62" i="63" s="1"/>
  <c r="G36" i="63"/>
  <c r="G62" i="63" s="1"/>
  <c r="H36" i="63"/>
  <c r="C37" i="63"/>
  <c r="D37" i="63"/>
  <c r="E37" i="63"/>
  <c r="F37" i="63"/>
  <c r="G37" i="63"/>
  <c r="H37" i="63"/>
  <c r="C38" i="63"/>
  <c r="D38" i="63"/>
  <c r="E38" i="63"/>
  <c r="F38" i="63"/>
  <c r="G38" i="63"/>
  <c r="H38" i="63"/>
  <c r="H64" i="63" s="1"/>
  <c r="C39" i="63"/>
  <c r="D39" i="63"/>
  <c r="E39" i="63"/>
  <c r="F39" i="63"/>
  <c r="G39" i="63"/>
  <c r="H39" i="63"/>
  <c r="H65" i="63" s="1"/>
  <c r="C40" i="63"/>
  <c r="D40" i="63"/>
  <c r="E40" i="63"/>
  <c r="F40" i="63"/>
  <c r="G40" i="63"/>
  <c r="G66" i="63" s="1"/>
  <c r="H40" i="63"/>
  <c r="C41" i="63"/>
  <c r="D41" i="63"/>
  <c r="E41" i="63"/>
  <c r="F41" i="63"/>
  <c r="G41" i="63"/>
  <c r="H41" i="63"/>
  <c r="H67" i="63" s="1"/>
  <c r="C43" i="63"/>
  <c r="D43" i="63"/>
  <c r="E43" i="63"/>
  <c r="F43" i="63"/>
  <c r="G43" i="63"/>
  <c r="G69" i="63" s="1"/>
  <c r="H43" i="63"/>
  <c r="H69" i="63" s="1"/>
  <c r="C44" i="63"/>
  <c r="D44" i="63"/>
  <c r="E44" i="63"/>
  <c r="F44" i="63"/>
  <c r="G44" i="63"/>
  <c r="H44" i="63"/>
  <c r="C45" i="63"/>
  <c r="C71" i="63" s="1"/>
  <c r="D45" i="63"/>
  <c r="D71" i="63" s="1"/>
  <c r="E45" i="63"/>
  <c r="E71" i="63" s="1"/>
  <c r="F45" i="63"/>
  <c r="G45" i="63"/>
  <c r="H45" i="63"/>
  <c r="C47" i="63"/>
  <c r="D47" i="63"/>
  <c r="D73" i="63" s="1"/>
  <c r="E47" i="63"/>
  <c r="E73" i="63" s="1"/>
  <c r="F47" i="63"/>
  <c r="F73" i="63" s="1"/>
  <c r="G47" i="63"/>
  <c r="H47" i="63"/>
  <c r="H57" i="63"/>
  <c r="H62" i="63"/>
  <c r="D64" i="63"/>
  <c r="F71" i="63"/>
  <c r="H71" i="63"/>
  <c r="H73" i="63"/>
  <c r="K4" i="32"/>
  <c r="D52" i="32" s="1"/>
  <c r="K5" i="32"/>
  <c r="K6" i="32"/>
  <c r="D54" i="32" s="1"/>
  <c r="K7" i="32"/>
  <c r="H55" i="32" s="1"/>
  <c r="K8" i="32"/>
  <c r="D56" i="32" s="1"/>
  <c r="K9" i="32"/>
  <c r="B10" i="32"/>
  <c r="B11" i="16" s="1"/>
  <c r="C10" i="32"/>
  <c r="D10" i="32"/>
  <c r="E10" i="32"/>
  <c r="F10" i="32"/>
  <c r="G10" i="32"/>
  <c r="H10" i="32"/>
  <c r="I10" i="32"/>
  <c r="J10" i="32"/>
  <c r="K12" i="32"/>
  <c r="K13" i="32"/>
  <c r="D62" i="32" s="1"/>
  <c r="K14" i="32"/>
  <c r="H63" i="32" s="1"/>
  <c r="K15" i="32"/>
  <c r="K16" i="32"/>
  <c r="L16" i="32" s="1"/>
  <c r="B17" i="32"/>
  <c r="C17" i="32"/>
  <c r="D17" i="32"/>
  <c r="E17" i="32"/>
  <c r="F17" i="32"/>
  <c r="G17" i="32"/>
  <c r="H17" i="32"/>
  <c r="I17" i="32"/>
  <c r="J17" i="32"/>
  <c r="B21" i="32"/>
  <c r="C21" i="32"/>
  <c r="D21" i="32"/>
  <c r="E21" i="32"/>
  <c r="F21" i="32"/>
  <c r="G21" i="32"/>
  <c r="H21" i="32"/>
  <c r="I21" i="32"/>
  <c r="J21" i="32"/>
  <c r="K21" i="32"/>
  <c r="B28" i="32"/>
  <c r="B29" i="32"/>
  <c r="J29" i="32" s="1"/>
  <c r="B30" i="32"/>
  <c r="D30" i="32" s="1"/>
  <c r="B31" i="32"/>
  <c r="B32" i="32"/>
  <c r="J32" i="32" s="1"/>
  <c r="B33" i="32"/>
  <c r="B57" i="32" s="1"/>
  <c r="J33" i="32"/>
  <c r="B36" i="32"/>
  <c r="B37" i="32"/>
  <c r="F37" i="32" s="1"/>
  <c r="B38" i="32"/>
  <c r="J38" i="32" s="1"/>
  <c r="B39" i="32"/>
  <c r="B40" i="32"/>
  <c r="F40" i="32" s="1"/>
  <c r="F53" i="32"/>
  <c r="J53" i="32"/>
  <c r="B54" i="32"/>
  <c r="B56" i="32"/>
  <c r="B61" i="32"/>
  <c r="F61" i="32"/>
  <c r="G61" i="32"/>
  <c r="B62" i="32"/>
  <c r="B63" i="32"/>
  <c r="C63" i="32"/>
  <c r="D63" i="32"/>
  <c r="J63" i="32"/>
  <c r="K63" i="32"/>
  <c r="B64" i="32"/>
  <c r="B65" i="32"/>
  <c r="E65" i="32"/>
  <c r="K4" i="31"/>
  <c r="K5" i="31"/>
  <c r="D53" i="31" s="1"/>
  <c r="K6" i="31"/>
  <c r="K7" i="31"/>
  <c r="C55" i="31" s="1"/>
  <c r="K8" i="31"/>
  <c r="K9" i="31"/>
  <c r="B10" i="31"/>
  <c r="C10" i="31"/>
  <c r="D10" i="31"/>
  <c r="E10" i="31"/>
  <c r="F10" i="31"/>
  <c r="G10" i="31"/>
  <c r="G23" i="31" s="1"/>
  <c r="H5" i="18" s="1"/>
  <c r="H10" i="31"/>
  <c r="I10" i="31"/>
  <c r="J10" i="31"/>
  <c r="K12" i="31"/>
  <c r="F61" i="31" s="1"/>
  <c r="K13" i="31"/>
  <c r="K14" i="31"/>
  <c r="J63" i="31" s="1"/>
  <c r="K15" i="31"/>
  <c r="D64" i="31" s="1"/>
  <c r="K16" i="31"/>
  <c r="B17" i="31"/>
  <c r="C18" i="16" s="1"/>
  <c r="C17" i="31"/>
  <c r="D17" i="31"/>
  <c r="E17" i="31"/>
  <c r="F17" i="31"/>
  <c r="G17" i="31"/>
  <c r="H17" i="31"/>
  <c r="I17" i="31"/>
  <c r="I23" i="31" s="1"/>
  <c r="J17" i="31"/>
  <c r="B28" i="31"/>
  <c r="B29" i="31"/>
  <c r="B30" i="31"/>
  <c r="J30" i="31" s="1"/>
  <c r="B31" i="31"/>
  <c r="J31" i="31" s="1"/>
  <c r="B32" i="31"/>
  <c r="B33" i="31"/>
  <c r="B36" i="31"/>
  <c r="B37" i="31"/>
  <c r="J37" i="31" s="1"/>
  <c r="B38" i="31"/>
  <c r="B39" i="31"/>
  <c r="B40" i="31"/>
  <c r="F53" i="31"/>
  <c r="B61" i="31"/>
  <c r="B62" i="31"/>
  <c r="D62" i="31"/>
  <c r="B63" i="31"/>
  <c r="B64" i="31"/>
  <c r="B65" i="31"/>
  <c r="K4" i="30"/>
  <c r="E52" i="30" s="1"/>
  <c r="K5" i="30"/>
  <c r="K6" i="30"/>
  <c r="K7" i="30"/>
  <c r="K8" i="30"/>
  <c r="K9" i="30"/>
  <c r="B10" i="30"/>
  <c r="C10" i="30"/>
  <c r="D10" i="30"/>
  <c r="E10" i="30"/>
  <c r="F10" i="30"/>
  <c r="G10" i="30"/>
  <c r="H10" i="30"/>
  <c r="I10" i="30"/>
  <c r="J10" i="30"/>
  <c r="K12" i="30"/>
  <c r="K13" i="30"/>
  <c r="D62" i="30" s="1"/>
  <c r="K14" i="30"/>
  <c r="K15" i="30"/>
  <c r="J64" i="30" s="1"/>
  <c r="K16" i="30"/>
  <c r="B17" i="30"/>
  <c r="C17" i="30"/>
  <c r="D17" i="30"/>
  <c r="E17" i="30"/>
  <c r="F17" i="30"/>
  <c r="G17" i="30"/>
  <c r="H17" i="30"/>
  <c r="I17" i="30"/>
  <c r="J17" i="30"/>
  <c r="K19" i="30"/>
  <c r="K20" i="30"/>
  <c r="B21" i="30"/>
  <c r="D22" i="16" s="1"/>
  <c r="C21" i="30"/>
  <c r="D21" i="30"/>
  <c r="E21" i="30"/>
  <c r="F21" i="30"/>
  <c r="G21" i="30"/>
  <c r="H21" i="30"/>
  <c r="I21" i="30"/>
  <c r="J21" i="30"/>
  <c r="B28" i="30"/>
  <c r="B29" i="30"/>
  <c r="D29" i="30" s="1"/>
  <c r="B30" i="30"/>
  <c r="F30" i="30" s="1"/>
  <c r="B31" i="30"/>
  <c r="D31" i="30"/>
  <c r="B32" i="30"/>
  <c r="B33" i="30"/>
  <c r="G33" i="30"/>
  <c r="B36" i="30"/>
  <c r="F36" i="30" s="1"/>
  <c r="B37" i="30"/>
  <c r="D37" i="30" s="1"/>
  <c r="B38" i="30"/>
  <c r="B39" i="30"/>
  <c r="B40" i="30"/>
  <c r="F40" i="30" s="1"/>
  <c r="J40" i="30"/>
  <c r="B43" i="30"/>
  <c r="B44" i="30"/>
  <c r="G53" i="30"/>
  <c r="I53" i="30"/>
  <c r="K53" i="30"/>
  <c r="B57" i="30"/>
  <c r="B61" i="30"/>
  <c r="F61" i="30"/>
  <c r="B62" i="30"/>
  <c r="B63" i="30"/>
  <c r="C63" i="30"/>
  <c r="D63" i="30"/>
  <c r="E63" i="30"/>
  <c r="J63" i="30"/>
  <c r="K63" i="30"/>
  <c r="B64" i="30"/>
  <c r="B65" i="30"/>
  <c r="B69" i="30"/>
  <c r="B70" i="30"/>
  <c r="C70" i="30"/>
  <c r="L5" i="29"/>
  <c r="L6" i="29"/>
  <c r="L7" i="29"/>
  <c r="L8" i="29"/>
  <c r="L9" i="29"/>
  <c r="L10" i="29"/>
  <c r="L11" i="29"/>
  <c r="L13" i="29"/>
  <c r="L14" i="29"/>
  <c r="L15" i="29"/>
  <c r="L16" i="29"/>
  <c r="L17" i="29"/>
  <c r="L18" i="29"/>
  <c r="L20" i="29"/>
  <c r="L21" i="29"/>
  <c r="L22" i="29"/>
  <c r="L24" i="29"/>
  <c r="L4" i="28"/>
  <c r="L5" i="28"/>
  <c r="L6" i="28"/>
  <c r="L7" i="28"/>
  <c r="L8" i="28"/>
  <c r="L9" i="28"/>
  <c r="L10" i="28"/>
  <c r="L12" i="28"/>
  <c r="L13" i="28"/>
  <c r="L14" i="28"/>
  <c r="L15" i="28"/>
  <c r="L16" i="28"/>
  <c r="L17" i="28"/>
  <c r="L19" i="28"/>
  <c r="L20" i="28"/>
  <c r="L21" i="28"/>
  <c r="L23" i="28"/>
  <c r="L4" i="27"/>
  <c r="L5" i="27"/>
  <c r="L6" i="27"/>
  <c r="L7" i="27"/>
  <c r="L8" i="27"/>
  <c r="L9" i="27"/>
  <c r="L10" i="27"/>
  <c r="L12" i="27"/>
  <c r="L13" i="27"/>
  <c r="L14" i="27"/>
  <c r="L15" i="27"/>
  <c r="L16" i="27"/>
  <c r="L17" i="27"/>
  <c r="L19" i="27"/>
  <c r="L20" i="27"/>
  <c r="L21" i="27"/>
  <c r="L23" i="27"/>
  <c r="K5" i="26"/>
  <c r="L5" i="26" s="1"/>
  <c r="K6" i="26"/>
  <c r="L6" i="26" s="1"/>
  <c r="K7" i="26"/>
  <c r="L7" i="26" s="1"/>
  <c r="K8" i="26"/>
  <c r="L8" i="26" s="1"/>
  <c r="K9" i="26"/>
  <c r="L9" i="26" s="1"/>
  <c r="K10" i="26"/>
  <c r="L10" i="26" s="1"/>
  <c r="C11" i="26"/>
  <c r="D11" i="26"/>
  <c r="E11" i="26"/>
  <c r="F11" i="26"/>
  <c r="G11" i="26"/>
  <c r="H11" i="26"/>
  <c r="I11" i="26"/>
  <c r="J11" i="26"/>
  <c r="K13" i="26"/>
  <c r="L13" i="26" s="1"/>
  <c r="K14" i="26"/>
  <c r="L14" i="26" s="1"/>
  <c r="K15" i="26"/>
  <c r="L15" i="26" s="1"/>
  <c r="K16" i="26"/>
  <c r="L16" i="26" s="1"/>
  <c r="K17" i="26"/>
  <c r="L17" i="26" s="1"/>
  <c r="C18" i="26"/>
  <c r="D18" i="26"/>
  <c r="E18" i="26"/>
  <c r="F18" i="26"/>
  <c r="G18" i="26"/>
  <c r="H18" i="26"/>
  <c r="I18" i="26"/>
  <c r="J18" i="26"/>
  <c r="K20" i="26"/>
  <c r="L20" i="26" s="1"/>
  <c r="K21" i="26"/>
  <c r="L21" i="26" s="1"/>
  <c r="C22" i="26"/>
  <c r="D22" i="26"/>
  <c r="E22" i="26"/>
  <c r="F22" i="26"/>
  <c r="G22" i="26"/>
  <c r="H22" i="26"/>
  <c r="I22" i="26"/>
  <c r="B10" i="18"/>
  <c r="J22" i="26"/>
  <c r="L5" i="25"/>
  <c r="L6" i="25"/>
  <c r="L7" i="25"/>
  <c r="L8" i="25"/>
  <c r="L9" i="25"/>
  <c r="L10" i="25"/>
  <c r="L11" i="25"/>
  <c r="L13" i="25"/>
  <c r="L14" i="25"/>
  <c r="L15" i="25"/>
  <c r="L16" i="25"/>
  <c r="L17" i="25"/>
  <c r="L18" i="25"/>
  <c r="L20" i="25"/>
  <c r="L21" i="25"/>
  <c r="L22" i="25"/>
  <c r="L24" i="25"/>
  <c r="L5" i="24"/>
  <c r="L6" i="24"/>
  <c r="L7" i="24"/>
  <c r="L8" i="24"/>
  <c r="L9" i="24"/>
  <c r="L10" i="24"/>
  <c r="L11" i="24"/>
  <c r="L13" i="24"/>
  <c r="L14" i="24"/>
  <c r="L15" i="24"/>
  <c r="L16" i="24"/>
  <c r="L17" i="24"/>
  <c r="L18" i="24"/>
  <c r="L20" i="24"/>
  <c r="L21" i="24"/>
  <c r="L22" i="24"/>
  <c r="L24" i="24"/>
  <c r="L4" i="23"/>
  <c r="L5" i="23"/>
  <c r="L6" i="23"/>
  <c r="L7" i="23"/>
  <c r="L8" i="23"/>
  <c r="L9" i="23"/>
  <c r="L10" i="23"/>
  <c r="L12" i="23"/>
  <c r="L13" i="23"/>
  <c r="L14" i="23"/>
  <c r="L15" i="23"/>
  <c r="L16" i="23"/>
  <c r="L17" i="23"/>
  <c r="L19" i="23"/>
  <c r="L20" i="23"/>
  <c r="L21" i="23"/>
  <c r="L23" i="23"/>
  <c r="K4" i="22"/>
  <c r="K5" i="22"/>
  <c r="I53" i="22" s="1"/>
  <c r="K6" i="22"/>
  <c r="K7" i="22"/>
  <c r="K8" i="22"/>
  <c r="K9" i="22"/>
  <c r="B10" i="22"/>
  <c r="C10" i="22"/>
  <c r="D10" i="22"/>
  <c r="E10" i="22"/>
  <c r="F10" i="22"/>
  <c r="G10" i="22"/>
  <c r="H10" i="22"/>
  <c r="I10" i="22"/>
  <c r="J10" i="22"/>
  <c r="K12" i="22"/>
  <c r="K13" i="22"/>
  <c r="K14" i="22"/>
  <c r="F152" i="22" s="1"/>
  <c r="K15" i="22"/>
  <c r="G153" i="22" s="1"/>
  <c r="K16" i="22"/>
  <c r="B17" i="22"/>
  <c r="C17" i="22"/>
  <c r="D17" i="22"/>
  <c r="E17" i="22"/>
  <c r="F17" i="22"/>
  <c r="G17" i="22"/>
  <c r="H17" i="22"/>
  <c r="I17" i="22"/>
  <c r="J17" i="22"/>
  <c r="K19" i="22"/>
  <c r="K20" i="22"/>
  <c r="B21" i="22"/>
  <c r="L22" i="16" s="1"/>
  <c r="C21" i="22"/>
  <c r="D21" i="22"/>
  <c r="E21" i="22"/>
  <c r="F21" i="22"/>
  <c r="G21" i="22"/>
  <c r="H21" i="22"/>
  <c r="I21" i="22"/>
  <c r="J21" i="22"/>
  <c r="B28" i="22"/>
  <c r="H28" i="22" s="1"/>
  <c r="B29" i="22"/>
  <c r="F29" i="22" s="1"/>
  <c r="B30" i="22"/>
  <c r="B31" i="22"/>
  <c r="B32" i="22"/>
  <c r="J32" i="22" s="1"/>
  <c r="B33" i="22"/>
  <c r="C36" i="22"/>
  <c r="D36" i="22"/>
  <c r="E36" i="22"/>
  <c r="F36" i="22"/>
  <c r="G36" i="22"/>
  <c r="H36" i="22"/>
  <c r="I36" i="22"/>
  <c r="J36" i="22"/>
  <c r="C37" i="22"/>
  <c r="D37" i="22"/>
  <c r="E37" i="22"/>
  <c r="F37" i="22"/>
  <c r="G37" i="22"/>
  <c r="H37" i="22"/>
  <c r="I37" i="22"/>
  <c r="J37" i="22"/>
  <c r="C38" i="22"/>
  <c r="D38" i="22"/>
  <c r="E38" i="22"/>
  <c r="F38" i="22"/>
  <c r="G38" i="22"/>
  <c r="H38" i="22"/>
  <c r="I38" i="22"/>
  <c r="J38" i="22"/>
  <c r="C39" i="22"/>
  <c r="D39" i="22"/>
  <c r="E39" i="22"/>
  <c r="F39" i="22"/>
  <c r="G39" i="22"/>
  <c r="K39" i="22" s="1"/>
  <c r="L16" i="17" s="1"/>
  <c r="H39" i="22"/>
  <c r="I39" i="22"/>
  <c r="J39" i="22"/>
  <c r="C40" i="22"/>
  <c r="D40" i="22"/>
  <c r="E40" i="22"/>
  <c r="F40" i="22"/>
  <c r="G40" i="22"/>
  <c r="H40" i="22"/>
  <c r="I40" i="22"/>
  <c r="J40" i="22"/>
  <c r="B41" i="22"/>
  <c r="C43" i="22"/>
  <c r="D43" i="22"/>
  <c r="E43" i="22"/>
  <c r="F43" i="22"/>
  <c r="G43" i="22"/>
  <c r="H43" i="22"/>
  <c r="I43" i="22"/>
  <c r="J43" i="22"/>
  <c r="C44" i="22"/>
  <c r="D44" i="22"/>
  <c r="E44" i="22"/>
  <c r="F44" i="22"/>
  <c r="G44" i="22"/>
  <c r="H44" i="22"/>
  <c r="I44" i="22"/>
  <c r="J44" i="22"/>
  <c r="B45" i="22"/>
  <c r="B53" i="22"/>
  <c r="E53" i="22"/>
  <c r="G53" i="22"/>
  <c r="K53" i="22"/>
  <c r="D55" i="22"/>
  <c r="F55" i="22"/>
  <c r="H55" i="22"/>
  <c r="J55" i="22"/>
  <c r="C56" i="22"/>
  <c r="G56" i="22"/>
  <c r="K56" i="22"/>
  <c r="C57" i="22"/>
  <c r="E57" i="22"/>
  <c r="G57" i="22"/>
  <c r="I57" i="22"/>
  <c r="K57" i="22"/>
  <c r="E63" i="22"/>
  <c r="D64" i="22"/>
  <c r="C65" i="22"/>
  <c r="K65" i="22"/>
  <c r="B66" i="22"/>
  <c r="C69" i="22"/>
  <c r="E69" i="22"/>
  <c r="G69" i="22"/>
  <c r="I69" i="22"/>
  <c r="K69" i="22"/>
  <c r="D70" i="22"/>
  <c r="B71" i="22"/>
  <c r="K93" i="22"/>
  <c r="K94" i="22"/>
  <c r="K95" i="22"/>
  <c r="K96" i="22"/>
  <c r="K97" i="22"/>
  <c r="K145" i="22" s="1"/>
  <c r="K98" i="22"/>
  <c r="B99" i="22"/>
  <c r="C99" i="22"/>
  <c r="D99" i="22"/>
  <c r="E99" i="22"/>
  <c r="F99" i="22"/>
  <c r="G99" i="22"/>
  <c r="H99" i="22"/>
  <c r="I99" i="22"/>
  <c r="J99" i="22"/>
  <c r="K101" i="22"/>
  <c r="K102" i="22"/>
  <c r="K151" i="22" s="1"/>
  <c r="K103" i="22"/>
  <c r="K104" i="22"/>
  <c r="K105" i="22"/>
  <c r="B106" i="22"/>
  <c r="C106" i="22"/>
  <c r="D106" i="22"/>
  <c r="E106" i="22"/>
  <c r="E130" i="22" s="1"/>
  <c r="F106" i="22"/>
  <c r="G106" i="22"/>
  <c r="H106" i="22"/>
  <c r="I106" i="22"/>
  <c r="J106" i="22"/>
  <c r="K108" i="22"/>
  <c r="K109" i="22"/>
  <c r="B110" i="22"/>
  <c r="C110" i="22"/>
  <c r="D110" i="22"/>
  <c r="E110" i="22"/>
  <c r="F110" i="22"/>
  <c r="G110" i="22"/>
  <c r="H110" i="22"/>
  <c r="I110" i="22"/>
  <c r="J110" i="22"/>
  <c r="B117" i="22"/>
  <c r="J117" i="22" s="1"/>
  <c r="B118" i="22"/>
  <c r="D118" i="22" s="1"/>
  <c r="J118" i="22"/>
  <c r="B119" i="22"/>
  <c r="B120" i="22"/>
  <c r="J120" i="22" s="1"/>
  <c r="B121" i="22"/>
  <c r="B122" i="22"/>
  <c r="C125" i="22"/>
  <c r="D125" i="22"/>
  <c r="E125" i="22"/>
  <c r="F125" i="22"/>
  <c r="G125" i="22"/>
  <c r="H125" i="22"/>
  <c r="I125" i="22"/>
  <c r="J125" i="22"/>
  <c r="C126" i="22"/>
  <c r="D126" i="22"/>
  <c r="E126" i="22"/>
  <c r="F126" i="22"/>
  <c r="G126" i="22"/>
  <c r="H126" i="22"/>
  <c r="I126" i="22"/>
  <c r="K126" i="22" s="1"/>
  <c r="J126" i="22"/>
  <c r="C127" i="22"/>
  <c r="D127" i="22"/>
  <c r="E127" i="22"/>
  <c r="F127" i="22"/>
  <c r="G127" i="22"/>
  <c r="H127" i="22"/>
  <c r="I127" i="22"/>
  <c r="J127" i="22"/>
  <c r="C128" i="22"/>
  <c r="D128" i="22"/>
  <c r="E128" i="22"/>
  <c r="F128" i="22"/>
  <c r="G128" i="22"/>
  <c r="H128" i="22"/>
  <c r="I128" i="22"/>
  <c r="J128" i="22"/>
  <c r="C129" i="22"/>
  <c r="D129" i="22"/>
  <c r="E129" i="22"/>
  <c r="F129" i="22"/>
  <c r="G129" i="22"/>
  <c r="H129" i="22"/>
  <c r="I129" i="22"/>
  <c r="J129" i="22"/>
  <c r="B130" i="22"/>
  <c r="H130" i="22"/>
  <c r="J130" i="22"/>
  <c r="C132" i="22"/>
  <c r="D132" i="22"/>
  <c r="E132" i="22"/>
  <c r="F132" i="22"/>
  <c r="G132" i="22"/>
  <c r="H132" i="22"/>
  <c r="I132" i="22"/>
  <c r="J132" i="22"/>
  <c r="C133" i="22"/>
  <c r="D133" i="22"/>
  <c r="E133" i="22"/>
  <c r="F133" i="22"/>
  <c r="G133" i="22"/>
  <c r="H133" i="22"/>
  <c r="I133" i="22"/>
  <c r="J133" i="22"/>
  <c r="B134" i="22"/>
  <c r="E143" i="22"/>
  <c r="I143" i="22"/>
  <c r="D144" i="22"/>
  <c r="F144" i="22"/>
  <c r="H144" i="22"/>
  <c r="J144" i="22"/>
  <c r="C145" i="22"/>
  <c r="G145" i="22"/>
  <c r="D146" i="22"/>
  <c r="F146" i="22"/>
  <c r="H146" i="22"/>
  <c r="J146" i="22"/>
  <c r="I153" i="22"/>
  <c r="K153" i="22"/>
  <c r="H154" i="22"/>
  <c r="B155" i="22"/>
  <c r="C158" i="22"/>
  <c r="E158" i="22"/>
  <c r="G158" i="22"/>
  <c r="I158" i="22"/>
  <c r="B160" i="22"/>
  <c r="K4" i="21"/>
  <c r="L4" i="21" s="1"/>
  <c r="K5" i="21"/>
  <c r="K6" i="21"/>
  <c r="H54" i="21" s="1"/>
  <c r="K7" i="21"/>
  <c r="K8" i="21"/>
  <c r="K9" i="21"/>
  <c r="G57" i="21" s="1"/>
  <c r="B10" i="21"/>
  <c r="C10" i="21"/>
  <c r="D10" i="21"/>
  <c r="E10" i="21"/>
  <c r="F10" i="21"/>
  <c r="G10" i="21"/>
  <c r="H10" i="21"/>
  <c r="I10" i="21"/>
  <c r="J10" i="21"/>
  <c r="K12" i="21"/>
  <c r="K13" i="21"/>
  <c r="J62" i="21" s="1"/>
  <c r="K14" i="21"/>
  <c r="K15" i="21"/>
  <c r="K16" i="21"/>
  <c r="B17" i="21"/>
  <c r="M18" i="16" s="1"/>
  <c r="C17" i="21"/>
  <c r="D17" i="21"/>
  <c r="D23" i="21" s="1"/>
  <c r="E17" i="21"/>
  <c r="F17" i="21"/>
  <c r="G17" i="21"/>
  <c r="H17" i="21"/>
  <c r="I17" i="21"/>
  <c r="J17" i="21"/>
  <c r="K19" i="21"/>
  <c r="G69" i="21" s="1"/>
  <c r="K20" i="21"/>
  <c r="B21" i="21"/>
  <c r="C21" i="21"/>
  <c r="D21" i="21"/>
  <c r="E21" i="21"/>
  <c r="F21" i="21"/>
  <c r="G21" i="21"/>
  <c r="H21" i="21"/>
  <c r="I21" i="21"/>
  <c r="J21" i="21"/>
  <c r="B28" i="21"/>
  <c r="J28" i="21" s="1"/>
  <c r="F28" i="21"/>
  <c r="B29" i="21"/>
  <c r="B30" i="21"/>
  <c r="J30" i="21" s="1"/>
  <c r="B31" i="21"/>
  <c r="B32" i="21"/>
  <c r="F32" i="21" s="1"/>
  <c r="B33" i="21"/>
  <c r="J33" i="21" s="1"/>
  <c r="B36" i="21"/>
  <c r="F36" i="21"/>
  <c r="B37" i="21"/>
  <c r="D37" i="21" s="1"/>
  <c r="B38" i="21"/>
  <c r="B39" i="21"/>
  <c r="B40" i="21"/>
  <c r="F40" i="21" s="1"/>
  <c r="J40" i="21"/>
  <c r="B43" i="21"/>
  <c r="B44" i="21"/>
  <c r="C52" i="21"/>
  <c r="D52" i="21"/>
  <c r="E52" i="21"/>
  <c r="F52" i="21"/>
  <c r="G52" i="21"/>
  <c r="H52" i="21"/>
  <c r="I52" i="21"/>
  <c r="J52" i="21"/>
  <c r="K52" i="21"/>
  <c r="E53" i="21"/>
  <c r="G54" i="21"/>
  <c r="D56" i="21"/>
  <c r="E56" i="21"/>
  <c r="F56" i="21"/>
  <c r="G56" i="21"/>
  <c r="B57" i="21"/>
  <c r="B61" i="21"/>
  <c r="B62" i="21"/>
  <c r="F62" i="21"/>
  <c r="B63" i="21"/>
  <c r="H63" i="21"/>
  <c r="B64" i="21"/>
  <c r="B65" i="21"/>
  <c r="B69" i="21"/>
  <c r="B70" i="21"/>
  <c r="K4" i="47"/>
  <c r="K5" i="47"/>
  <c r="K6" i="47"/>
  <c r="D54" i="47" s="1"/>
  <c r="K7" i="47"/>
  <c r="J55" i="47" s="1"/>
  <c r="K8" i="47"/>
  <c r="K9" i="47"/>
  <c r="B10" i="47"/>
  <c r="N11" i="16" s="1"/>
  <c r="C10" i="47"/>
  <c r="D10" i="47"/>
  <c r="E10" i="47"/>
  <c r="F10" i="47"/>
  <c r="G10" i="47"/>
  <c r="H10" i="47"/>
  <c r="I10" i="47"/>
  <c r="J10" i="47"/>
  <c r="J23" i="47" s="1"/>
  <c r="K16" i="18" s="1"/>
  <c r="K12" i="47"/>
  <c r="G61" i="47" s="1"/>
  <c r="K13" i="47"/>
  <c r="K14" i="47"/>
  <c r="L14" i="47" s="1"/>
  <c r="K15" i="47"/>
  <c r="E64" i="47" s="1"/>
  <c r="K16" i="47"/>
  <c r="B17" i="47"/>
  <c r="N18" i="16" s="1"/>
  <c r="C17" i="47"/>
  <c r="D17" i="47"/>
  <c r="E17" i="47"/>
  <c r="F17" i="47"/>
  <c r="G17" i="47"/>
  <c r="H17" i="47"/>
  <c r="I17" i="47"/>
  <c r="J17" i="47"/>
  <c r="K19" i="47"/>
  <c r="K20" i="47"/>
  <c r="B21" i="47"/>
  <c r="N22" i="16" s="1"/>
  <c r="C21" i="47"/>
  <c r="D21" i="47"/>
  <c r="E21" i="47"/>
  <c r="F21" i="47"/>
  <c r="G21" i="47"/>
  <c r="H21" i="47"/>
  <c r="I21" i="47"/>
  <c r="J21" i="47"/>
  <c r="B28" i="47"/>
  <c r="F28" i="47" s="1"/>
  <c r="B29" i="47"/>
  <c r="C29" i="47" s="1"/>
  <c r="B30" i="47"/>
  <c r="F30" i="47"/>
  <c r="J30" i="47"/>
  <c r="B31" i="47"/>
  <c r="B32" i="47"/>
  <c r="J32" i="47" s="1"/>
  <c r="B33" i="47"/>
  <c r="B36" i="47"/>
  <c r="B37" i="47"/>
  <c r="F37" i="47" s="1"/>
  <c r="B38" i="47"/>
  <c r="J38" i="47" s="1"/>
  <c r="B39" i="47"/>
  <c r="B40" i="47"/>
  <c r="B43" i="47"/>
  <c r="D43" i="47" s="1"/>
  <c r="J43" i="47"/>
  <c r="B44" i="47"/>
  <c r="F53" i="47"/>
  <c r="J53" i="47"/>
  <c r="F55" i="47"/>
  <c r="F56" i="47"/>
  <c r="J56" i="47"/>
  <c r="F57" i="47"/>
  <c r="B61" i="47"/>
  <c r="F61" i="47"/>
  <c r="B62" i="47"/>
  <c r="K62" i="47"/>
  <c r="B63" i="47"/>
  <c r="C63" i="47"/>
  <c r="D63" i="47"/>
  <c r="E63" i="47"/>
  <c r="F63" i="47"/>
  <c r="G63" i="47"/>
  <c r="H63" i="47"/>
  <c r="I63" i="47"/>
  <c r="J63" i="47"/>
  <c r="K63" i="47"/>
  <c r="B64" i="47"/>
  <c r="C64" i="47"/>
  <c r="D64" i="47"/>
  <c r="F64" i="47"/>
  <c r="G64" i="47"/>
  <c r="I64" i="47"/>
  <c r="J64" i="47"/>
  <c r="K64" i="47"/>
  <c r="B65" i="47"/>
  <c r="B69" i="47"/>
  <c r="B70" i="47"/>
  <c r="B71" i="47" s="1"/>
  <c r="B28" i="55"/>
  <c r="J28" i="55" s="1"/>
  <c r="B29" i="55"/>
  <c r="G29" i="55" s="1"/>
  <c r="B30" i="55"/>
  <c r="B31" i="55"/>
  <c r="J31" i="55" s="1"/>
  <c r="B32" i="55"/>
  <c r="B33" i="55"/>
  <c r="B36" i="55"/>
  <c r="F36" i="55" s="1"/>
  <c r="B37" i="55"/>
  <c r="B38" i="55"/>
  <c r="J38" i="55" s="1"/>
  <c r="D38" i="55"/>
  <c r="F38" i="55"/>
  <c r="B39" i="55"/>
  <c r="I39" i="55" s="1"/>
  <c r="B40" i="55"/>
  <c r="F40" i="55" s="1"/>
  <c r="B43" i="55"/>
  <c r="J43" i="55"/>
  <c r="B44" i="55"/>
  <c r="F44" i="55" s="1"/>
  <c r="C52" i="55"/>
  <c r="D52" i="55"/>
  <c r="E52" i="55"/>
  <c r="F52" i="55"/>
  <c r="G52" i="55"/>
  <c r="H52" i="55"/>
  <c r="I52" i="55"/>
  <c r="J52" i="55"/>
  <c r="K52" i="55"/>
  <c r="B53" i="55"/>
  <c r="C53" i="55"/>
  <c r="D53" i="55"/>
  <c r="E53" i="55"/>
  <c r="F53" i="55"/>
  <c r="G53" i="55"/>
  <c r="H53" i="55"/>
  <c r="I53" i="55"/>
  <c r="J53" i="55"/>
  <c r="K53" i="55"/>
  <c r="C54" i="55"/>
  <c r="D54" i="55"/>
  <c r="E54" i="55"/>
  <c r="F54" i="55"/>
  <c r="G54" i="55"/>
  <c r="H54" i="55"/>
  <c r="I54" i="55"/>
  <c r="J54" i="55"/>
  <c r="K54" i="55"/>
  <c r="H55" i="55"/>
  <c r="I56" i="55"/>
  <c r="J56" i="55"/>
  <c r="H57" i="55"/>
  <c r="I57" i="55"/>
  <c r="B61" i="55"/>
  <c r="C61" i="55"/>
  <c r="D61" i="55"/>
  <c r="E61" i="55"/>
  <c r="F61" i="55"/>
  <c r="G61" i="55"/>
  <c r="H61" i="55"/>
  <c r="I61" i="55"/>
  <c r="J61" i="55"/>
  <c r="K61" i="55"/>
  <c r="B62" i="55"/>
  <c r="C62" i="55"/>
  <c r="D62" i="55"/>
  <c r="E62" i="55"/>
  <c r="F62" i="55"/>
  <c r="G62" i="55"/>
  <c r="H62" i="55"/>
  <c r="I62" i="55"/>
  <c r="J62" i="55"/>
  <c r="K62" i="55"/>
  <c r="B63" i="55"/>
  <c r="C63" i="55"/>
  <c r="D63" i="55"/>
  <c r="E63" i="55"/>
  <c r="F63" i="55"/>
  <c r="G63" i="55"/>
  <c r="H63" i="55"/>
  <c r="I63" i="55"/>
  <c r="J63" i="55"/>
  <c r="K63" i="55"/>
  <c r="B64" i="55"/>
  <c r="C64" i="55"/>
  <c r="D64" i="55"/>
  <c r="E64" i="55"/>
  <c r="F64" i="55"/>
  <c r="G64" i="55"/>
  <c r="H64" i="55"/>
  <c r="I64" i="55"/>
  <c r="J64" i="55"/>
  <c r="K64" i="55"/>
  <c r="B65" i="55"/>
  <c r="C65" i="55"/>
  <c r="D65" i="55"/>
  <c r="E65" i="55"/>
  <c r="F65" i="55"/>
  <c r="G65" i="55"/>
  <c r="H65" i="55"/>
  <c r="I65" i="55"/>
  <c r="J65" i="55"/>
  <c r="K65" i="55"/>
  <c r="B69" i="55"/>
  <c r="F69" i="55"/>
  <c r="G69" i="55"/>
  <c r="B70" i="55"/>
  <c r="C70" i="55"/>
  <c r="J70" i="55"/>
  <c r="K70" i="55"/>
  <c r="B28" i="60"/>
  <c r="B29" i="60"/>
  <c r="B30" i="60"/>
  <c r="B31" i="60"/>
  <c r="B32" i="60"/>
  <c r="F32" i="60" s="1"/>
  <c r="B33" i="60"/>
  <c r="B57" i="60" s="1"/>
  <c r="B36" i="60"/>
  <c r="F36" i="60" s="1"/>
  <c r="B37" i="60"/>
  <c r="B38" i="60"/>
  <c r="D38" i="60" s="1"/>
  <c r="B39" i="60"/>
  <c r="B40" i="60"/>
  <c r="B43" i="60"/>
  <c r="B44" i="60"/>
  <c r="B51" i="60"/>
  <c r="C51" i="60"/>
  <c r="D51" i="60"/>
  <c r="E51" i="60"/>
  <c r="F51" i="60"/>
  <c r="G51" i="60"/>
  <c r="H51" i="60"/>
  <c r="I51" i="60"/>
  <c r="J51" i="60"/>
  <c r="K51" i="60"/>
  <c r="C52" i="60"/>
  <c r="D52" i="60"/>
  <c r="E52" i="60"/>
  <c r="F52" i="60"/>
  <c r="G52" i="60"/>
  <c r="H52" i="60"/>
  <c r="I52" i="60"/>
  <c r="J52" i="60"/>
  <c r="K52" i="60"/>
  <c r="I53" i="60"/>
  <c r="I54" i="60"/>
  <c r="J54" i="60"/>
  <c r="G55" i="60"/>
  <c r="H55" i="60"/>
  <c r="I56" i="60"/>
  <c r="C57" i="60"/>
  <c r="D57" i="60"/>
  <c r="E57" i="60"/>
  <c r="F57" i="60"/>
  <c r="G57" i="60"/>
  <c r="H57" i="60"/>
  <c r="I57" i="60"/>
  <c r="J57" i="60"/>
  <c r="K57" i="60"/>
  <c r="B61" i="60"/>
  <c r="C61" i="60"/>
  <c r="D61" i="60"/>
  <c r="E61" i="60"/>
  <c r="F61" i="60"/>
  <c r="G61" i="60"/>
  <c r="H61" i="60"/>
  <c r="I61" i="60"/>
  <c r="J61" i="60"/>
  <c r="K61" i="60"/>
  <c r="B62" i="60"/>
  <c r="C62" i="60"/>
  <c r="D62" i="60"/>
  <c r="E62" i="60"/>
  <c r="F62" i="60"/>
  <c r="G62" i="60"/>
  <c r="H62" i="60"/>
  <c r="I62" i="60"/>
  <c r="J62" i="60"/>
  <c r="K62" i="60"/>
  <c r="B63" i="60"/>
  <c r="C63" i="60"/>
  <c r="D63" i="60"/>
  <c r="E63" i="60"/>
  <c r="F63" i="60"/>
  <c r="G63" i="60"/>
  <c r="H63" i="60"/>
  <c r="I63" i="60"/>
  <c r="J63" i="60"/>
  <c r="K63" i="60"/>
  <c r="B64" i="60"/>
  <c r="D64" i="60"/>
  <c r="B65" i="60"/>
  <c r="C65" i="60"/>
  <c r="D65" i="60"/>
  <c r="K65" i="60"/>
  <c r="B69" i="60"/>
  <c r="H69" i="60"/>
  <c r="I69" i="60"/>
  <c r="B70" i="60"/>
  <c r="H70" i="60"/>
  <c r="B7" i="18"/>
  <c r="L7" i="18"/>
  <c r="D7" i="18"/>
  <c r="E7" i="18"/>
  <c r="F7" i="18"/>
  <c r="G7" i="18"/>
  <c r="H7" i="18"/>
  <c r="I7" i="18"/>
  <c r="J7" i="18"/>
  <c r="J99" i="18" s="1"/>
  <c r="K7" i="18"/>
  <c r="B8" i="18"/>
  <c r="L8" i="18"/>
  <c r="D8" i="18"/>
  <c r="E8" i="18"/>
  <c r="E100" i="18" s="1"/>
  <c r="F8" i="18"/>
  <c r="G8" i="18"/>
  <c r="G100" i="18" s="1"/>
  <c r="H8" i="18"/>
  <c r="I8" i="18"/>
  <c r="J8" i="18"/>
  <c r="K8" i="18"/>
  <c r="D9" i="18"/>
  <c r="E9" i="18"/>
  <c r="F9" i="18"/>
  <c r="G9" i="18"/>
  <c r="H9" i="18"/>
  <c r="I9" i="18"/>
  <c r="J9" i="18"/>
  <c r="K9" i="18"/>
  <c r="B11" i="18"/>
  <c r="L11" i="18"/>
  <c r="D11" i="18"/>
  <c r="E11" i="18"/>
  <c r="F11" i="18"/>
  <c r="G11" i="18"/>
  <c r="H11" i="18"/>
  <c r="I11" i="18"/>
  <c r="J11" i="18"/>
  <c r="J103" i="18" s="1"/>
  <c r="K11" i="18"/>
  <c r="B12" i="18"/>
  <c r="G104" i="18" s="1"/>
  <c r="L12" i="18"/>
  <c r="D12" i="18"/>
  <c r="E12" i="18"/>
  <c r="F12" i="18"/>
  <c r="G12" i="18"/>
  <c r="H12" i="18"/>
  <c r="I12" i="18"/>
  <c r="J12" i="18"/>
  <c r="K12" i="18"/>
  <c r="B13" i="18"/>
  <c r="K105" i="18" s="1"/>
  <c r="L13" i="18"/>
  <c r="D13" i="18"/>
  <c r="E13" i="18"/>
  <c r="F13" i="18"/>
  <c r="G13" i="18"/>
  <c r="H13" i="18"/>
  <c r="I13" i="18"/>
  <c r="J13" i="18"/>
  <c r="J105" i="18" s="1"/>
  <c r="K13" i="18"/>
  <c r="C19" i="18"/>
  <c r="B49" i="18"/>
  <c r="D49" i="18"/>
  <c r="I49" i="18"/>
  <c r="E49" i="18"/>
  <c r="E141" i="18" s="1"/>
  <c r="F49" i="18"/>
  <c r="G49" i="18"/>
  <c r="H49" i="18"/>
  <c r="B51" i="18"/>
  <c r="D51" i="18"/>
  <c r="I51" i="18"/>
  <c r="E51" i="18"/>
  <c r="F51" i="18"/>
  <c r="G51" i="18"/>
  <c r="H51" i="18"/>
  <c r="B53" i="18"/>
  <c r="D53" i="18"/>
  <c r="I53" i="18"/>
  <c r="E53" i="18"/>
  <c r="F53" i="18"/>
  <c r="G53" i="18"/>
  <c r="H53" i="18"/>
  <c r="B54" i="18"/>
  <c r="D54" i="18"/>
  <c r="I54" i="18"/>
  <c r="E54" i="18"/>
  <c r="F54" i="18"/>
  <c r="G54" i="18"/>
  <c r="H54" i="18"/>
  <c r="B55" i="18"/>
  <c r="G147" i="18" s="1"/>
  <c r="D55" i="18"/>
  <c r="I55" i="18"/>
  <c r="E55" i="18"/>
  <c r="F55" i="18"/>
  <c r="G55" i="18"/>
  <c r="H55" i="18"/>
  <c r="C61" i="18"/>
  <c r="E5" i="17"/>
  <c r="F5" i="17"/>
  <c r="G5" i="17"/>
  <c r="H5" i="17"/>
  <c r="I5" i="17"/>
  <c r="J5" i="17"/>
  <c r="K5" i="17"/>
  <c r="E6" i="17"/>
  <c r="F6" i="17"/>
  <c r="G6" i="17"/>
  <c r="H6" i="17"/>
  <c r="I6" i="17"/>
  <c r="J6" i="17"/>
  <c r="K6" i="17"/>
  <c r="E7" i="17"/>
  <c r="F7" i="17"/>
  <c r="G7" i="17"/>
  <c r="H7" i="17"/>
  <c r="I7" i="17"/>
  <c r="J7" i="17"/>
  <c r="K7" i="17"/>
  <c r="E8" i="17"/>
  <c r="F8" i="17"/>
  <c r="G8" i="17"/>
  <c r="H8" i="17"/>
  <c r="I8" i="17"/>
  <c r="J8" i="17"/>
  <c r="K8" i="17"/>
  <c r="E9" i="17"/>
  <c r="F9" i="17"/>
  <c r="G9" i="17"/>
  <c r="H9" i="17"/>
  <c r="I9" i="17"/>
  <c r="J9" i="17"/>
  <c r="K9" i="17"/>
  <c r="E10" i="17"/>
  <c r="F10" i="17"/>
  <c r="G10" i="17"/>
  <c r="H10" i="17"/>
  <c r="I10" i="17"/>
  <c r="J10" i="17"/>
  <c r="K10" i="17"/>
  <c r="E11" i="17"/>
  <c r="F11" i="17"/>
  <c r="G11" i="17"/>
  <c r="H11" i="17"/>
  <c r="I11" i="17"/>
  <c r="J11" i="17"/>
  <c r="K11" i="17"/>
  <c r="E13" i="17"/>
  <c r="F13" i="17"/>
  <c r="G13" i="17"/>
  <c r="H13" i="17"/>
  <c r="I13" i="17"/>
  <c r="J13" i="17"/>
  <c r="K13" i="17"/>
  <c r="E14" i="17"/>
  <c r="F14" i="17"/>
  <c r="G14" i="17"/>
  <c r="H14" i="17"/>
  <c r="I14" i="17"/>
  <c r="J14" i="17"/>
  <c r="K14" i="17"/>
  <c r="E15" i="17"/>
  <c r="F15" i="17"/>
  <c r="G15" i="17"/>
  <c r="H15" i="17"/>
  <c r="I15" i="17"/>
  <c r="J15" i="17"/>
  <c r="K15" i="17"/>
  <c r="E16" i="17"/>
  <c r="F16" i="17"/>
  <c r="G16" i="17"/>
  <c r="H16" i="17"/>
  <c r="I16" i="17"/>
  <c r="J16" i="17"/>
  <c r="K16" i="17"/>
  <c r="E17" i="17"/>
  <c r="F17" i="17"/>
  <c r="G17" i="17"/>
  <c r="H17" i="17"/>
  <c r="I17" i="17"/>
  <c r="J17" i="17"/>
  <c r="K17" i="17"/>
  <c r="E18" i="17"/>
  <c r="F18" i="17"/>
  <c r="G18" i="17"/>
  <c r="H18" i="17"/>
  <c r="I18" i="17"/>
  <c r="J18" i="17"/>
  <c r="K18" i="17"/>
  <c r="B20" i="17"/>
  <c r="C20" i="17"/>
  <c r="E20" i="17"/>
  <c r="F20" i="17"/>
  <c r="G20" i="17"/>
  <c r="H20" i="17"/>
  <c r="I20" i="17"/>
  <c r="J20" i="17"/>
  <c r="K20" i="17"/>
  <c r="B21" i="17"/>
  <c r="C21" i="17"/>
  <c r="E21" i="17"/>
  <c r="F21" i="17"/>
  <c r="G21" i="17"/>
  <c r="H21" i="17"/>
  <c r="I21" i="17"/>
  <c r="J21" i="17"/>
  <c r="K21" i="17"/>
  <c r="B22" i="17"/>
  <c r="C22" i="17"/>
  <c r="E22" i="17"/>
  <c r="F22" i="17"/>
  <c r="G22" i="17"/>
  <c r="H22" i="17"/>
  <c r="I22" i="17"/>
  <c r="J22" i="17"/>
  <c r="K22" i="17"/>
  <c r="E24" i="17"/>
  <c r="F24" i="17"/>
  <c r="G24" i="17"/>
  <c r="H24" i="17"/>
  <c r="I24" i="17"/>
  <c r="J24" i="17"/>
  <c r="K24" i="17"/>
  <c r="H4" i="15"/>
  <c r="H5" i="15"/>
  <c r="I5" i="15" s="1"/>
  <c r="H6" i="15"/>
  <c r="H7" i="15"/>
  <c r="H8" i="15"/>
  <c r="H9" i="15"/>
  <c r="B10" i="15"/>
  <c r="C10" i="15"/>
  <c r="D10" i="15"/>
  <c r="E10" i="15"/>
  <c r="F10" i="15"/>
  <c r="G10" i="15"/>
  <c r="H13" i="15"/>
  <c r="I13" i="15" s="1"/>
  <c r="H14" i="15"/>
  <c r="H15" i="15"/>
  <c r="H16" i="15"/>
  <c r="H17" i="15"/>
  <c r="I17" i="15" s="1"/>
  <c r="B18" i="15"/>
  <c r="B73" i="15" s="1"/>
  <c r="C18" i="15"/>
  <c r="D18" i="15"/>
  <c r="E18" i="15"/>
  <c r="F18" i="15"/>
  <c r="G18" i="15"/>
  <c r="B32" i="15"/>
  <c r="G32" i="15" s="1"/>
  <c r="B33" i="15"/>
  <c r="B34" i="15"/>
  <c r="B35" i="15"/>
  <c r="B36" i="15"/>
  <c r="B37" i="15"/>
  <c r="C37" i="15" s="1"/>
  <c r="B41" i="15"/>
  <c r="B42" i="15"/>
  <c r="B43" i="15"/>
  <c r="B44" i="15"/>
  <c r="B45" i="15"/>
  <c r="B59" i="15"/>
  <c r="B60" i="15"/>
  <c r="B61" i="15"/>
  <c r="B62" i="15"/>
  <c r="B63" i="15"/>
  <c r="B64" i="15"/>
  <c r="B65" i="15"/>
  <c r="B68" i="15"/>
  <c r="B69" i="15"/>
  <c r="B70" i="15"/>
  <c r="B71" i="15"/>
  <c r="B72" i="15"/>
  <c r="H4" i="14"/>
  <c r="H5" i="14"/>
  <c r="H6" i="14"/>
  <c r="H7" i="14"/>
  <c r="I7" i="14" s="1"/>
  <c r="H8" i="14"/>
  <c r="I8" i="14" s="1"/>
  <c r="H9" i="14"/>
  <c r="B10" i="14"/>
  <c r="B65" i="14" s="1"/>
  <c r="C10" i="14"/>
  <c r="D10" i="14"/>
  <c r="E10" i="14"/>
  <c r="F10" i="14"/>
  <c r="G10" i="14"/>
  <c r="H13" i="14"/>
  <c r="I13" i="14" s="1"/>
  <c r="H14" i="14"/>
  <c r="H15" i="14"/>
  <c r="H16" i="14"/>
  <c r="H17" i="14"/>
  <c r="I17" i="14" s="1"/>
  <c r="B18" i="14"/>
  <c r="C18" i="14"/>
  <c r="D18" i="14"/>
  <c r="E18" i="14"/>
  <c r="F18" i="14"/>
  <c r="G18" i="14"/>
  <c r="B32" i="14"/>
  <c r="B33" i="14"/>
  <c r="F33" i="14" s="1"/>
  <c r="B34" i="14"/>
  <c r="C34" i="14" s="1"/>
  <c r="B35" i="14"/>
  <c r="B36" i="14"/>
  <c r="B37" i="14"/>
  <c r="F37" i="14" s="1"/>
  <c r="D37" i="14"/>
  <c r="B41" i="14"/>
  <c r="F41" i="14" s="1"/>
  <c r="B42" i="14"/>
  <c r="B43" i="14"/>
  <c r="B44" i="14"/>
  <c r="G44" i="14" s="1"/>
  <c r="B45" i="14"/>
  <c r="F45" i="14" s="1"/>
  <c r="B59" i="14"/>
  <c r="B60" i="14"/>
  <c r="B61" i="14"/>
  <c r="B62" i="14"/>
  <c r="B63" i="14"/>
  <c r="B64" i="14"/>
  <c r="B68" i="14"/>
  <c r="B69" i="14"/>
  <c r="B70" i="14"/>
  <c r="B71" i="14"/>
  <c r="B72" i="14"/>
  <c r="H4" i="13"/>
  <c r="H5" i="13"/>
  <c r="I5" i="13" s="1"/>
  <c r="H6" i="13"/>
  <c r="I6" i="13" s="1"/>
  <c r="H7" i="13"/>
  <c r="I7" i="13" s="1"/>
  <c r="H8" i="13"/>
  <c r="I8" i="13" s="1"/>
  <c r="H9" i="13"/>
  <c r="I9" i="13" s="1"/>
  <c r="B10" i="13"/>
  <c r="B65" i="13" s="1"/>
  <c r="C10" i="13"/>
  <c r="D10" i="13"/>
  <c r="E10" i="13"/>
  <c r="F10" i="13"/>
  <c r="G10" i="13"/>
  <c r="H13" i="13"/>
  <c r="I13" i="13" s="1"/>
  <c r="H14" i="13"/>
  <c r="I14" i="13" s="1"/>
  <c r="H15" i="13"/>
  <c r="H16" i="13"/>
  <c r="I16" i="13" s="1"/>
  <c r="H17" i="13"/>
  <c r="B18" i="13"/>
  <c r="B73" i="13" s="1"/>
  <c r="C18" i="13"/>
  <c r="D18" i="13"/>
  <c r="E18" i="13"/>
  <c r="F18" i="13"/>
  <c r="G18" i="13"/>
  <c r="H21" i="13"/>
  <c r="I21" i="13" s="1"/>
  <c r="H22" i="13"/>
  <c r="B23" i="13"/>
  <c r="B78" i="13" s="1"/>
  <c r="C23" i="13"/>
  <c r="D23" i="13"/>
  <c r="E23" i="13"/>
  <c r="F23" i="13"/>
  <c r="F25" i="13" s="1"/>
  <c r="D9" i="3" s="1"/>
  <c r="G23" i="13"/>
  <c r="G25" i="13" s="1"/>
  <c r="D10" i="3" s="1"/>
  <c r="C25" i="13"/>
  <c r="D6" i="3" s="1"/>
  <c r="E25" i="13"/>
  <c r="D8" i="3" s="1"/>
  <c r="B32" i="13"/>
  <c r="D32" i="13" s="1"/>
  <c r="F32" i="13"/>
  <c r="B33" i="13"/>
  <c r="F33" i="13" s="1"/>
  <c r="B34" i="13"/>
  <c r="B35" i="13"/>
  <c r="H35" i="13"/>
  <c r="D8" i="2" s="1"/>
  <c r="B36" i="13"/>
  <c r="B37" i="13"/>
  <c r="B41" i="13"/>
  <c r="D41" i="13" s="1"/>
  <c r="B42" i="13"/>
  <c r="B43" i="13"/>
  <c r="C43" i="13" s="1"/>
  <c r="B44" i="13"/>
  <c r="B45" i="13"/>
  <c r="D45" i="13" s="1"/>
  <c r="B49" i="13"/>
  <c r="B50" i="13"/>
  <c r="C50" i="13"/>
  <c r="D50" i="13"/>
  <c r="G50" i="13"/>
  <c r="B59" i="13"/>
  <c r="B60" i="13"/>
  <c r="B61" i="13"/>
  <c r="B62" i="13"/>
  <c r="B63" i="13"/>
  <c r="B64" i="13"/>
  <c r="B68" i="13"/>
  <c r="B69" i="13"/>
  <c r="B70" i="13"/>
  <c r="B71" i="13"/>
  <c r="B72" i="13"/>
  <c r="B76" i="13"/>
  <c r="B77" i="13"/>
  <c r="I5" i="12"/>
  <c r="I6" i="12"/>
  <c r="I7" i="12"/>
  <c r="I8" i="12"/>
  <c r="I9" i="12"/>
  <c r="I10" i="12"/>
  <c r="I11" i="12"/>
  <c r="I13" i="12"/>
  <c r="I14" i="12"/>
  <c r="I15" i="12"/>
  <c r="I16" i="12"/>
  <c r="I17" i="12"/>
  <c r="I18" i="12"/>
  <c r="I20" i="12"/>
  <c r="I21" i="12"/>
  <c r="I22" i="12"/>
  <c r="I24" i="12"/>
  <c r="I5" i="11"/>
  <c r="I6" i="11"/>
  <c r="I7" i="11"/>
  <c r="I8" i="11"/>
  <c r="I9" i="11"/>
  <c r="I10" i="11"/>
  <c r="I11" i="11"/>
  <c r="I13" i="11"/>
  <c r="I14" i="11"/>
  <c r="I15" i="11"/>
  <c r="I16" i="11"/>
  <c r="I17" i="11"/>
  <c r="I18" i="11"/>
  <c r="I20" i="11"/>
  <c r="I21" i="11"/>
  <c r="I22" i="11"/>
  <c r="I24" i="11"/>
  <c r="I5" i="10"/>
  <c r="I6" i="10"/>
  <c r="I7" i="10"/>
  <c r="I8" i="10"/>
  <c r="I9" i="10"/>
  <c r="I10" i="10"/>
  <c r="I11" i="10"/>
  <c r="I13" i="10"/>
  <c r="I14" i="10"/>
  <c r="I15" i="10"/>
  <c r="I16" i="10"/>
  <c r="I17" i="10"/>
  <c r="I18" i="10"/>
  <c r="I20" i="10"/>
  <c r="I21" i="10"/>
  <c r="I22" i="10"/>
  <c r="I24" i="10"/>
  <c r="H6" i="9"/>
  <c r="I6" i="9" s="1"/>
  <c r="H7" i="9"/>
  <c r="I7" i="9" s="1"/>
  <c r="H8" i="9"/>
  <c r="I8" i="9" s="1"/>
  <c r="H9" i="9"/>
  <c r="I9" i="9" s="1"/>
  <c r="H10" i="9"/>
  <c r="I10" i="9" s="1"/>
  <c r="H11" i="9"/>
  <c r="I11" i="9" s="1"/>
  <c r="B12" i="9"/>
  <c r="C12" i="9"/>
  <c r="D12" i="9"/>
  <c r="E12" i="9"/>
  <c r="F12" i="9"/>
  <c r="G12" i="9"/>
  <c r="H14" i="9"/>
  <c r="I14" i="9" s="1"/>
  <c r="H15" i="9"/>
  <c r="I15" i="9" s="1"/>
  <c r="H16" i="9"/>
  <c r="I16" i="9" s="1"/>
  <c r="H17" i="9"/>
  <c r="I17" i="9" s="1"/>
  <c r="H18" i="9"/>
  <c r="I18" i="9" s="1"/>
  <c r="B19" i="9"/>
  <c r="C19" i="9"/>
  <c r="D19" i="9"/>
  <c r="E19" i="9"/>
  <c r="F19" i="9"/>
  <c r="G19" i="9"/>
  <c r="H21" i="9"/>
  <c r="I21" i="9" s="1"/>
  <c r="H22" i="9"/>
  <c r="I22" i="9" s="1"/>
  <c r="B23" i="9"/>
  <c r="C23" i="9"/>
  <c r="D23" i="9"/>
  <c r="E23" i="9"/>
  <c r="F23" i="9"/>
  <c r="G23" i="9"/>
  <c r="E25" i="9"/>
  <c r="H8" i="3" s="1"/>
  <c r="I5" i="8"/>
  <c r="I6" i="8"/>
  <c r="I7" i="8"/>
  <c r="I8" i="8"/>
  <c r="I9" i="8"/>
  <c r="I10" i="8"/>
  <c r="I11" i="8"/>
  <c r="I14" i="8"/>
  <c r="I15" i="8"/>
  <c r="I16" i="8"/>
  <c r="I17" i="8"/>
  <c r="I18" i="8"/>
  <c r="I19" i="8"/>
  <c r="I22" i="8"/>
  <c r="I23" i="8"/>
  <c r="I24" i="8"/>
  <c r="I26" i="8"/>
  <c r="I4" i="7"/>
  <c r="I5" i="7"/>
  <c r="I6" i="7"/>
  <c r="I7" i="7"/>
  <c r="I8" i="7"/>
  <c r="I9" i="7"/>
  <c r="I10" i="7"/>
  <c r="I13" i="7"/>
  <c r="I14" i="7"/>
  <c r="I15" i="7"/>
  <c r="I16" i="7"/>
  <c r="I17" i="7"/>
  <c r="I18" i="7"/>
  <c r="I21" i="7"/>
  <c r="I22" i="7"/>
  <c r="I23" i="7"/>
  <c r="I25" i="7"/>
  <c r="H5" i="6"/>
  <c r="I5" i="6" s="1"/>
  <c r="H6" i="6"/>
  <c r="I6" i="6" s="1"/>
  <c r="H7" i="6"/>
  <c r="I7" i="6" s="1"/>
  <c r="H8" i="6"/>
  <c r="H9" i="6"/>
  <c r="I9" i="6" s="1"/>
  <c r="H10" i="6"/>
  <c r="I10" i="6" s="1"/>
  <c r="B11" i="6"/>
  <c r="C11" i="6"/>
  <c r="D11" i="6"/>
  <c r="E11" i="6"/>
  <c r="F11" i="6"/>
  <c r="G11" i="6"/>
  <c r="G26" i="6" s="1"/>
  <c r="K10" i="3" s="1"/>
  <c r="H14" i="6"/>
  <c r="I14" i="6" s="1"/>
  <c r="H15" i="6"/>
  <c r="H16" i="6"/>
  <c r="I16" i="6" s="1"/>
  <c r="H17" i="6"/>
  <c r="I17" i="6" s="1"/>
  <c r="H18" i="6"/>
  <c r="I18" i="6" s="1"/>
  <c r="B19" i="6"/>
  <c r="C19" i="6"/>
  <c r="D19" i="6"/>
  <c r="E19" i="6"/>
  <c r="F19" i="6"/>
  <c r="G19" i="6"/>
  <c r="H22" i="6"/>
  <c r="H23" i="6"/>
  <c r="I23" i="6" s="1"/>
  <c r="B24" i="6"/>
  <c r="C24" i="6"/>
  <c r="D24" i="6"/>
  <c r="E24" i="6"/>
  <c r="E26" i="6" s="1"/>
  <c r="K8" i="3" s="1"/>
  <c r="F24" i="6"/>
  <c r="G24" i="6"/>
  <c r="H4" i="5"/>
  <c r="I4" i="5" s="1"/>
  <c r="H5" i="5"/>
  <c r="H33" i="5" s="1"/>
  <c r="H6" i="5"/>
  <c r="H7" i="5"/>
  <c r="H8" i="5"/>
  <c r="I8" i="5" s="1"/>
  <c r="H9" i="5"/>
  <c r="H37" i="5" s="1"/>
  <c r="B10" i="5"/>
  <c r="C10" i="5"/>
  <c r="D10" i="5"/>
  <c r="E10" i="5"/>
  <c r="F10" i="5"/>
  <c r="G10" i="5"/>
  <c r="H13" i="5"/>
  <c r="I13" i="5" s="1"/>
  <c r="H14" i="5"/>
  <c r="I14" i="5" s="1"/>
  <c r="H15" i="5"/>
  <c r="H16" i="5"/>
  <c r="H17" i="5"/>
  <c r="B18" i="5"/>
  <c r="C18" i="5"/>
  <c r="D18" i="5"/>
  <c r="E18" i="5"/>
  <c r="F18" i="5"/>
  <c r="G18" i="5"/>
  <c r="H21" i="5"/>
  <c r="I21" i="5" s="1"/>
  <c r="H22" i="5"/>
  <c r="B23" i="5"/>
  <c r="C23" i="5"/>
  <c r="D23" i="5"/>
  <c r="D25" i="5" s="1"/>
  <c r="E23" i="5"/>
  <c r="E25" i="5" s="1"/>
  <c r="F23" i="5"/>
  <c r="G23" i="5"/>
  <c r="C32" i="5"/>
  <c r="D32" i="5"/>
  <c r="E32" i="5"/>
  <c r="F32" i="5"/>
  <c r="G32" i="5"/>
  <c r="H32" i="5"/>
  <c r="C33" i="5"/>
  <c r="D33" i="5"/>
  <c r="E33" i="5"/>
  <c r="F33" i="5"/>
  <c r="G33" i="5"/>
  <c r="C34" i="5"/>
  <c r="D34" i="5"/>
  <c r="E34" i="5"/>
  <c r="F34" i="5"/>
  <c r="G34" i="5"/>
  <c r="C35" i="5"/>
  <c r="D35" i="5"/>
  <c r="E35" i="5"/>
  <c r="F35" i="5"/>
  <c r="G35" i="5"/>
  <c r="C36" i="5"/>
  <c r="D36" i="5"/>
  <c r="E36" i="5"/>
  <c r="F36" i="5"/>
  <c r="G36" i="5"/>
  <c r="H36" i="5"/>
  <c r="C37" i="5"/>
  <c r="D37" i="5"/>
  <c r="E37" i="5"/>
  <c r="F37" i="5"/>
  <c r="G37" i="5"/>
  <c r="B38" i="5"/>
  <c r="C41" i="5"/>
  <c r="D41" i="5"/>
  <c r="E41" i="5"/>
  <c r="F41" i="5"/>
  <c r="G41" i="5"/>
  <c r="C42" i="5"/>
  <c r="D42" i="5"/>
  <c r="E42" i="5"/>
  <c r="F42" i="5"/>
  <c r="G42" i="5"/>
  <c r="H42" i="5"/>
  <c r="C43" i="5"/>
  <c r="D43" i="5"/>
  <c r="E43" i="5"/>
  <c r="F43" i="5"/>
  <c r="G43" i="5"/>
  <c r="C44" i="5"/>
  <c r="D44" i="5"/>
  <c r="E44" i="5"/>
  <c r="F44" i="5"/>
  <c r="G44" i="5"/>
  <c r="C45" i="5"/>
  <c r="D45" i="5"/>
  <c r="E45" i="5"/>
  <c r="F45" i="5"/>
  <c r="G45" i="5"/>
  <c r="B46" i="5"/>
  <c r="C49" i="5"/>
  <c r="D49" i="5"/>
  <c r="E49" i="5"/>
  <c r="F49" i="5"/>
  <c r="G49" i="5"/>
  <c r="H49" i="5"/>
  <c r="C50" i="5"/>
  <c r="D50" i="5"/>
  <c r="E50" i="5"/>
  <c r="F50" i="5"/>
  <c r="G50" i="5"/>
  <c r="B51" i="5"/>
  <c r="C59" i="5"/>
  <c r="H4" i="4"/>
  <c r="H5" i="4"/>
  <c r="I5" i="4" s="1"/>
  <c r="H6" i="4"/>
  <c r="H7" i="4"/>
  <c r="I7" i="4" s="1"/>
  <c r="H8" i="4"/>
  <c r="H9" i="4"/>
  <c r="B10" i="4"/>
  <c r="C10" i="4"/>
  <c r="D10" i="4"/>
  <c r="E10" i="4"/>
  <c r="F10" i="4"/>
  <c r="G10" i="4"/>
  <c r="H13" i="4"/>
  <c r="H14" i="4"/>
  <c r="H15" i="4"/>
  <c r="I15" i="4" s="1"/>
  <c r="H16" i="4"/>
  <c r="I16" i="4" s="1"/>
  <c r="H17" i="4"/>
  <c r="B18" i="4"/>
  <c r="C18" i="4"/>
  <c r="D18" i="4"/>
  <c r="E18" i="4"/>
  <c r="F18" i="4"/>
  <c r="G18" i="4"/>
  <c r="H21" i="4"/>
  <c r="I21" i="4" s="1"/>
  <c r="H22" i="4"/>
  <c r="B23" i="4"/>
  <c r="C23" i="4"/>
  <c r="D23" i="4"/>
  <c r="E23" i="4"/>
  <c r="F23" i="4"/>
  <c r="G23" i="4"/>
  <c r="G25" i="4" s="1"/>
  <c r="M10" i="3" s="1"/>
  <c r="B32" i="4"/>
  <c r="D32" i="4"/>
  <c r="B33" i="4"/>
  <c r="B34" i="4"/>
  <c r="D34" i="4" s="1"/>
  <c r="F34" i="4"/>
  <c r="B35" i="4"/>
  <c r="B36" i="4"/>
  <c r="D36" i="4" s="1"/>
  <c r="B37" i="4"/>
  <c r="C37" i="4" s="1"/>
  <c r="B41" i="4"/>
  <c r="F41" i="4" s="1"/>
  <c r="B42" i="4"/>
  <c r="B43" i="4"/>
  <c r="H43" i="4" s="1"/>
  <c r="M15" i="2" s="1"/>
  <c r="B44" i="4"/>
  <c r="D44" i="4" s="1"/>
  <c r="B45" i="4"/>
  <c r="E45" i="4" s="1"/>
  <c r="B49" i="4"/>
  <c r="B50" i="4"/>
  <c r="H4" i="49"/>
  <c r="H5" i="49"/>
  <c r="I5" i="49" s="1"/>
  <c r="H6" i="49"/>
  <c r="I6" i="49" s="1"/>
  <c r="H7" i="49"/>
  <c r="H8" i="49"/>
  <c r="I8" i="49" s="1"/>
  <c r="H9" i="49"/>
  <c r="I9" i="49" s="1"/>
  <c r="B10" i="49"/>
  <c r="C10" i="49"/>
  <c r="D10" i="49"/>
  <c r="E10" i="49"/>
  <c r="F10" i="49"/>
  <c r="G10" i="49"/>
  <c r="H13" i="49"/>
  <c r="H14" i="49"/>
  <c r="I14" i="49" s="1"/>
  <c r="H15" i="49"/>
  <c r="H16" i="49"/>
  <c r="I16" i="49" s="1"/>
  <c r="H17" i="49"/>
  <c r="B18" i="49"/>
  <c r="C18" i="49"/>
  <c r="D18" i="49"/>
  <c r="E18" i="49"/>
  <c r="F18" i="49"/>
  <c r="G18" i="49"/>
  <c r="H21" i="49"/>
  <c r="H22" i="49"/>
  <c r="B23" i="49"/>
  <c r="B25" i="49" s="1"/>
  <c r="C23" i="49"/>
  <c r="D23" i="49"/>
  <c r="E23" i="49"/>
  <c r="F23" i="49"/>
  <c r="G23" i="49"/>
  <c r="B30" i="49"/>
  <c r="C30" i="49"/>
  <c r="C58" i="49" s="1"/>
  <c r="D30" i="49"/>
  <c r="E30" i="49"/>
  <c r="E58" i="49" s="1"/>
  <c r="F30" i="49"/>
  <c r="F58" i="49" s="1"/>
  <c r="G30" i="49"/>
  <c r="G58" i="49" s="1"/>
  <c r="H30" i="49"/>
  <c r="B32" i="49"/>
  <c r="C32" i="49" s="1"/>
  <c r="B33" i="49"/>
  <c r="D33" i="49" s="1"/>
  <c r="B34" i="49"/>
  <c r="B35" i="49"/>
  <c r="F35" i="49" s="1"/>
  <c r="B36" i="49"/>
  <c r="B37" i="49"/>
  <c r="B41" i="49"/>
  <c r="C41" i="49" s="1"/>
  <c r="F41" i="49"/>
  <c r="B42" i="49"/>
  <c r="D42" i="49" s="1"/>
  <c r="B43" i="49"/>
  <c r="C43" i="49" s="1"/>
  <c r="B44" i="49"/>
  <c r="F44" i="49" s="1"/>
  <c r="B45" i="49"/>
  <c r="B49" i="49"/>
  <c r="G49" i="49" s="1"/>
  <c r="B50" i="49"/>
  <c r="D58" i="49"/>
  <c r="H4" i="56"/>
  <c r="H5" i="56"/>
  <c r="H6" i="56"/>
  <c r="H7" i="56"/>
  <c r="H8" i="56"/>
  <c r="H9" i="56"/>
  <c r="I9" i="56" s="1"/>
  <c r="B10" i="56"/>
  <c r="C10" i="56"/>
  <c r="D10" i="56"/>
  <c r="E10" i="56"/>
  <c r="F10" i="56"/>
  <c r="G10" i="56"/>
  <c r="H13" i="56"/>
  <c r="H14" i="56"/>
  <c r="H15" i="56"/>
  <c r="H16" i="56"/>
  <c r="I16" i="56" s="1"/>
  <c r="H17" i="56"/>
  <c r="B18" i="56"/>
  <c r="C18" i="56"/>
  <c r="D18" i="56"/>
  <c r="E18" i="56"/>
  <c r="F18" i="56"/>
  <c r="G18" i="56"/>
  <c r="H21" i="56"/>
  <c r="H22" i="56"/>
  <c r="B23" i="56"/>
  <c r="C23" i="56"/>
  <c r="D23" i="56"/>
  <c r="E23" i="56"/>
  <c r="F23" i="56"/>
  <c r="G23" i="56"/>
  <c r="B30" i="56"/>
  <c r="C30" i="56"/>
  <c r="C58" i="56" s="1"/>
  <c r="D30" i="56"/>
  <c r="D58" i="56" s="1"/>
  <c r="E30" i="56"/>
  <c r="E58" i="56" s="1"/>
  <c r="F30" i="56"/>
  <c r="F58" i="56" s="1"/>
  <c r="G30" i="56"/>
  <c r="G58" i="56" s="1"/>
  <c r="H30" i="56"/>
  <c r="B32" i="56"/>
  <c r="D32" i="56" s="1"/>
  <c r="B33" i="56"/>
  <c r="G33" i="56" s="1"/>
  <c r="B34" i="56"/>
  <c r="B35" i="56"/>
  <c r="D35" i="56" s="1"/>
  <c r="B36" i="56"/>
  <c r="B37" i="56"/>
  <c r="B41" i="56"/>
  <c r="B42" i="56"/>
  <c r="C42" i="56" s="1"/>
  <c r="B43" i="56"/>
  <c r="B44" i="56"/>
  <c r="B45" i="56"/>
  <c r="B49" i="56"/>
  <c r="E49" i="56" s="1"/>
  <c r="B50" i="56"/>
  <c r="F50" i="56" s="1"/>
  <c r="H4" i="61"/>
  <c r="C59" i="61" s="1"/>
  <c r="H5" i="61"/>
  <c r="H6" i="61"/>
  <c r="H7" i="61"/>
  <c r="H8" i="61"/>
  <c r="I8" i="61" s="1"/>
  <c r="H9" i="61"/>
  <c r="I9" i="61" s="1"/>
  <c r="B10" i="61"/>
  <c r="H13" i="61"/>
  <c r="H14" i="61"/>
  <c r="H15" i="61"/>
  <c r="H16" i="61"/>
  <c r="H17" i="61"/>
  <c r="B18" i="61"/>
  <c r="H21" i="61"/>
  <c r="H22" i="61"/>
  <c r="I22" i="61" s="1"/>
  <c r="B23" i="61"/>
  <c r="B30" i="61"/>
  <c r="C30" i="61"/>
  <c r="C58" i="61" s="1"/>
  <c r="D30" i="61"/>
  <c r="D58" i="61" s="1"/>
  <c r="E30" i="61"/>
  <c r="E58" i="61" s="1"/>
  <c r="F30" i="61"/>
  <c r="G30" i="61"/>
  <c r="G58" i="61" s="1"/>
  <c r="H30" i="61"/>
  <c r="B32" i="61"/>
  <c r="F32" i="61" s="1"/>
  <c r="B33" i="61"/>
  <c r="D33" i="61" s="1"/>
  <c r="B34" i="61"/>
  <c r="F34" i="61" s="1"/>
  <c r="B35" i="61"/>
  <c r="C35" i="61" s="1"/>
  <c r="B36" i="61"/>
  <c r="B37" i="61"/>
  <c r="F37" i="61" s="1"/>
  <c r="B41" i="61"/>
  <c r="C41" i="61" s="1"/>
  <c r="B42" i="61"/>
  <c r="B43" i="61"/>
  <c r="B44" i="61"/>
  <c r="F44" i="61" s="1"/>
  <c r="B45" i="61"/>
  <c r="B49" i="61"/>
  <c r="B50" i="61"/>
  <c r="F58" i="61"/>
  <c r="I4" i="66"/>
  <c r="I5" i="66"/>
  <c r="I6" i="66"/>
  <c r="I7" i="66"/>
  <c r="I8" i="66"/>
  <c r="I9" i="66"/>
  <c r="I10" i="66"/>
  <c r="B25" i="66"/>
  <c r="C25" i="66"/>
  <c r="C53" i="66" s="1"/>
  <c r="D25" i="66"/>
  <c r="E25" i="66"/>
  <c r="E53" i="66" s="1"/>
  <c r="F25" i="66"/>
  <c r="F53" i="66" s="1"/>
  <c r="G25" i="66"/>
  <c r="G53" i="66" s="1"/>
  <c r="H25" i="66"/>
  <c r="C32" i="66"/>
  <c r="D32" i="66"/>
  <c r="E32" i="66"/>
  <c r="F32" i="66"/>
  <c r="G32" i="66"/>
  <c r="G59" i="66" s="1"/>
  <c r="H32" i="66"/>
  <c r="C33" i="66"/>
  <c r="D33" i="66"/>
  <c r="E33" i="66"/>
  <c r="F33" i="66"/>
  <c r="G33" i="66"/>
  <c r="H33" i="66"/>
  <c r="C34" i="66"/>
  <c r="D34" i="66"/>
  <c r="E34" i="66"/>
  <c r="F34" i="66"/>
  <c r="G34" i="66"/>
  <c r="H34" i="66"/>
  <c r="H61" i="66" s="1"/>
  <c r="C35" i="66"/>
  <c r="D35" i="66"/>
  <c r="E35" i="66"/>
  <c r="E62" i="66" s="1"/>
  <c r="F35" i="66"/>
  <c r="G35" i="66"/>
  <c r="H35" i="66"/>
  <c r="D62" i="66" s="1"/>
  <c r="C36" i="66"/>
  <c r="D36" i="66"/>
  <c r="E36" i="66"/>
  <c r="F36" i="66"/>
  <c r="G36" i="66"/>
  <c r="G63" i="66" s="1"/>
  <c r="H36" i="66"/>
  <c r="C37" i="66"/>
  <c r="D37" i="66"/>
  <c r="D64" i="66" s="1"/>
  <c r="E37" i="66"/>
  <c r="F37" i="66"/>
  <c r="F64" i="66" s="1"/>
  <c r="G37" i="66"/>
  <c r="H37" i="66"/>
  <c r="C38" i="66"/>
  <c r="D38" i="66"/>
  <c r="E38" i="66"/>
  <c r="F38" i="66"/>
  <c r="G38" i="66"/>
  <c r="H38" i="66"/>
  <c r="H65" i="66" s="1"/>
  <c r="C41" i="66"/>
  <c r="D41" i="66"/>
  <c r="E41" i="66"/>
  <c r="F41" i="66"/>
  <c r="G41" i="66"/>
  <c r="H41" i="66"/>
  <c r="H68" i="66" s="1"/>
  <c r="C42" i="66"/>
  <c r="D42" i="66"/>
  <c r="E42" i="66"/>
  <c r="F42" i="66"/>
  <c r="G42" i="66"/>
  <c r="G69" i="66" s="1"/>
  <c r="H42" i="66"/>
  <c r="C43" i="66"/>
  <c r="D43" i="66"/>
  <c r="D70" i="66" s="1"/>
  <c r="E43" i="66"/>
  <c r="F43" i="66"/>
  <c r="F70" i="66" s="1"/>
  <c r="G43" i="66"/>
  <c r="H43" i="66"/>
  <c r="C44" i="66"/>
  <c r="D44" i="66"/>
  <c r="E44" i="66"/>
  <c r="F44" i="66"/>
  <c r="G44" i="66"/>
  <c r="H44" i="66"/>
  <c r="H71" i="66" s="1"/>
  <c r="C45" i="66"/>
  <c r="D45" i="66"/>
  <c r="E45" i="66"/>
  <c r="E72" i="66" s="1"/>
  <c r="F45" i="66"/>
  <c r="G45" i="66"/>
  <c r="H45" i="66"/>
  <c r="D72" i="66" s="1"/>
  <c r="C46" i="66"/>
  <c r="D46" i="66"/>
  <c r="E46" i="66"/>
  <c r="F46" i="66"/>
  <c r="G46" i="66"/>
  <c r="G73" i="66" s="1"/>
  <c r="H46" i="66"/>
  <c r="C49" i="66"/>
  <c r="D49" i="66"/>
  <c r="D76" i="66" s="1"/>
  <c r="E49" i="66"/>
  <c r="F49" i="66"/>
  <c r="F76" i="66" s="1"/>
  <c r="G49" i="66"/>
  <c r="H49" i="66"/>
  <c r="C50" i="66"/>
  <c r="D50" i="66"/>
  <c r="E50" i="66"/>
  <c r="F50" i="66"/>
  <c r="G50" i="66"/>
  <c r="H50" i="66"/>
  <c r="H77" i="66" s="1"/>
  <c r="C51" i="66"/>
  <c r="D51" i="66"/>
  <c r="E51" i="66"/>
  <c r="F51" i="66"/>
  <c r="G51" i="66"/>
  <c r="H51" i="66"/>
  <c r="H78" i="66" s="1"/>
  <c r="D53" i="66"/>
  <c r="F60" i="66"/>
  <c r="H60" i="66"/>
  <c r="H64" i="66"/>
  <c r="D68" i="66"/>
  <c r="H70" i="66"/>
  <c r="H76" i="66"/>
  <c r="E6" i="3"/>
  <c r="F6" i="3"/>
  <c r="G6" i="3"/>
  <c r="I6" i="3"/>
  <c r="J6" i="3"/>
  <c r="E7" i="3"/>
  <c r="F7" i="3"/>
  <c r="G7" i="3"/>
  <c r="I7" i="3"/>
  <c r="J7" i="3"/>
  <c r="L7" i="3"/>
  <c r="E8" i="3"/>
  <c r="F8" i="3"/>
  <c r="G8" i="3"/>
  <c r="I8" i="3"/>
  <c r="J8" i="3"/>
  <c r="E9" i="3"/>
  <c r="F9" i="3"/>
  <c r="G9" i="3"/>
  <c r="I9" i="3"/>
  <c r="J9" i="3"/>
  <c r="E10" i="3"/>
  <c r="F10" i="3"/>
  <c r="G10" i="3"/>
  <c r="I10" i="3"/>
  <c r="J10" i="3"/>
  <c r="E5" i="2"/>
  <c r="F5" i="2"/>
  <c r="G5" i="2"/>
  <c r="H5" i="2"/>
  <c r="I5" i="2"/>
  <c r="J5" i="2"/>
  <c r="K5" i="2"/>
  <c r="E6" i="2"/>
  <c r="F6" i="2"/>
  <c r="G6" i="2"/>
  <c r="H6" i="2"/>
  <c r="I6" i="2"/>
  <c r="J6" i="2"/>
  <c r="K6" i="2"/>
  <c r="E7" i="2"/>
  <c r="F7" i="2"/>
  <c r="G7" i="2"/>
  <c r="H7" i="2"/>
  <c r="I7" i="2"/>
  <c r="J7" i="2"/>
  <c r="K7" i="2"/>
  <c r="E8" i="2"/>
  <c r="F8" i="2"/>
  <c r="G8" i="2"/>
  <c r="H8" i="2"/>
  <c r="I8" i="2"/>
  <c r="J8" i="2"/>
  <c r="K8" i="2"/>
  <c r="E9" i="2"/>
  <c r="F9" i="2"/>
  <c r="G9" i="2"/>
  <c r="H9" i="2"/>
  <c r="I9" i="2"/>
  <c r="J9" i="2"/>
  <c r="K9" i="2"/>
  <c r="E10" i="2"/>
  <c r="F10" i="2"/>
  <c r="G10" i="2"/>
  <c r="H10" i="2"/>
  <c r="I10" i="2"/>
  <c r="J10" i="2"/>
  <c r="K10" i="2"/>
  <c r="E11" i="2"/>
  <c r="F11" i="2"/>
  <c r="G11" i="2"/>
  <c r="H11" i="2"/>
  <c r="I11" i="2"/>
  <c r="J11" i="2"/>
  <c r="K11" i="2"/>
  <c r="E13" i="2"/>
  <c r="F13" i="2"/>
  <c r="G13" i="2"/>
  <c r="H13" i="2"/>
  <c r="I13" i="2"/>
  <c r="J13" i="2"/>
  <c r="K13" i="2"/>
  <c r="E14" i="2"/>
  <c r="F14" i="2"/>
  <c r="G14" i="2"/>
  <c r="H14" i="2"/>
  <c r="I14" i="2"/>
  <c r="J14" i="2"/>
  <c r="K14" i="2"/>
  <c r="E15" i="2"/>
  <c r="F15" i="2"/>
  <c r="G15" i="2"/>
  <c r="H15" i="2"/>
  <c r="I15" i="2"/>
  <c r="J15" i="2"/>
  <c r="K15" i="2"/>
  <c r="E16" i="2"/>
  <c r="F16" i="2"/>
  <c r="G16" i="2"/>
  <c r="H16" i="2"/>
  <c r="I16" i="2"/>
  <c r="J16" i="2"/>
  <c r="K16" i="2"/>
  <c r="E17" i="2"/>
  <c r="F17" i="2"/>
  <c r="G17" i="2"/>
  <c r="H17" i="2"/>
  <c r="I17" i="2"/>
  <c r="J17" i="2"/>
  <c r="K17" i="2"/>
  <c r="E18" i="2"/>
  <c r="F18" i="2"/>
  <c r="G18" i="2"/>
  <c r="H18" i="2"/>
  <c r="I18" i="2"/>
  <c r="J18" i="2"/>
  <c r="K18" i="2"/>
  <c r="B20" i="2"/>
  <c r="C20" i="2"/>
  <c r="E20" i="2"/>
  <c r="F20" i="2"/>
  <c r="G20" i="2"/>
  <c r="H20" i="2"/>
  <c r="I20" i="2"/>
  <c r="J20" i="2"/>
  <c r="K20" i="2"/>
  <c r="B21" i="2"/>
  <c r="C21" i="2"/>
  <c r="E21" i="2"/>
  <c r="F21" i="2"/>
  <c r="G21" i="2"/>
  <c r="H21" i="2"/>
  <c r="I21" i="2"/>
  <c r="J21" i="2"/>
  <c r="K21" i="2"/>
  <c r="B22" i="2"/>
  <c r="C22" i="2"/>
  <c r="E22" i="2"/>
  <c r="F22" i="2"/>
  <c r="G22" i="2"/>
  <c r="H22" i="2"/>
  <c r="I22" i="2"/>
  <c r="J22" i="2"/>
  <c r="K22" i="2"/>
  <c r="E24" i="2"/>
  <c r="F24" i="2"/>
  <c r="G24" i="2"/>
  <c r="H24" i="2"/>
  <c r="I24" i="2"/>
  <c r="J24" i="2"/>
  <c r="K24" i="2"/>
  <c r="E4" i="16"/>
  <c r="F4" i="16"/>
  <c r="G4" i="16"/>
  <c r="H4" i="16"/>
  <c r="I4" i="16"/>
  <c r="J4" i="16"/>
  <c r="B5" i="16"/>
  <c r="C5" i="16"/>
  <c r="D5" i="16"/>
  <c r="E5" i="16"/>
  <c r="F5" i="16"/>
  <c r="G5" i="16"/>
  <c r="J5" i="16"/>
  <c r="L5" i="16"/>
  <c r="M5" i="16"/>
  <c r="N5" i="16"/>
  <c r="O5" i="16"/>
  <c r="P5" i="16"/>
  <c r="B6" i="16"/>
  <c r="C6" i="16"/>
  <c r="D6" i="16"/>
  <c r="E6" i="16"/>
  <c r="F6" i="16"/>
  <c r="G6" i="16"/>
  <c r="J6" i="16"/>
  <c r="L6" i="16"/>
  <c r="M6" i="16"/>
  <c r="N6" i="16"/>
  <c r="O6" i="16"/>
  <c r="P6" i="16"/>
  <c r="B7" i="16"/>
  <c r="C7" i="16"/>
  <c r="D7" i="16"/>
  <c r="E7" i="16"/>
  <c r="F7" i="16"/>
  <c r="G7" i="16"/>
  <c r="J7" i="16"/>
  <c r="L7" i="16"/>
  <c r="M7" i="16"/>
  <c r="N7" i="16"/>
  <c r="O7" i="16"/>
  <c r="P7" i="16"/>
  <c r="B8" i="16"/>
  <c r="C8" i="16"/>
  <c r="D8" i="16"/>
  <c r="E8" i="16"/>
  <c r="F8" i="16"/>
  <c r="G8" i="16"/>
  <c r="J8" i="16"/>
  <c r="L8" i="16"/>
  <c r="M8" i="16"/>
  <c r="N8" i="16"/>
  <c r="O8" i="16"/>
  <c r="P8" i="16"/>
  <c r="B9" i="16"/>
  <c r="C9" i="16"/>
  <c r="D9" i="16"/>
  <c r="E9" i="16"/>
  <c r="F9" i="16"/>
  <c r="G9" i="16"/>
  <c r="J9" i="16"/>
  <c r="L9" i="16"/>
  <c r="M9" i="16"/>
  <c r="N9" i="16"/>
  <c r="O9" i="16"/>
  <c r="P9" i="16"/>
  <c r="B10" i="16"/>
  <c r="C10" i="16"/>
  <c r="D10" i="16"/>
  <c r="E10" i="16"/>
  <c r="F10" i="16"/>
  <c r="G10" i="16"/>
  <c r="J10" i="16"/>
  <c r="L10" i="16"/>
  <c r="M10" i="16"/>
  <c r="N10" i="16"/>
  <c r="O10" i="16"/>
  <c r="P10" i="16"/>
  <c r="E11" i="16"/>
  <c r="F11" i="16"/>
  <c r="G11" i="16"/>
  <c r="J11" i="16"/>
  <c r="O11" i="16"/>
  <c r="P11" i="16"/>
  <c r="B13" i="16"/>
  <c r="C13" i="16"/>
  <c r="D13" i="16"/>
  <c r="E13" i="16"/>
  <c r="F13" i="16"/>
  <c r="G13" i="16"/>
  <c r="J13" i="16"/>
  <c r="L13" i="16"/>
  <c r="M13" i="16"/>
  <c r="N13" i="16"/>
  <c r="O13" i="16"/>
  <c r="P13" i="16"/>
  <c r="B14" i="16"/>
  <c r="C14" i="16"/>
  <c r="D14" i="16"/>
  <c r="E14" i="16"/>
  <c r="F14" i="16"/>
  <c r="G14" i="16"/>
  <c r="J14" i="16"/>
  <c r="L14" i="16"/>
  <c r="M14" i="16"/>
  <c r="N14" i="16"/>
  <c r="O14" i="16"/>
  <c r="P14" i="16"/>
  <c r="B15" i="16"/>
  <c r="C15" i="16"/>
  <c r="D15" i="16"/>
  <c r="E15" i="16"/>
  <c r="F15" i="16"/>
  <c r="G15" i="16"/>
  <c r="J15" i="16"/>
  <c r="L15" i="16"/>
  <c r="M15" i="16"/>
  <c r="N15" i="16"/>
  <c r="O15" i="16"/>
  <c r="P15" i="16"/>
  <c r="B16" i="16"/>
  <c r="C16" i="16"/>
  <c r="D16" i="16"/>
  <c r="E16" i="16"/>
  <c r="F16" i="16"/>
  <c r="G16" i="16"/>
  <c r="J16" i="16"/>
  <c r="L16" i="16"/>
  <c r="M16" i="16"/>
  <c r="N16" i="16"/>
  <c r="O16" i="16"/>
  <c r="P16" i="16"/>
  <c r="B17" i="16"/>
  <c r="C17" i="16"/>
  <c r="D17" i="16"/>
  <c r="E17" i="16"/>
  <c r="F17" i="16"/>
  <c r="G17" i="16"/>
  <c r="J17" i="16"/>
  <c r="L17" i="16"/>
  <c r="M17" i="16"/>
  <c r="N17" i="16"/>
  <c r="O17" i="16"/>
  <c r="P17" i="16"/>
  <c r="B18" i="16"/>
  <c r="E18" i="16"/>
  <c r="F18" i="16"/>
  <c r="G18" i="16"/>
  <c r="J18" i="16"/>
  <c r="L18" i="16"/>
  <c r="P18" i="16"/>
  <c r="B20" i="16"/>
  <c r="C20" i="16"/>
  <c r="D20" i="16"/>
  <c r="E20" i="16"/>
  <c r="F20" i="16"/>
  <c r="G20" i="16"/>
  <c r="J20" i="16"/>
  <c r="L20" i="16"/>
  <c r="M20" i="16"/>
  <c r="N20" i="16"/>
  <c r="O20" i="16"/>
  <c r="P20" i="16"/>
  <c r="B21" i="16"/>
  <c r="C21" i="16"/>
  <c r="D21" i="16"/>
  <c r="E21" i="16"/>
  <c r="F21" i="16"/>
  <c r="G21" i="16"/>
  <c r="J21" i="16"/>
  <c r="L21" i="16"/>
  <c r="M21" i="16"/>
  <c r="N21" i="16"/>
  <c r="O21" i="16"/>
  <c r="P21" i="16"/>
  <c r="B22" i="16"/>
  <c r="C22" i="16"/>
  <c r="E22" i="16"/>
  <c r="F22" i="16"/>
  <c r="G22" i="16"/>
  <c r="J22" i="16"/>
  <c r="M22" i="16"/>
  <c r="O22" i="16"/>
  <c r="P22" i="16"/>
  <c r="E24" i="16"/>
  <c r="F24" i="16"/>
  <c r="G24" i="16"/>
  <c r="J24" i="16"/>
  <c r="H43" i="77"/>
  <c r="H69" i="77" s="1"/>
  <c r="F43" i="77"/>
  <c r="D43" i="77"/>
  <c r="E39" i="77"/>
  <c r="E34" i="77"/>
  <c r="G32" i="77"/>
  <c r="E32" i="77"/>
  <c r="E30" i="77"/>
  <c r="F29" i="77"/>
  <c r="D29" i="77"/>
  <c r="B23" i="77"/>
  <c r="B47" i="77" s="1"/>
  <c r="G39" i="78"/>
  <c r="E39" i="78"/>
  <c r="E29" i="78"/>
  <c r="E55" i="78" s="1"/>
  <c r="B45" i="75"/>
  <c r="J45" i="75" s="1"/>
  <c r="H44" i="75"/>
  <c r="D44" i="75"/>
  <c r="K43" i="75"/>
  <c r="T20" i="17" s="1"/>
  <c r="I43" i="75"/>
  <c r="G43" i="75"/>
  <c r="E43" i="75"/>
  <c r="J40" i="75"/>
  <c r="F40" i="75"/>
  <c r="H40" i="75"/>
  <c r="D40" i="75"/>
  <c r="I40" i="75"/>
  <c r="G40" i="75"/>
  <c r="E40" i="75"/>
  <c r="K44" i="75"/>
  <c r="I44" i="75"/>
  <c r="G44" i="75"/>
  <c r="E44" i="75"/>
  <c r="K39" i="76"/>
  <c r="U16" i="17" s="1"/>
  <c r="K17" i="76"/>
  <c r="K33" i="76"/>
  <c r="K31" i="76"/>
  <c r="B45" i="76"/>
  <c r="H44" i="76"/>
  <c r="H38" i="76"/>
  <c r="D38" i="76"/>
  <c r="H36" i="76"/>
  <c r="D36" i="76"/>
  <c r="H33" i="76"/>
  <c r="D33" i="76"/>
  <c r="H31" i="76"/>
  <c r="D31" i="76"/>
  <c r="H29" i="76"/>
  <c r="D29" i="76"/>
  <c r="B64" i="76"/>
  <c r="J40" i="76"/>
  <c r="F44" i="76"/>
  <c r="D44" i="76"/>
  <c r="F40" i="76"/>
  <c r="B41" i="76"/>
  <c r="H40" i="76"/>
  <c r="D40" i="76"/>
  <c r="B23" i="76"/>
  <c r="H23" i="76"/>
  <c r="F23" i="76"/>
  <c r="K21" i="76"/>
  <c r="I23" i="76"/>
  <c r="G23" i="76"/>
  <c r="E23" i="76"/>
  <c r="C23" i="76"/>
  <c r="K55" i="76"/>
  <c r="K44" i="76"/>
  <c r="I44" i="76"/>
  <c r="I68" i="76" s="1"/>
  <c r="G44" i="76"/>
  <c r="E44" i="76"/>
  <c r="K43" i="76"/>
  <c r="U20" i="17" s="1"/>
  <c r="I43" i="76"/>
  <c r="G43" i="76"/>
  <c r="E43" i="76"/>
  <c r="K40" i="76"/>
  <c r="I40" i="76"/>
  <c r="I64" i="76" s="1"/>
  <c r="G40" i="76"/>
  <c r="E40" i="76"/>
  <c r="I39" i="76"/>
  <c r="I63" i="76" s="1"/>
  <c r="G39" i="76"/>
  <c r="E39" i="76"/>
  <c r="I38" i="76"/>
  <c r="G38" i="76"/>
  <c r="E38" i="76"/>
  <c r="K37" i="76"/>
  <c r="K61" i="76" s="1"/>
  <c r="I37" i="76"/>
  <c r="G37" i="76"/>
  <c r="E37" i="76"/>
  <c r="K36" i="76"/>
  <c r="I36" i="76"/>
  <c r="G36" i="76"/>
  <c r="E36" i="76"/>
  <c r="I33" i="76"/>
  <c r="G33" i="76"/>
  <c r="G57" i="76" s="1"/>
  <c r="E33" i="76"/>
  <c r="K32" i="76"/>
  <c r="U9" i="17" s="1"/>
  <c r="I32" i="76"/>
  <c r="G32" i="76"/>
  <c r="E32" i="76"/>
  <c r="I31" i="76"/>
  <c r="I55" i="76" s="1"/>
  <c r="G31" i="76"/>
  <c r="G55" i="76" s="1"/>
  <c r="E31" i="76"/>
  <c r="I30" i="76"/>
  <c r="G30" i="76"/>
  <c r="E30" i="76"/>
  <c r="G29" i="76"/>
  <c r="E29" i="76"/>
  <c r="K28" i="76"/>
  <c r="I28" i="76"/>
  <c r="G28" i="76"/>
  <c r="E28" i="76"/>
  <c r="E50" i="13"/>
  <c r="G32" i="13"/>
  <c r="E32" i="13"/>
  <c r="E36" i="15"/>
  <c r="G28" i="30"/>
  <c r="E28" i="30"/>
  <c r="B49" i="33"/>
  <c r="E42" i="33"/>
  <c r="G40" i="33"/>
  <c r="E40" i="33"/>
  <c r="E32" i="33"/>
  <c r="E30" i="33"/>
  <c r="G47" i="54"/>
  <c r="E47" i="48"/>
  <c r="E43" i="48"/>
  <c r="G41" i="48"/>
  <c r="E41" i="48"/>
  <c r="G39" i="48"/>
  <c r="E39" i="48"/>
  <c r="G35" i="48"/>
  <c r="E35" i="48"/>
  <c r="G33" i="48"/>
  <c r="E33" i="48"/>
  <c r="H29" i="69"/>
  <c r="F29" i="69"/>
  <c r="H28" i="69"/>
  <c r="G43" i="73"/>
  <c r="E43" i="73"/>
  <c r="G40" i="73"/>
  <c r="E40" i="73"/>
  <c r="G38" i="73"/>
  <c r="E38" i="73"/>
  <c r="G36" i="73"/>
  <c r="E36" i="73"/>
  <c r="G31" i="73"/>
  <c r="E31" i="73"/>
  <c r="G29" i="73"/>
  <c r="E29" i="73"/>
  <c r="J23" i="55"/>
  <c r="J23" i="71"/>
  <c r="K21" i="18" s="1"/>
  <c r="I23" i="71"/>
  <c r="J21" i="18" s="1"/>
  <c r="D23" i="71"/>
  <c r="E21" i="18" s="1"/>
  <c r="J23" i="68"/>
  <c r="K20" i="18" s="1"/>
  <c r="H23" i="68"/>
  <c r="I20" i="18" s="1"/>
  <c r="E23" i="68"/>
  <c r="F20" i="18" s="1"/>
  <c r="H37" i="79"/>
  <c r="H35" i="79"/>
  <c r="H43" i="79"/>
  <c r="J32" i="79"/>
  <c r="U5" i="2" s="1"/>
  <c r="J49" i="79"/>
  <c r="U20" i="2" s="1"/>
  <c r="J41" i="79"/>
  <c r="U13" i="2" s="1"/>
  <c r="K29" i="71"/>
  <c r="K36" i="71"/>
  <c r="K44" i="71"/>
  <c r="K68" i="71" s="1"/>
  <c r="H34" i="79"/>
  <c r="H44" i="79"/>
  <c r="K68" i="76"/>
  <c r="G53" i="71"/>
  <c r="L10" i="83"/>
  <c r="M10" i="83"/>
  <c r="M18" i="83"/>
  <c r="K33" i="83"/>
  <c r="W6" i="2" s="1"/>
  <c r="I33" i="83"/>
  <c r="L33" i="83"/>
  <c r="X6" i="2" s="1"/>
  <c r="K35" i="83"/>
  <c r="W8" i="2" s="1"/>
  <c r="I35" i="83"/>
  <c r="L35" i="83"/>
  <c r="X8" i="2"/>
  <c r="K36" i="83"/>
  <c r="W9" i="2" s="1"/>
  <c r="L36" i="83"/>
  <c r="X9" i="2" s="1"/>
  <c r="I36" i="83"/>
  <c r="B46" i="83"/>
  <c r="E46" i="83" s="1"/>
  <c r="L41" i="83"/>
  <c r="X13" i="2" s="1"/>
  <c r="I41" i="83"/>
  <c r="K43" i="83"/>
  <c r="W15" i="2" s="1"/>
  <c r="I43" i="83"/>
  <c r="L43" i="83"/>
  <c r="X15" i="2" s="1"/>
  <c r="K45" i="83"/>
  <c r="W17" i="2" s="1"/>
  <c r="L45" i="83"/>
  <c r="X17" i="2" s="1"/>
  <c r="I45" i="83"/>
  <c r="K50" i="83"/>
  <c r="W21" i="2" s="1"/>
  <c r="L50" i="83"/>
  <c r="X21" i="2" s="1"/>
  <c r="I50" i="83"/>
  <c r="M23" i="83"/>
  <c r="B38" i="83"/>
  <c r="H38" i="83" s="1"/>
  <c r="I32" i="83"/>
  <c r="L32" i="83"/>
  <c r="X5" i="2" s="1"/>
  <c r="K34" i="83"/>
  <c r="W7" i="2" s="1"/>
  <c r="L34" i="83"/>
  <c r="X7" i="2" s="1"/>
  <c r="I34" i="83"/>
  <c r="K37" i="83"/>
  <c r="W10" i="2" s="1"/>
  <c r="I37" i="83"/>
  <c r="L37" i="83"/>
  <c r="X10" i="2" s="1"/>
  <c r="K42" i="83"/>
  <c r="W14" i="2" s="1"/>
  <c r="L42" i="83"/>
  <c r="X14" i="2" s="1"/>
  <c r="I42" i="83"/>
  <c r="K44" i="83"/>
  <c r="W16" i="2" s="1"/>
  <c r="L44" i="83"/>
  <c r="X16" i="2" s="1"/>
  <c r="I44" i="83"/>
  <c r="G49" i="83"/>
  <c r="G76" i="83" s="1"/>
  <c r="L49" i="83"/>
  <c r="X20" i="2" s="1"/>
  <c r="I49" i="83"/>
  <c r="K22" i="83"/>
  <c r="G43" i="83"/>
  <c r="C43" i="83"/>
  <c r="J41" i="83"/>
  <c r="J42" i="83"/>
  <c r="J45" i="83"/>
  <c r="C41" i="83"/>
  <c r="C68" i="83" s="1"/>
  <c r="G41" i="83"/>
  <c r="E43" i="83"/>
  <c r="C45" i="83"/>
  <c r="G45" i="83"/>
  <c r="E41" i="83"/>
  <c r="E45" i="83"/>
  <c r="C33" i="83"/>
  <c r="G33" i="83"/>
  <c r="E35" i="83"/>
  <c r="C37" i="83"/>
  <c r="G37" i="83"/>
  <c r="B25" i="83"/>
  <c r="E33" i="83"/>
  <c r="G35" i="83"/>
  <c r="E37" i="83"/>
  <c r="E68" i="83"/>
  <c r="K5" i="83"/>
  <c r="K9" i="83"/>
  <c r="K14" i="83"/>
  <c r="K21" i="83"/>
  <c r="J23" i="83"/>
  <c r="L23" i="83"/>
  <c r="C25" i="83"/>
  <c r="U6" i="3" s="1"/>
  <c r="E25" i="83"/>
  <c r="U8" i="3" s="1"/>
  <c r="G25" i="83"/>
  <c r="C32" i="83"/>
  <c r="E32" i="83"/>
  <c r="G32" i="83"/>
  <c r="D33" i="83"/>
  <c r="F33" i="83"/>
  <c r="H33" i="83"/>
  <c r="C34" i="83"/>
  <c r="E34" i="83"/>
  <c r="G34" i="83"/>
  <c r="J34" i="83"/>
  <c r="D35" i="83"/>
  <c r="F35" i="83"/>
  <c r="H35" i="83"/>
  <c r="C36" i="83"/>
  <c r="E36" i="83"/>
  <c r="G36" i="83"/>
  <c r="J36" i="83"/>
  <c r="D37" i="83"/>
  <c r="F37" i="83"/>
  <c r="H37" i="83"/>
  <c r="D41" i="83"/>
  <c r="D68" i="83" s="1"/>
  <c r="F41" i="83"/>
  <c r="F68" i="83" s="1"/>
  <c r="H41" i="83"/>
  <c r="H68" i="83" s="1"/>
  <c r="K41" i="83"/>
  <c r="W13" i="2" s="1"/>
  <c r="C42" i="83"/>
  <c r="E42" i="83"/>
  <c r="G42" i="83"/>
  <c r="D43" i="83"/>
  <c r="F43" i="83"/>
  <c r="H43" i="83"/>
  <c r="C44" i="83"/>
  <c r="E44" i="83"/>
  <c r="G44" i="83"/>
  <c r="D45" i="83"/>
  <c r="F45" i="83"/>
  <c r="H45" i="83"/>
  <c r="D49" i="83"/>
  <c r="D76" i="83"/>
  <c r="F49" i="83"/>
  <c r="F76" i="83" s="1"/>
  <c r="H49" i="83"/>
  <c r="H76" i="83" s="1"/>
  <c r="K49" i="83"/>
  <c r="W20" i="2" s="1"/>
  <c r="C50" i="83"/>
  <c r="C77" i="83" s="1"/>
  <c r="E50" i="83"/>
  <c r="E77" i="83" s="1"/>
  <c r="G50" i="83"/>
  <c r="G77" i="83"/>
  <c r="B51" i="83"/>
  <c r="F51" i="83" s="1"/>
  <c r="K13" i="83"/>
  <c r="K15" i="83"/>
  <c r="D25" i="83"/>
  <c r="F25" i="83"/>
  <c r="U9" i="3" s="1"/>
  <c r="H25" i="83"/>
  <c r="D32" i="83"/>
  <c r="F32" i="83"/>
  <c r="H32" i="83"/>
  <c r="K32" i="83"/>
  <c r="W5" i="2" s="1"/>
  <c r="D34" i="83"/>
  <c r="F34" i="83"/>
  <c r="H34" i="83"/>
  <c r="D36" i="83"/>
  <c r="F36" i="83"/>
  <c r="H36" i="83"/>
  <c r="D42" i="83"/>
  <c r="F42" i="83"/>
  <c r="H42" i="83"/>
  <c r="D44" i="83"/>
  <c r="F44" i="83"/>
  <c r="H44" i="83"/>
  <c r="C49" i="83"/>
  <c r="C76" i="83" s="1"/>
  <c r="E49" i="83"/>
  <c r="D50" i="83"/>
  <c r="D77" i="83" s="1"/>
  <c r="F50" i="83"/>
  <c r="F77" i="83" s="1"/>
  <c r="H50" i="83"/>
  <c r="H77" i="83" s="1"/>
  <c r="L38" i="83"/>
  <c r="X11" i="2" s="1"/>
  <c r="K23" i="83"/>
  <c r="B23" i="88"/>
  <c r="D38" i="87"/>
  <c r="B23" i="87"/>
  <c r="D28" i="87"/>
  <c r="K29" i="87"/>
  <c r="K31" i="87"/>
  <c r="K33" i="87"/>
  <c r="I33" i="87"/>
  <c r="G33" i="87"/>
  <c r="E33" i="87"/>
  <c r="E57" i="87" s="1"/>
  <c r="I31" i="87"/>
  <c r="I55" i="87" s="1"/>
  <c r="G31" i="87"/>
  <c r="E31" i="87"/>
  <c r="I29" i="87"/>
  <c r="G29" i="87"/>
  <c r="E29" i="87"/>
  <c r="E53" i="87" s="1"/>
  <c r="K21" i="89"/>
  <c r="G23" i="89"/>
  <c r="C28" i="89"/>
  <c r="C52" i="89" s="1"/>
  <c r="E28" i="89"/>
  <c r="E52" i="89" s="1"/>
  <c r="G28" i="89"/>
  <c r="I28" i="89"/>
  <c r="C29" i="89"/>
  <c r="E29" i="89"/>
  <c r="G29" i="89"/>
  <c r="I29" i="89"/>
  <c r="K29" i="89"/>
  <c r="I31" i="89"/>
  <c r="C32" i="89"/>
  <c r="E32" i="89"/>
  <c r="G32" i="89"/>
  <c r="I32" i="89"/>
  <c r="C33" i="89"/>
  <c r="E33" i="89"/>
  <c r="G33" i="89"/>
  <c r="I33" i="89"/>
  <c r="C36" i="89"/>
  <c r="E36" i="89"/>
  <c r="G36" i="89"/>
  <c r="I36" i="89"/>
  <c r="C37" i="89"/>
  <c r="E37" i="89"/>
  <c r="G37" i="89"/>
  <c r="I37" i="89"/>
  <c r="I61" i="89" s="1"/>
  <c r="C38" i="89"/>
  <c r="E38" i="89"/>
  <c r="G38" i="89"/>
  <c r="I38" i="89"/>
  <c r="C39" i="89"/>
  <c r="E39" i="89"/>
  <c r="G39" i="89"/>
  <c r="I39" i="89"/>
  <c r="E43" i="89"/>
  <c r="G43" i="89"/>
  <c r="C44" i="89"/>
  <c r="C68" i="89" s="1"/>
  <c r="E44" i="89"/>
  <c r="E68" i="89" s="1"/>
  <c r="G44" i="89"/>
  <c r="G68" i="89" s="1"/>
  <c r="I44" i="89"/>
  <c r="I68" i="89" s="1"/>
  <c r="D23" i="89"/>
  <c r="H23" i="89"/>
  <c r="D28" i="89"/>
  <c r="F28" i="89"/>
  <c r="H28" i="89"/>
  <c r="H52" i="89" s="1"/>
  <c r="J28" i="89"/>
  <c r="J52" i="89" s="1"/>
  <c r="D29" i="89"/>
  <c r="F29" i="89"/>
  <c r="H29" i="89"/>
  <c r="F30" i="89"/>
  <c r="H30" i="89"/>
  <c r="D32" i="89"/>
  <c r="F32" i="89"/>
  <c r="H32" i="89"/>
  <c r="D33" i="89"/>
  <c r="F33" i="89"/>
  <c r="H33" i="89"/>
  <c r="D36" i="89"/>
  <c r="F36" i="89"/>
  <c r="H36" i="89"/>
  <c r="J36" i="89"/>
  <c r="D37" i="89"/>
  <c r="F37" i="89"/>
  <c r="F61" i="89" s="1"/>
  <c r="H37" i="89"/>
  <c r="J37" i="89"/>
  <c r="J61" i="89" s="1"/>
  <c r="D38" i="89"/>
  <c r="F38" i="89"/>
  <c r="H38" i="89"/>
  <c r="J38" i="89"/>
  <c r="D39" i="89"/>
  <c r="F39" i="89"/>
  <c r="H39" i="89"/>
  <c r="J39" i="89"/>
  <c r="D43" i="89"/>
  <c r="F43" i="89"/>
  <c r="D44" i="89"/>
  <c r="D68" i="89" s="1"/>
  <c r="F44" i="89"/>
  <c r="F68" i="89" s="1"/>
  <c r="H44" i="89"/>
  <c r="H68" i="89" s="1"/>
  <c r="J44" i="89"/>
  <c r="J68" i="89" s="1"/>
  <c r="B45" i="89"/>
  <c r="K17" i="88"/>
  <c r="K21" i="88"/>
  <c r="E23" i="88"/>
  <c r="I23" i="88"/>
  <c r="C29" i="88"/>
  <c r="E29" i="88"/>
  <c r="G29" i="88"/>
  <c r="G53" i="88" s="1"/>
  <c r="I29" i="88"/>
  <c r="I53" i="88" s="1"/>
  <c r="C30" i="88"/>
  <c r="E30" i="88"/>
  <c r="G30" i="88"/>
  <c r="I30" i="88"/>
  <c r="C31" i="88"/>
  <c r="E31" i="88"/>
  <c r="G31" i="88"/>
  <c r="I31" i="88"/>
  <c r="I32" i="88"/>
  <c r="C33" i="88"/>
  <c r="E33" i="88"/>
  <c r="G33" i="88"/>
  <c r="I33" i="88"/>
  <c r="C36" i="88"/>
  <c r="I36" i="88"/>
  <c r="C39" i="88"/>
  <c r="C63" i="88" s="1"/>
  <c r="E39" i="88"/>
  <c r="E63" i="88"/>
  <c r="G39" i="88"/>
  <c r="G63" i="88" s="1"/>
  <c r="I39" i="88"/>
  <c r="I63" i="88" s="1"/>
  <c r="C40" i="88"/>
  <c r="I40" i="88"/>
  <c r="I43" i="88"/>
  <c r="C44" i="88"/>
  <c r="C68" i="88" s="1"/>
  <c r="E44" i="88"/>
  <c r="E68" i="88" s="1"/>
  <c r="G44" i="88"/>
  <c r="G68" i="88" s="1"/>
  <c r="I44" i="88"/>
  <c r="I68" i="88" s="1"/>
  <c r="H23" i="88"/>
  <c r="J23" i="88"/>
  <c r="D29" i="88"/>
  <c r="D53" i="88" s="1"/>
  <c r="F29" i="88"/>
  <c r="F53" i="88" s="1"/>
  <c r="H29" i="88"/>
  <c r="D30" i="88"/>
  <c r="F30" i="88"/>
  <c r="H30" i="88"/>
  <c r="D31" i="88"/>
  <c r="F31" i="88"/>
  <c r="H31" i="88"/>
  <c r="D33" i="88"/>
  <c r="F33" i="88"/>
  <c r="H33" i="88"/>
  <c r="D36" i="88"/>
  <c r="F36" i="88"/>
  <c r="H38" i="88"/>
  <c r="J38" i="88"/>
  <c r="D39" i="88"/>
  <c r="D63" i="88" s="1"/>
  <c r="F39" i="88"/>
  <c r="F63" i="88" s="1"/>
  <c r="H39" i="88"/>
  <c r="H63" i="88" s="1"/>
  <c r="J39" i="88"/>
  <c r="J63" i="88" s="1"/>
  <c r="D40" i="88"/>
  <c r="F40" i="88"/>
  <c r="K43" i="87"/>
  <c r="V20" i="17" s="1"/>
  <c r="K21" i="87"/>
  <c r="B61" i="87"/>
  <c r="B63" i="87"/>
  <c r="B68" i="87"/>
  <c r="D23" i="87"/>
  <c r="H23" i="87"/>
  <c r="B34" i="87"/>
  <c r="E34" i="87" s="1"/>
  <c r="E55" i="87"/>
  <c r="B60" i="87"/>
  <c r="B62" i="87"/>
  <c r="B64" i="87"/>
  <c r="B67" i="87"/>
  <c r="B69" i="87" s="1"/>
  <c r="K37" i="87"/>
  <c r="K39" i="87"/>
  <c r="V16" i="17" s="1"/>
  <c r="K44" i="87"/>
  <c r="F23" i="87"/>
  <c r="B45" i="87"/>
  <c r="C23" i="87"/>
  <c r="E23" i="87"/>
  <c r="G23" i="87"/>
  <c r="I23" i="87"/>
  <c r="C36" i="86"/>
  <c r="C38" i="86"/>
  <c r="C40" i="86"/>
  <c r="E36" i="86"/>
  <c r="E38" i="86"/>
  <c r="B60" i="86"/>
  <c r="C23" i="86"/>
  <c r="E23" i="86"/>
  <c r="G23" i="86"/>
  <c r="H33" i="85"/>
  <c r="H59" i="85" s="1"/>
  <c r="B60" i="85"/>
  <c r="B73" i="85" s="1"/>
  <c r="C32" i="85"/>
  <c r="C38" i="84"/>
  <c r="E36" i="84"/>
  <c r="C36" i="84"/>
  <c r="G36" i="84"/>
  <c r="E38" i="84"/>
  <c r="E29" i="84"/>
  <c r="E55" i="84" s="1"/>
  <c r="C31" i="84"/>
  <c r="G31" i="84"/>
  <c r="E33" i="84"/>
  <c r="E59" i="84" s="1"/>
  <c r="E23" i="84"/>
  <c r="C29" i="84"/>
  <c r="C55" i="84" s="1"/>
  <c r="G29" i="84"/>
  <c r="G55" i="84" s="1"/>
  <c r="E31" i="84"/>
  <c r="C33" i="84"/>
  <c r="C59" i="84" s="1"/>
  <c r="G33" i="84"/>
  <c r="G59" i="84" s="1"/>
  <c r="D34" i="86"/>
  <c r="F34" i="86"/>
  <c r="G54" i="86"/>
  <c r="G70" i="86"/>
  <c r="C34" i="86"/>
  <c r="E34" i="86"/>
  <c r="G34" i="86"/>
  <c r="H10" i="86"/>
  <c r="H34" i="86" s="1"/>
  <c r="B23" i="86"/>
  <c r="B47" i="86" s="1"/>
  <c r="D23" i="86"/>
  <c r="D28" i="86"/>
  <c r="D54" i="86" s="1"/>
  <c r="F28" i="86"/>
  <c r="F54" i="86" s="1"/>
  <c r="C29" i="86"/>
  <c r="E29" i="86"/>
  <c r="G29" i="86"/>
  <c r="D30" i="86"/>
  <c r="F30" i="86"/>
  <c r="C31" i="86"/>
  <c r="D32" i="86"/>
  <c r="F32" i="86"/>
  <c r="E33" i="86"/>
  <c r="G33" i="86"/>
  <c r="G36" i="86"/>
  <c r="G38" i="86"/>
  <c r="E40" i="86"/>
  <c r="G40" i="86"/>
  <c r="B41" i="86"/>
  <c r="D44" i="86"/>
  <c r="D70" i="86" s="1"/>
  <c r="F44" i="86"/>
  <c r="F70" i="86" s="1"/>
  <c r="H21" i="86"/>
  <c r="C28" i="86"/>
  <c r="C54" i="86" s="1"/>
  <c r="E28" i="86"/>
  <c r="E54" i="86" s="1"/>
  <c r="D29" i="86"/>
  <c r="C30" i="86"/>
  <c r="E30" i="86"/>
  <c r="D31" i="86"/>
  <c r="C32" i="86"/>
  <c r="E32" i="86"/>
  <c r="D33" i="86"/>
  <c r="D36" i="86"/>
  <c r="D38" i="86"/>
  <c r="D40" i="86"/>
  <c r="C44" i="86"/>
  <c r="C70" i="86" s="1"/>
  <c r="E44" i="86"/>
  <c r="E70" i="86" s="1"/>
  <c r="F55" i="85"/>
  <c r="C34" i="85"/>
  <c r="H10" i="85"/>
  <c r="B23" i="85"/>
  <c r="B47" i="85" s="1"/>
  <c r="D23" i="85"/>
  <c r="F23" i="85"/>
  <c r="C29" i="85"/>
  <c r="C55" i="85" s="1"/>
  <c r="E29" i="85"/>
  <c r="E55" i="85" s="1"/>
  <c r="G29" i="85"/>
  <c r="G55" i="85" s="1"/>
  <c r="C31" i="85"/>
  <c r="E31" i="85"/>
  <c r="G31" i="85"/>
  <c r="C33" i="85"/>
  <c r="E33" i="85"/>
  <c r="G33" i="85"/>
  <c r="D37" i="85"/>
  <c r="F37" i="85"/>
  <c r="D39" i="85"/>
  <c r="F39" i="85"/>
  <c r="B41" i="85"/>
  <c r="F41" i="85" s="1"/>
  <c r="G23" i="85"/>
  <c r="D29" i="85"/>
  <c r="D55" i="85" s="1"/>
  <c r="D31" i="85"/>
  <c r="D33" i="85"/>
  <c r="D36" i="85"/>
  <c r="C37" i="85"/>
  <c r="E37" i="85"/>
  <c r="D38" i="85"/>
  <c r="C39" i="85"/>
  <c r="E39" i="85"/>
  <c r="D40" i="85"/>
  <c r="C44" i="85"/>
  <c r="C70" i="85" s="1"/>
  <c r="E44" i="85"/>
  <c r="E70" i="85" s="1"/>
  <c r="B45" i="85"/>
  <c r="G45" i="85" s="1"/>
  <c r="C34" i="84"/>
  <c r="E34" i="84"/>
  <c r="G34" i="84"/>
  <c r="F55" i="84"/>
  <c r="G56" i="84"/>
  <c r="F59" i="84"/>
  <c r="G63" i="84"/>
  <c r="D34" i="84"/>
  <c r="F34" i="84"/>
  <c r="H17" i="84"/>
  <c r="B23" i="84"/>
  <c r="B47" i="84" s="1"/>
  <c r="D23" i="84"/>
  <c r="F23" i="84"/>
  <c r="D28" i="84"/>
  <c r="F28" i="84"/>
  <c r="D30" i="84"/>
  <c r="D56" i="84" s="1"/>
  <c r="F30" i="84"/>
  <c r="F56" i="84" s="1"/>
  <c r="D32" i="84"/>
  <c r="F32" i="84"/>
  <c r="D37" i="84"/>
  <c r="D63" i="84" s="1"/>
  <c r="F37" i="84"/>
  <c r="F63" i="84" s="1"/>
  <c r="G38" i="84"/>
  <c r="D39" i="84"/>
  <c r="E40" i="84"/>
  <c r="E66" i="84" s="1"/>
  <c r="G40" i="84"/>
  <c r="G66" i="84" s="1"/>
  <c r="B41" i="84"/>
  <c r="C43" i="84"/>
  <c r="E43" i="84"/>
  <c r="G43" i="84"/>
  <c r="D44" i="84"/>
  <c r="F44" i="84"/>
  <c r="H21" i="84"/>
  <c r="C28" i="84"/>
  <c r="E28" i="84"/>
  <c r="D29" i="84"/>
  <c r="D55" i="84" s="1"/>
  <c r="C30" i="84"/>
  <c r="C56" i="84" s="1"/>
  <c r="E30" i="84"/>
  <c r="E56" i="84" s="1"/>
  <c r="D31" i="84"/>
  <c r="D57" i="84" s="1"/>
  <c r="C32" i="84"/>
  <c r="E32" i="84"/>
  <c r="D33" i="84"/>
  <c r="D59" i="84" s="1"/>
  <c r="D36" i="84"/>
  <c r="C37" i="84"/>
  <c r="C63" i="84"/>
  <c r="E37" i="84"/>
  <c r="E63" i="84" s="1"/>
  <c r="D38" i="84"/>
  <c r="D40" i="84"/>
  <c r="D66" i="84" s="1"/>
  <c r="D43" i="84"/>
  <c r="C44" i="84"/>
  <c r="E44" i="84"/>
  <c r="B45" i="84"/>
  <c r="G45" i="84" s="1"/>
  <c r="H68" i="87"/>
  <c r="H45" i="89"/>
  <c r="D45" i="89"/>
  <c r="I45" i="87"/>
  <c r="E45" i="87"/>
  <c r="H45" i="87"/>
  <c r="D45" i="87"/>
  <c r="D34" i="87"/>
  <c r="G45" i="87"/>
  <c r="C45" i="87"/>
  <c r="F45" i="87"/>
  <c r="F41" i="86"/>
  <c r="G41" i="86"/>
  <c r="E45" i="85"/>
  <c r="C45" i="84"/>
  <c r="D45" i="84"/>
  <c r="D41" i="86"/>
  <c r="V14" i="2"/>
  <c r="I69" i="83"/>
  <c r="D69" i="83"/>
  <c r="I38" i="83"/>
  <c r="D38" i="83"/>
  <c r="F38" i="83"/>
  <c r="E38" i="83"/>
  <c r="K38" i="83"/>
  <c r="W11" i="2" s="1"/>
  <c r="G38" i="83"/>
  <c r="V10" i="17"/>
  <c r="K57" i="87"/>
  <c r="V6" i="17"/>
  <c r="K53" i="87"/>
  <c r="G53" i="87"/>
  <c r="H53" i="87"/>
  <c r="C38" i="83"/>
  <c r="C44" i="61"/>
  <c r="E44" i="61"/>
  <c r="G44" i="61"/>
  <c r="C32" i="61"/>
  <c r="E32" i="61"/>
  <c r="G32" i="61"/>
  <c r="I15" i="61"/>
  <c r="H43" i="61"/>
  <c r="P15" i="2" s="1"/>
  <c r="I13" i="61"/>
  <c r="H41" i="61"/>
  <c r="C50" i="49"/>
  <c r="C44" i="49"/>
  <c r="E44" i="49"/>
  <c r="G44" i="49"/>
  <c r="G36" i="49"/>
  <c r="G34" i="14"/>
  <c r="I9" i="14"/>
  <c r="H37" i="14"/>
  <c r="E43" i="15"/>
  <c r="C44" i="60"/>
  <c r="G44" i="60"/>
  <c r="E37" i="60"/>
  <c r="G37" i="60"/>
  <c r="I37" i="60"/>
  <c r="C32" i="60"/>
  <c r="E32" i="60"/>
  <c r="G32" i="60"/>
  <c r="I32" i="60"/>
  <c r="G30" i="60"/>
  <c r="C28" i="60"/>
  <c r="E28" i="60"/>
  <c r="G28" i="60"/>
  <c r="I28" i="60"/>
  <c r="G44" i="47"/>
  <c r="C37" i="47"/>
  <c r="E37" i="47"/>
  <c r="G37" i="47"/>
  <c r="I37" i="47"/>
  <c r="G32" i="47"/>
  <c r="C30" i="47"/>
  <c r="E30" i="47"/>
  <c r="G30" i="47"/>
  <c r="I30" i="47"/>
  <c r="C28" i="47"/>
  <c r="E28" i="47"/>
  <c r="G28" i="47"/>
  <c r="I28" i="47"/>
  <c r="E57" i="47"/>
  <c r="G57" i="47"/>
  <c r="L7" i="47"/>
  <c r="C55" i="47"/>
  <c r="E55" i="47"/>
  <c r="G55" i="47"/>
  <c r="I55" i="47"/>
  <c r="K55" i="47"/>
  <c r="L5" i="47"/>
  <c r="C53" i="47"/>
  <c r="E53" i="47"/>
  <c r="G53" i="47"/>
  <c r="I53" i="47"/>
  <c r="K53" i="47"/>
  <c r="C43" i="21"/>
  <c r="E43" i="21"/>
  <c r="G43" i="21"/>
  <c r="I43" i="21"/>
  <c r="C40" i="21"/>
  <c r="E40" i="21"/>
  <c r="G40" i="21"/>
  <c r="I40" i="21"/>
  <c r="C38" i="21"/>
  <c r="G38" i="21"/>
  <c r="C36" i="21"/>
  <c r="C33" i="21"/>
  <c r="E33" i="21"/>
  <c r="G33" i="21"/>
  <c r="I33" i="21"/>
  <c r="C29" i="21"/>
  <c r="E29" i="21"/>
  <c r="G29" i="21"/>
  <c r="C64" i="21"/>
  <c r="E64" i="21"/>
  <c r="G64" i="21"/>
  <c r="I64" i="21"/>
  <c r="K64" i="21"/>
  <c r="L13" i="21"/>
  <c r="C62" i="21"/>
  <c r="E62" i="21"/>
  <c r="G62" i="21"/>
  <c r="I62" i="21"/>
  <c r="K62" i="21"/>
  <c r="B145" i="22"/>
  <c r="C119" i="22"/>
  <c r="E119" i="22"/>
  <c r="C117" i="22"/>
  <c r="E117" i="22"/>
  <c r="G117" i="22"/>
  <c r="I117" i="22"/>
  <c r="B141" i="22"/>
  <c r="D117" i="22"/>
  <c r="H117" i="22"/>
  <c r="C32" i="22"/>
  <c r="E32" i="22"/>
  <c r="G32" i="22"/>
  <c r="I32" i="22"/>
  <c r="D32" i="22"/>
  <c r="K32" i="22" s="1"/>
  <c r="L9" i="17" s="1"/>
  <c r="H32" i="22"/>
  <c r="B56" i="22"/>
  <c r="G30" i="22"/>
  <c r="D23" i="30"/>
  <c r="D11" i="16"/>
  <c r="H56" i="30"/>
  <c r="J56" i="30"/>
  <c r="L6" i="30"/>
  <c r="L4" i="30"/>
  <c r="D52" i="30"/>
  <c r="F52" i="30"/>
  <c r="H52" i="30"/>
  <c r="J52" i="30"/>
  <c r="C52" i="30"/>
  <c r="G52" i="30"/>
  <c r="K52" i="30"/>
  <c r="D33" i="31"/>
  <c r="H33" i="31"/>
  <c r="C31" i="31"/>
  <c r="E31" i="31"/>
  <c r="G31" i="31"/>
  <c r="I31" i="31"/>
  <c r="D31" i="31"/>
  <c r="H31" i="31"/>
  <c r="E29" i="31"/>
  <c r="I29" i="31"/>
  <c r="H29" i="31"/>
  <c r="C56" i="31"/>
  <c r="G56" i="31"/>
  <c r="K56" i="31"/>
  <c r="J56" i="31"/>
  <c r="C54" i="31"/>
  <c r="G54" i="31"/>
  <c r="K54" i="31"/>
  <c r="J54" i="31"/>
  <c r="E52" i="31"/>
  <c r="I52" i="31"/>
  <c r="F52" i="31"/>
  <c r="C33" i="32"/>
  <c r="E33" i="32"/>
  <c r="G33" i="32"/>
  <c r="I33" i="32"/>
  <c r="D33" i="32"/>
  <c r="H33" i="32"/>
  <c r="C31" i="32"/>
  <c r="E31" i="32"/>
  <c r="G31" i="32"/>
  <c r="I31" i="32"/>
  <c r="D31" i="32"/>
  <c r="H31" i="32"/>
  <c r="C29" i="32"/>
  <c r="E29" i="32"/>
  <c r="G29" i="32"/>
  <c r="I29" i="32"/>
  <c r="D29" i="32"/>
  <c r="H29" i="32"/>
  <c r="B34" i="32"/>
  <c r="L8" i="32"/>
  <c r="C56" i="32"/>
  <c r="E56" i="32"/>
  <c r="G56" i="32"/>
  <c r="I56" i="32"/>
  <c r="K56" i="32"/>
  <c r="F56" i="32"/>
  <c r="J56" i="32"/>
  <c r="L6" i="32"/>
  <c r="C54" i="32"/>
  <c r="E54" i="32"/>
  <c r="G54" i="32"/>
  <c r="I54" i="32"/>
  <c r="K54" i="32"/>
  <c r="F54" i="32"/>
  <c r="J54" i="32"/>
  <c r="L4" i="32"/>
  <c r="I52" i="32"/>
  <c r="J52" i="32"/>
  <c r="C43" i="59"/>
  <c r="E43" i="59"/>
  <c r="G43" i="59"/>
  <c r="D43" i="59"/>
  <c r="C41" i="59"/>
  <c r="G41" i="59"/>
  <c r="C39" i="59"/>
  <c r="G39" i="59"/>
  <c r="D39" i="59"/>
  <c r="D48" i="54"/>
  <c r="G48" i="54"/>
  <c r="C35" i="54"/>
  <c r="D35" i="54"/>
  <c r="F35" i="54"/>
  <c r="G35" i="54"/>
  <c r="C31" i="54"/>
  <c r="H31" i="54" s="1"/>
  <c r="E31" i="54"/>
  <c r="G31" i="54"/>
  <c r="D31" i="54"/>
  <c r="C33" i="33"/>
  <c r="D33" i="33"/>
  <c r="F33" i="33"/>
  <c r="G33" i="33"/>
  <c r="G36" i="34"/>
  <c r="E36" i="34"/>
  <c r="C36" i="34"/>
  <c r="H31" i="42"/>
  <c r="H31" i="43"/>
  <c r="D56" i="43" s="1"/>
  <c r="B60" i="69"/>
  <c r="C39" i="73"/>
  <c r="E39" i="73"/>
  <c r="E65" i="73" s="1"/>
  <c r="G39" i="73"/>
  <c r="D39" i="73"/>
  <c r="H39" i="73"/>
  <c r="F39" i="73"/>
  <c r="H18" i="59"/>
  <c r="B58" i="75"/>
  <c r="C33" i="75"/>
  <c r="E33" i="75"/>
  <c r="G33" i="75"/>
  <c r="I33" i="75"/>
  <c r="D33" i="75"/>
  <c r="H33" i="75"/>
  <c r="F33" i="75"/>
  <c r="F57" i="75" s="1"/>
  <c r="J33" i="75"/>
  <c r="C39" i="77"/>
  <c r="D39" i="77"/>
  <c r="H39" i="77"/>
  <c r="F39" i="77"/>
  <c r="C30" i="77"/>
  <c r="D30" i="77"/>
  <c r="H30" i="77"/>
  <c r="D56" i="77" s="1"/>
  <c r="F30" i="77"/>
  <c r="F23" i="77"/>
  <c r="F47" i="77" s="1"/>
  <c r="D23" i="77"/>
  <c r="D47" i="77" s="1"/>
  <c r="B45" i="77"/>
  <c r="B71" i="77"/>
  <c r="J36" i="79"/>
  <c r="U9" i="2" s="1"/>
  <c r="C36" i="79"/>
  <c r="E36" i="79"/>
  <c r="E63" i="79" s="1"/>
  <c r="G36" i="79"/>
  <c r="D36" i="79"/>
  <c r="H36" i="79"/>
  <c r="J45" i="79"/>
  <c r="U17" i="2" s="1"/>
  <c r="D45" i="79"/>
  <c r="F45" i="79"/>
  <c r="E45" i="79"/>
  <c r="C45" i="79"/>
  <c r="C72" i="79" s="1"/>
  <c r="J50" i="79"/>
  <c r="U21" i="2" s="1"/>
  <c r="C50" i="79"/>
  <c r="E50" i="79"/>
  <c r="G50" i="79"/>
  <c r="D50" i="79"/>
  <c r="B51" i="79"/>
  <c r="F50" i="79"/>
  <c r="J4" i="79"/>
  <c r="I10" i="79"/>
  <c r="J8" i="79"/>
  <c r="I36" i="79"/>
  <c r="J6" i="79"/>
  <c r="I34" i="79"/>
  <c r="I45" i="79"/>
  <c r="J17" i="79"/>
  <c r="J22" i="79"/>
  <c r="I23" i="79"/>
  <c r="I50" i="79"/>
  <c r="J44" i="83"/>
  <c r="E71" i="83" s="1"/>
  <c r="K16" i="83"/>
  <c r="I76" i="83"/>
  <c r="V20" i="2"/>
  <c r="F28" i="85"/>
  <c r="C28" i="85"/>
  <c r="E28" i="85"/>
  <c r="F30" i="85"/>
  <c r="C30" i="85"/>
  <c r="E30" i="85"/>
  <c r="G32" i="85"/>
  <c r="E32" i="85"/>
  <c r="F36" i="85"/>
  <c r="H36" i="85"/>
  <c r="F38" i="85"/>
  <c r="H38" i="85"/>
  <c r="H64" i="85" s="1"/>
  <c r="F40" i="85"/>
  <c r="H40" i="85"/>
  <c r="H36" i="86"/>
  <c r="H17" i="86"/>
  <c r="K28" i="87"/>
  <c r="K10" i="87"/>
  <c r="K34" i="87" s="1"/>
  <c r="K38" i="87"/>
  <c r="K17" i="87"/>
  <c r="W6" i="17"/>
  <c r="K53" i="88"/>
  <c r="X14" i="17"/>
  <c r="K61" i="89"/>
  <c r="H10" i="84"/>
  <c r="E57" i="84"/>
  <c r="C66" i="84"/>
  <c r="C57" i="84"/>
  <c r="H21" i="85"/>
  <c r="F44" i="85"/>
  <c r="F70" i="85" s="1"/>
  <c r="D44" i="85"/>
  <c r="D70" i="85" s="1"/>
  <c r="G40" i="85"/>
  <c r="E40" i="85"/>
  <c r="C40" i="85"/>
  <c r="G38" i="85"/>
  <c r="E38" i="85"/>
  <c r="C38" i="85"/>
  <c r="G36" i="85"/>
  <c r="E36" i="85"/>
  <c r="C36" i="85"/>
  <c r="F32" i="85"/>
  <c r="D32" i="85"/>
  <c r="D58" i="85" s="1"/>
  <c r="D30" i="85"/>
  <c r="D28" i="85"/>
  <c r="G30" i="85"/>
  <c r="G28" i="85"/>
  <c r="K63" i="87"/>
  <c r="G34" i="87"/>
  <c r="C53" i="88"/>
  <c r="J53" i="88"/>
  <c r="H61" i="89"/>
  <c r="D61" i="89"/>
  <c r="G61" i="89"/>
  <c r="V8" i="17"/>
  <c r="K55" i="87"/>
  <c r="E76" i="83"/>
  <c r="V9" i="2"/>
  <c r="I63" i="83"/>
  <c r="G63" i="83"/>
  <c r="U10" i="3"/>
  <c r="J18" i="83"/>
  <c r="K18" i="83" s="1"/>
  <c r="V13" i="2"/>
  <c r="I68" i="83"/>
  <c r="E49" i="33"/>
  <c r="K17" i="18"/>
  <c r="H21" i="18"/>
  <c r="G63" i="76"/>
  <c r="E68" i="76"/>
  <c r="U21" i="17"/>
  <c r="F68" i="76"/>
  <c r="F55" i="76"/>
  <c r="F45" i="75"/>
  <c r="G30" i="77"/>
  <c r="G39" i="77"/>
  <c r="I32" i="79"/>
  <c r="D59" i="79" s="1"/>
  <c r="C78" i="66"/>
  <c r="E78" i="66"/>
  <c r="G78" i="66"/>
  <c r="E77" i="66"/>
  <c r="G77" i="66"/>
  <c r="C76" i="66"/>
  <c r="E76" i="66"/>
  <c r="G76" i="66"/>
  <c r="C73" i="66"/>
  <c r="C72" i="66"/>
  <c r="G72" i="66"/>
  <c r="E71" i="66"/>
  <c r="G71" i="66"/>
  <c r="C70" i="66"/>
  <c r="E70" i="66"/>
  <c r="G70" i="66"/>
  <c r="C68" i="66"/>
  <c r="E68" i="66"/>
  <c r="G68" i="66"/>
  <c r="E65" i="66"/>
  <c r="G65" i="66"/>
  <c r="C64" i="66"/>
  <c r="E64" i="66"/>
  <c r="G64" i="66"/>
  <c r="C63" i="66"/>
  <c r="C62" i="66"/>
  <c r="G62" i="66"/>
  <c r="E61" i="66"/>
  <c r="G61" i="66"/>
  <c r="C60" i="66"/>
  <c r="E60" i="66"/>
  <c r="G60" i="66"/>
  <c r="E49" i="61"/>
  <c r="E76" i="61" s="1"/>
  <c r="G49" i="61"/>
  <c r="D44" i="61"/>
  <c r="C34" i="61"/>
  <c r="E34" i="61"/>
  <c r="G34" i="61"/>
  <c r="H32" i="61"/>
  <c r="D32" i="61"/>
  <c r="C49" i="56"/>
  <c r="G49" i="56"/>
  <c r="C37" i="56"/>
  <c r="C35" i="56"/>
  <c r="E35" i="56"/>
  <c r="G35" i="56"/>
  <c r="I22" i="56"/>
  <c r="H44" i="56"/>
  <c r="I8" i="56"/>
  <c r="H36" i="56"/>
  <c r="O9" i="2" s="1"/>
  <c r="I6" i="56"/>
  <c r="H34" i="56"/>
  <c r="I4" i="56"/>
  <c r="H32" i="56"/>
  <c r="D59" i="56" s="1"/>
  <c r="C59" i="56"/>
  <c r="D50" i="49"/>
  <c r="B46" i="49"/>
  <c r="D44" i="49"/>
  <c r="H36" i="49"/>
  <c r="N9" i="2" s="1"/>
  <c r="D36" i="49"/>
  <c r="H32" i="49"/>
  <c r="N5" i="2" s="1"/>
  <c r="C44" i="4"/>
  <c r="E44" i="4"/>
  <c r="G44" i="4"/>
  <c r="G42" i="4"/>
  <c r="C36" i="4"/>
  <c r="E36" i="4"/>
  <c r="G36" i="4"/>
  <c r="C34" i="4"/>
  <c r="E34" i="4"/>
  <c r="G34" i="4"/>
  <c r="C64" i="5"/>
  <c r="G64" i="5"/>
  <c r="E63" i="5"/>
  <c r="C60" i="5"/>
  <c r="G60" i="5"/>
  <c r="G59" i="5"/>
  <c r="H12" i="9"/>
  <c r="E43" i="13"/>
  <c r="G43" i="13"/>
  <c r="D36" i="13"/>
  <c r="H36" i="13"/>
  <c r="E36" i="13"/>
  <c r="C33" i="13"/>
  <c r="E33" i="13"/>
  <c r="G33" i="13"/>
  <c r="C45" i="14"/>
  <c r="E45" i="14"/>
  <c r="G45" i="14"/>
  <c r="E41" i="14"/>
  <c r="G41" i="14"/>
  <c r="C32" i="14"/>
  <c r="F32" i="14"/>
  <c r="I16" i="14"/>
  <c r="I14" i="14"/>
  <c r="H42" i="14"/>
  <c r="I6" i="14"/>
  <c r="C45" i="15"/>
  <c r="E45" i="15"/>
  <c r="G45" i="15"/>
  <c r="H43" i="15"/>
  <c r="B15" i="2" s="1"/>
  <c r="C41" i="15"/>
  <c r="E41" i="15"/>
  <c r="G41" i="15"/>
  <c r="C35" i="15"/>
  <c r="E35" i="15"/>
  <c r="G35" i="15"/>
  <c r="C32" i="15"/>
  <c r="F32" i="15"/>
  <c r="I16" i="15"/>
  <c r="H44" i="15"/>
  <c r="I14" i="15"/>
  <c r="I6" i="15"/>
  <c r="G26" i="17"/>
  <c r="B56" i="60"/>
  <c r="B52" i="60"/>
  <c r="H44" i="60"/>
  <c r="G43" i="60"/>
  <c r="C40" i="60"/>
  <c r="G40" i="60"/>
  <c r="H39" i="60"/>
  <c r="D39" i="60"/>
  <c r="C38" i="60"/>
  <c r="E38" i="60"/>
  <c r="G38" i="60"/>
  <c r="I38" i="60"/>
  <c r="H37" i="60"/>
  <c r="D37" i="60"/>
  <c r="C36" i="60"/>
  <c r="E36" i="60"/>
  <c r="G36" i="60"/>
  <c r="I36" i="60"/>
  <c r="C33" i="60"/>
  <c r="E33" i="60"/>
  <c r="G33" i="60"/>
  <c r="I33" i="60"/>
  <c r="H32" i="60"/>
  <c r="D32" i="60"/>
  <c r="C31" i="60"/>
  <c r="E31" i="60"/>
  <c r="G31" i="60"/>
  <c r="I31" i="60"/>
  <c r="C29" i="60"/>
  <c r="G29" i="60"/>
  <c r="H28" i="60"/>
  <c r="D28" i="60"/>
  <c r="E28" i="55"/>
  <c r="I28" i="55"/>
  <c r="B52" i="55"/>
  <c r="H70" i="47"/>
  <c r="D70" i="47"/>
  <c r="H57" i="47"/>
  <c r="D57" i="47"/>
  <c r="B56" i="47"/>
  <c r="H55" i="47"/>
  <c r="D55" i="47"/>
  <c r="B54" i="47"/>
  <c r="H53" i="47"/>
  <c r="D53" i="47"/>
  <c r="B52" i="47"/>
  <c r="D44" i="47"/>
  <c r="C43" i="47"/>
  <c r="E43" i="47"/>
  <c r="G43" i="47"/>
  <c r="I43" i="47"/>
  <c r="G40" i="47"/>
  <c r="C38" i="47"/>
  <c r="G38" i="47"/>
  <c r="H37" i="47"/>
  <c r="D37" i="47"/>
  <c r="G36" i="47"/>
  <c r="C33" i="47"/>
  <c r="H32" i="47"/>
  <c r="D32" i="47"/>
  <c r="C31" i="47"/>
  <c r="G31" i="47"/>
  <c r="H30" i="47"/>
  <c r="D30" i="47"/>
  <c r="H28" i="47"/>
  <c r="D28" i="47"/>
  <c r="G23" i="47"/>
  <c r="C23" i="47"/>
  <c r="D16" i="18" s="1"/>
  <c r="L19" i="47"/>
  <c r="K21" i="47"/>
  <c r="C69" i="47"/>
  <c r="E69" i="47"/>
  <c r="G69" i="47"/>
  <c r="I69" i="47"/>
  <c r="K69" i="47"/>
  <c r="H23" i="47"/>
  <c r="F23" i="47"/>
  <c r="G16" i="18" s="1"/>
  <c r="D23" i="47"/>
  <c r="L8" i="47"/>
  <c r="C56" i="47"/>
  <c r="E56" i="47"/>
  <c r="G56" i="47"/>
  <c r="I56" i="47"/>
  <c r="K56" i="47"/>
  <c r="L6" i="47"/>
  <c r="C54" i="47"/>
  <c r="E54" i="47"/>
  <c r="G54" i="47"/>
  <c r="I54" i="47"/>
  <c r="K54" i="47"/>
  <c r="L4" i="47"/>
  <c r="K10" i="47"/>
  <c r="F58" i="47" s="1"/>
  <c r="C52" i="47"/>
  <c r="E52" i="47"/>
  <c r="G52" i="47"/>
  <c r="I52" i="47"/>
  <c r="K52" i="47"/>
  <c r="H64" i="21"/>
  <c r="D64" i="21"/>
  <c r="H62" i="21"/>
  <c r="D62" i="21"/>
  <c r="E44" i="21"/>
  <c r="H43" i="21"/>
  <c r="D43" i="21"/>
  <c r="H40" i="21"/>
  <c r="D40" i="21"/>
  <c r="C39" i="21"/>
  <c r="E39" i="21"/>
  <c r="G39" i="21"/>
  <c r="I39" i="21"/>
  <c r="H38" i="21"/>
  <c r="C37" i="21"/>
  <c r="E37" i="21"/>
  <c r="G37" i="21"/>
  <c r="I37" i="21"/>
  <c r="H36" i="21"/>
  <c r="D36" i="21"/>
  <c r="B34" i="21"/>
  <c r="H33" i="21"/>
  <c r="D33" i="21"/>
  <c r="C32" i="21"/>
  <c r="E32" i="21"/>
  <c r="G32" i="21"/>
  <c r="I32" i="21"/>
  <c r="H31" i="21"/>
  <c r="D31" i="21"/>
  <c r="C30" i="21"/>
  <c r="E30" i="21"/>
  <c r="G30" i="21"/>
  <c r="I30" i="21"/>
  <c r="H29" i="21"/>
  <c r="D29" i="21"/>
  <c r="L16" i="21"/>
  <c r="C65" i="21"/>
  <c r="E65" i="21"/>
  <c r="G65" i="21"/>
  <c r="I65" i="21"/>
  <c r="K65" i="21"/>
  <c r="L14" i="21"/>
  <c r="C63" i="21"/>
  <c r="E63" i="21"/>
  <c r="G63" i="21"/>
  <c r="I63" i="21"/>
  <c r="K63" i="21"/>
  <c r="L12" i="21"/>
  <c r="K17" i="21"/>
  <c r="E66" i="21" s="1"/>
  <c r="C61" i="21"/>
  <c r="E61" i="21"/>
  <c r="G61" i="21"/>
  <c r="I61" i="21"/>
  <c r="K61" i="21"/>
  <c r="F119" i="22"/>
  <c r="F117" i="22"/>
  <c r="J112" i="22"/>
  <c r="F134" i="22"/>
  <c r="F32" i="22"/>
  <c r="L16" i="22"/>
  <c r="D65" i="22"/>
  <c r="F65" i="22"/>
  <c r="H65" i="22"/>
  <c r="J65" i="22"/>
  <c r="C154" i="22"/>
  <c r="E154" i="22"/>
  <c r="G154" i="22"/>
  <c r="I154" i="22"/>
  <c r="K154" i="22"/>
  <c r="E65" i="22"/>
  <c r="I65" i="22"/>
  <c r="F154" i="22"/>
  <c r="J154" i="22"/>
  <c r="L14" i="22"/>
  <c r="D63" i="22"/>
  <c r="F63" i="22"/>
  <c r="H63" i="22"/>
  <c r="J63" i="22"/>
  <c r="C152" i="22"/>
  <c r="E152" i="22"/>
  <c r="G152" i="22"/>
  <c r="I152" i="22"/>
  <c r="K152" i="22"/>
  <c r="C63" i="22"/>
  <c r="G63" i="22"/>
  <c r="K63" i="22"/>
  <c r="D152" i="22"/>
  <c r="H152" i="22"/>
  <c r="L12" i="22"/>
  <c r="K17" i="22"/>
  <c r="C155" i="22" s="1"/>
  <c r="D61" i="22"/>
  <c r="F61" i="22"/>
  <c r="H61" i="22"/>
  <c r="J61" i="22"/>
  <c r="C150" i="22"/>
  <c r="E150" i="22"/>
  <c r="G150" i="22"/>
  <c r="I150" i="22"/>
  <c r="K150" i="22"/>
  <c r="E61" i="22"/>
  <c r="I61" i="22"/>
  <c r="F150" i="22"/>
  <c r="J150" i="22"/>
  <c r="G56" i="30"/>
  <c r="G54" i="30"/>
  <c r="I52" i="30"/>
  <c r="L19" i="30"/>
  <c r="K21" i="30"/>
  <c r="D69" i="30"/>
  <c r="F69" i="30"/>
  <c r="H69" i="30"/>
  <c r="J69" i="30"/>
  <c r="C69" i="30"/>
  <c r="G69" i="30"/>
  <c r="K69" i="30"/>
  <c r="H56" i="31"/>
  <c r="H52" i="31"/>
  <c r="C40" i="31"/>
  <c r="E40" i="31"/>
  <c r="G40" i="31"/>
  <c r="I40" i="31"/>
  <c r="D40" i="31"/>
  <c r="H40" i="31"/>
  <c r="C38" i="31"/>
  <c r="E38" i="31"/>
  <c r="G38" i="31"/>
  <c r="I38" i="31"/>
  <c r="D38" i="31"/>
  <c r="H38" i="31"/>
  <c r="E36" i="31"/>
  <c r="I36" i="31"/>
  <c r="H36" i="31"/>
  <c r="F33" i="31"/>
  <c r="F31" i="31"/>
  <c r="J23" i="31"/>
  <c r="H56" i="32"/>
  <c r="H54" i="32"/>
  <c r="H52" i="32"/>
  <c r="C40" i="32"/>
  <c r="E40" i="32"/>
  <c r="G40" i="32"/>
  <c r="I40" i="32"/>
  <c r="D40" i="32"/>
  <c r="H40" i="32"/>
  <c r="C38" i="32"/>
  <c r="E38" i="32"/>
  <c r="G38" i="32"/>
  <c r="I38" i="32"/>
  <c r="D38" i="32"/>
  <c r="H38" i="32"/>
  <c r="C36" i="32"/>
  <c r="E36" i="32"/>
  <c r="G36" i="32"/>
  <c r="I36" i="32"/>
  <c r="D36" i="32"/>
  <c r="H36" i="32"/>
  <c r="B41" i="32"/>
  <c r="G41" i="32" s="1"/>
  <c r="F33" i="32"/>
  <c r="F31" i="32"/>
  <c r="F29" i="32"/>
  <c r="J23" i="32"/>
  <c r="B23" i="32"/>
  <c r="B24" i="16" s="1"/>
  <c r="F43" i="59"/>
  <c r="F41" i="59"/>
  <c r="C47" i="54"/>
  <c r="F47" i="54"/>
  <c r="B49" i="54"/>
  <c r="D47" i="54"/>
  <c r="E47" i="54"/>
  <c r="E35" i="54"/>
  <c r="F31" i="54"/>
  <c r="H10" i="48"/>
  <c r="F64" i="48" s="1"/>
  <c r="E33" i="33"/>
  <c r="C32" i="33"/>
  <c r="F32" i="33"/>
  <c r="D32" i="33"/>
  <c r="G32" i="33"/>
  <c r="H32" i="33" s="1"/>
  <c r="E25" i="34"/>
  <c r="C25" i="34"/>
  <c r="D56" i="18" s="1"/>
  <c r="F46" i="42"/>
  <c r="G46" i="42"/>
  <c r="B67" i="44"/>
  <c r="H41" i="44"/>
  <c r="G66" i="44" s="1"/>
  <c r="D24" i="44"/>
  <c r="I18" i="67"/>
  <c r="B25" i="67"/>
  <c r="I25" i="67" s="1"/>
  <c r="B58" i="68"/>
  <c r="D69" i="69"/>
  <c r="C44" i="73"/>
  <c r="E44" i="73"/>
  <c r="G44" i="73"/>
  <c r="D44" i="73"/>
  <c r="F44" i="73"/>
  <c r="C29" i="73"/>
  <c r="C55" i="73" s="1"/>
  <c r="D29" i="73"/>
  <c r="H29" i="73"/>
  <c r="H55" i="73" s="1"/>
  <c r="F29" i="73"/>
  <c r="H18" i="54"/>
  <c r="H21" i="73"/>
  <c r="H44" i="73"/>
  <c r="G34" i="73"/>
  <c r="G23" i="73"/>
  <c r="H63" i="18" s="1"/>
  <c r="E34" i="73"/>
  <c r="E23" i="73"/>
  <c r="B41" i="69"/>
  <c r="D41" i="69" s="1"/>
  <c r="B67" i="69"/>
  <c r="B73" i="69" s="1"/>
  <c r="D40" i="71"/>
  <c r="F40" i="71"/>
  <c r="H40" i="71"/>
  <c r="J40" i="71"/>
  <c r="B64" i="71"/>
  <c r="K40" i="71"/>
  <c r="E40" i="71"/>
  <c r="I40" i="71"/>
  <c r="C40" i="71"/>
  <c r="B41" i="71"/>
  <c r="D36" i="71"/>
  <c r="F36" i="71"/>
  <c r="F60" i="71" s="1"/>
  <c r="H36" i="71"/>
  <c r="H60" i="71" s="1"/>
  <c r="J36" i="71"/>
  <c r="J60" i="71" s="1"/>
  <c r="E36" i="71"/>
  <c r="I36" i="71"/>
  <c r="I60" i="71" s="1"/>
  <c r="C36" i="71"/>
  <c r="C60" i="71" s="1"/>
  <c r="B60" i="71"/>
  <c r="R20" i="2"/>
  <c r="H76" i="67"/>
  <c r="D37" i="67"/>
  <c r="F37" i="67"/>
  <c r="E37" i="67"/>
  <c r="D35" i="67"/>
  <c r="F35" i="67"/>
  <c r="E35" i="67"/>
  <c r="B38" i="67"/>
  <c r="F38" i="67" s="1"/>
  <c r="F45" i="67"/>
  <c r="H45" i="67"/>
  <c r="R17" i="2" s="1"/>
  <c r="F43" i="67"/>
  <c r="C43" i="67"/>
  <c r="D49" i="67"/>
  <c r="D76" i="67" s="1"/>
  <c r="F49" i="67"/>
  <c r="F76" i="67" s="1"/>
  <c r="E49" i="67"/>
  <c r="E76" i="67" s="1"/>
  <c r="I23" i="75"/>
  <c r="I45" i="75"/>
  <c r="C23" i="75"/>
  <c r="F23" i="75"/>
  <c r="D23" i="75"/>
  <c r="K62" i="75"/>
  <c r="T15" i="17"/>
  <c r="J62" i="75"/>
  <c r="K17" i="75"/>
  <c r="K36" i="75"/>
  <c r="C30" i="76"/>
  <c r="F30" i="76"/>
  <c r="J30" i="76"/>
  <c r="D30" i="76"/>
  <c r="H30" i="76"/>
  <c r="H54" i="76" s="1"/>
  <c r="K30" i="76"/>
  <c r="U7" i="17" s="1"/>
  <c r="C122" i="22"/>
  <c r="E122" i="22"/>
  <c r="G122" i="22"/>
  <c r="I122" i="22"/>
  <c r="B146" i="22"/>
  <c r="E120" i="22"/>
  <c r="I120" i="22"/>
  <c r="C118" i="22"/>
  <c r="E118" i="22"/>
  <c r="G118" i="22"/>
  <c r="I118" i="22"/>
  <c r="B142" i="22"/>
  <c r="K106" i="22"/>
  <c r="I112" i="22"/>
  <c r="G112" i="22"/>
  <c r="E112" i="22"/>
  <c r="C33" i="22"/>
  <c r="G33" i="22"/>
  <c r="C31" i="22"/>
  <c r="E31" i="22"/>
  <c r="G31" i="22"/>
  <c r="I31" i="22"/>
  <c r="C29" i="22"/>
  <c r="E29" i="22"/>
  <c r="G29" i="22"/>
  <c r="I29" i="22"/>
  <c r="J41" i="22"/>
  <c r="H41" i="22"/>
  <c r="F41" i="22"/>
  <c r="D41" i="22"/>
  <c r="L15" i="22"/>
  <c r="C64" i="22"/>
  <c r="E64" i="22"/>
  <c r="G64" i="22"/>
  <c r="I64" i="22"/>
  <c r="K64" i="22"/>
  <c r="D153" i="22"/>
  <c r="F153" i="22"/>
  <c r="H153" i="22"/>
  <c r="J153" i="22"/>
  <c r="L13" i="22"/>
  <c r="C62" i="22"/>
  <c r="E62" i="22"/>
  <c r="G62" i="22"/>
  <c r="I62" i="22"/>
  <c r="K62" i="22"/>
  <c r="D151" i="22"/>
  <c r="F151" i="22"/>
  <c r="H151" i="22"/>
  <c r="J151" i="22"/>
  <c r="I23" i="22"/>
  <c r="J14" i="18" s="1"/>
  <c r="G23" i="22"/>
  <c r="H14" i="18" s="1"/>
  <c r="E23" i="22"/>
  <c r="C23" i="22"/>
  <c r="C30" i="30"/>
  <c r="E30" i="30"/>
  <c r="G30" i="30"/>
  <c r="I30" i="30"/>
  <c r="B54" i="30"/>
  <c r="C28" i="30"/>
  <c r="F28" i="30"/>
  <c r="I28" i="30"/>
  <c r="B34" i="30"/>
  <c r="C34" i="30" s="1"/>
  <c r="B52" i="30"/>
  <c r="L20" i="30"/>
  <c r="D70" i="30"/>
  <c r="F70" i="30"/>
  <c r="H70" i="30"/>
  <c r="J70" i="30"/>
  <c r="L9" i="30"/>
  <c r="D57" i="30"/>
  <c r="F57" i="30"/>
  <c r="H57" i="30"/>
  <c r="J57" i="30"/>
  <c r="L7" i="30"/>
  <c r="D55" i="30"/>
  <c r="F55" i="30"/>
  <c r="H55" i="30"/>
  <c r="J55" i="30"/>
  <c r="L5" i="30"/>
  <c r="D53" i="30"/>
  <c r="F53" i="30"/>
  <c r="H53" i="30"/>
  <c r="J53" i="30"/>
  <c r="C39" i="31"/>
  <c r="E39" i="31"/>
  <c r="G39" i="31"/>
  <c r="I39" i="31"/>
  <c r="C37" i="31"/>
  <c r="E37" i="31"/>
  <c r="G37" i="31"/>
  <c r="I37" i="31"/>
  <c r="C32" i="31"/>
  <c r="E32" i="31"/>
  <c r="G32" i="31"/>
  <c r="I32" i="31"/>
  <c r="C30" i="31"/>
  <c r="E30" i="31"/>
  <c r="G30" i="31"/>
  <c r="I30" i="31"/>
  <c r="E23" i="31"/>
  <c r="F5" i="18" s="1"/>
  <c r="C23" i="31"/>
  <c r="L9" i="31"/>
  <c r="C57" i="31"/>
  <c r="E57" i="31"/>
  <c r="G57" i="31"/>
  <c r="I57" i="31"/>
  <c r="K57" i="31"/>
  <c r="L7" i="31"/>
  <c r="G55" i="31"/>
  <c r="L5" i="31"/>
  <c r="C53" i="31"/>
  <c r="E53" i="31"/>
  <c r="G53" i="31"/>
  <c r="I53" i="31"/>
  <c r="K53" i="31"/>
  <c r="C39" i="32"/>
  <c r="E39" i="32"/>
  <c r="G39" i="32"/>
  <c r="I39" i="32"/>
  <c r="C37" i="32"/>
  <c r="E37" i="32"/>
  <c r="G37" i="32"/>
  <c r="I37" i="32"/>
  <c r="C32" i="32"/>
  <c r="E32" i="32"/>
  <c r="G32" i="32"/>
  <c r="I32" i="32"/>
  <c r="C30" i="32"/>
  <c r="E30" i="32"/>
  <c r="G30" i="32"/>
  <c r="I30" i="32"/>
  <c r="I23" i="32"/>
  <c r="J4" i="18" s="1"/>
  <c r="I41" i="32"/>
  <c r="G23" i="32"/>
  <c r="H4" i="18" s="1"/>
  <c r="E23" i="32"/>
  <c r="C23" i="32"/>
  <c r="D4" i="18" s="1"/>
  <c r="L9" i="32"/>
  <c r="C57" i="32"/>
  <c r="E57" i="32"/>
  <c r="G57" i="32"/>
  <c r="I57" i="32"/>
  <c r="K57" i="32"/>
  <c r="L7" i="32"/>
  <c r="C55" i="32"/>
  <c r="E55" i="32"/>
  <c r="G55" i="32"/>
  <c r="I55" i="32"/>
  <c r="K55" i="32"/>
  <c r="L5" i="32"/>
  <c r="C53" i="32"/>
  <c r="E53" i="32"/>
  <c r="G53" i="32"/>
  <c r="I53" i="32"/>
  <c r="K53" i="32"/>
  <c r="C47" i="59"/>
  <c r="G47" i="59"/>
  <c r="C35" i="59"/>
  <c r="E35" i="59"/>
  <c r="G35" i="59"/>
  <c r="C33" i="59"/>
  <c r="E33" i="59"/>
  <c r="G33" i="59"/>
  <c r="C31" i="59"/>
  <c r="E31" i="59"/>
  <c r="G31" i="59"/>
  <c r="B36" i="59"/>
  <c r="H23" i="59"/>
  <c r="D76" i="59"/>
  <c r="F76" i="59"/>
  <c r="D70" i="59"/>
  <c r="F70" i="59"/>
  <c r="D68" i="59"/>
  <c r="F68" i="59"/>
  <c r="D62" i="59"/>
  <c r="F62" i="59"/>
  <c r="D60" i="59"/>
  <c r="F60" i="59"/>
  <c r="D58" i="59"/>
  <c r="F58" i="59"/>
  <c r="C43" i="54"/>
  <c r="E43" i="54"/>
  <c r="G43" i="54"/>
  <c r="C41" i="54"/>
  <c r="E41" i="54"/>
  <c r="G41" i="54"/>
  <c r="C39" i="54"/>
  <c r="E39" i="54"/>
  <c r="G39" i="54"/>
  <c r="B44" i="54"/>
  <c r="C42" i="48"/>
  <c r="D42" i="48"/>
  <c r="F42" i="48"/>
  <c r="C41" i="48"/>
  <c r="F41" i="48"/>
  <c r="C33" i="48"/>
  <c r="F33" i="48"/>
  <c r="H33" i="48" s="1"/>
  <c r="C30" i="48"/>
  <c r="D30" i="48"/>
  <c r="F30" i="48"/>
  <c r="H18" i="48"/>
  <c r="C47" i="33"/>
  <c r="D47" i="33"/>
  <c r="F47" i="33"/>
  <c r="B75" i="33"/>
  <c r="C41" i="33"/>
  <c r="D41" i="33"/>
  <c r="F41" i="33"/>
  <c r="C40" i="33"/>
  <c r="F40" i="33"/>
  <c r="C35" i="33"/>
  <c r="D35" i="33"/>
  <c r="F35" i="33"/>
  <c r="C44" i="34"/>
  <c r="E46" i="40"/>
  <c r="G42" i="40"/>
  <c r="E42" i="40"/>
  <c r="C42" i="40"/>
  <c r="G35" i="40"/>
  <c r="E35" i="40"/>
  <c r="B67" i="42"/>
  <c r="H41" i="42"/>
  <c r="F66" i="42" s="1"/>
  <c r="H37" i="42"/>
  <c r="C62" i="42" s="1"/>
  <c r="E58" i="42"/>
  <c r="H39" i="43"/>
  <c r="H29" i="43"/>
  <c r="F54" i="43" s="1"/>
  <c r="E66" i="44"/>
  <c r="H34" i="44"/>
  <c r="F59" i="44" s="1"/>
  <c r="H30" i="44"/>
  <c r="D55" i="44"/>
  <c r="D28" i="69"/>
  <c r="C28" i="69"/>
  <c r="C54" i="69" s="1"/>
  <c r="G28" i="69"/>
  <c r="G54" i="69" s="1"/>
  <c r="C40" i="69"/>
  <c r="E40" i="69"/>
  <c r="G40" i="69"/>
  <c r="F40" i="69"/>
  <c r="C38" i="69"/>
  <c r="E38" i="69"/>
  <c r="G38" i="69"/>
  <c r="D38" i="69"/>
  <c r="D64" i="69" s="1"/>
  <c r="H38" i="69"/>
  <c r="C36" i="69"/>
  <c r="E36" i="69"/>
  <c r="G36" i="69"/>
  <c r="F36" i="69"/>
  <c r="D33" i="69"/>
  <c r="C31" i="69"/>
  <c r="E31" i="69"/>
  <c r="G31" i="69"/>
  <c r="F31" i="69"/>
  <c r="C25" i="54"/>
  <c r="D59" i="18" s="1"/>
  <c r="D151" i="18" s="1"/>
  <c r="H10" i="54"/>
  <c r="I10" i="54" s="1"/>
  <c r="B25" i="54"/>
  <c r="B64" i="54"/>
  <c r="B45" i="68"/>
  <c r="D45" i="68" s="1"/>
  <c r="K44" i="68"/>
  <c r="C44" i="68"/>
  <c r="E44" i="68"/>
  <c r="G44" i="68"/>
  <c r="I44" i="68"/>
  <c r="H43" i="72"/>
  <c r="I15" i="72"/>
  <c r="H18" i="72"/>
  <c r="I18" i="72" s="1"/>
  <c r="H41" i="72"/>
  <c r="I13" i="72"/>
  <c r="C29" i="75"/>
  <c r="E29" i="75"/>
  <c r="E53" i="75" s="1"/>
  <c r="G29" i="75"/>
  <c r="I29" i="75"/>
  <c r="D29" i="75"/>
  <c r="H29" i="75"/>
  <c r="F29" i="75"/>
  <c r="C44" i="76"/>
  <c r="C68" i="76" s="1"/>
  <c r="B68" i="76"/>
  <c r="J44" i="76"/>
  <c r="J68" i="76" s="1"/>
  <c r="C36" i="76"/>
  <c r="C60" i="76" s="1"/>
  <c r="J36" i="76"/>
  <c r="J60" i="76" s="1"/>
  <c r="F36" i="76"/>
  <c r="F60" i="76" s="1"/>
  <c r="B60" i="76"/>
  <c r="C43" i="69"/>
  <c r="E43" i="69"/>
  <c r="E69" i="69" s="1"/>
  <c r="G43" i="69"/>
  <c r="C43" i="73"/>
  <c r="D43" i="73"/>
  <c r="H43" i="73"/>
  <c r="H69" i="73" s="1"/>
  <c r="C38" i="73"/>
  <c r="D38" i="73"/>
  <c r="C30" i="73"/>
  <c r="E30" i="73"/>
  <c r="G30" i="73"/>
  <c r="K17" i="60"/>
  <c r="C66" i="60" s="1"/>
  <c r="D23" i="55"/>
  <c r="E17" i="18" s="1"/>
  <c r="E23" i="55"/>
  <c r="F17" i="18" s="1"/>
  <c r="F23" i="55"/>
  <c r="G23" i="55"/>
  <c r="H17" i="18" s="1"/>
  <c r="H23" i="55"/>
  <c r="I17" i="18" s="1"/>
  <c r="I23" i="55"/>
  <c r="J17" i="18" s="1"/>
  <c r="J23" i="60"/>
  <c r="K18" i="18" s="1"/>
  <c r="I23" i="60"/>
  <c r="J18" i="18" s="1"/>
  <c r="H23" i="60"/>
  <c r="I18" i="18" s="1"/>
  <c r="G23" i="60"/>
  <c r="F23" i="60"/>
  <c r="E23" i="60"/>
  <c r="F18" i="18" s="1"/>
  <c r="D23" i="60"/>
  <c r="C23" i="55"/>
  <c r="D17" i="18" s="1"/>
  <c r="B23" i="68"/>
  <c r="R24" i="16" s="1"/>
  <c r="H38" i="73"/>
  <c r="H64" i="73" s="1"/>
  <c r="H17" i="73"/>
  <c r="H41" i="73" s="1"/>
  <c r="D23" i="73"/>
  <c r="E63" i="18"/>
  <c r="C34" i="73"/>
  <c r="C23" i="73"/>
  <c r="D63" i="18" s="1"/>
  <c r="D155" i="18" s="1"/>
  <c r="H23" i="69"/>
  <c r="I62" i="18" s="1"/>
  <c r="G23" i="69"/>
  <c r="H62" i="18" s="1"/>
  <c r="G45" i="69"/>
  <c r="F23" i="69"/>
  <c r="E23" i="69"/>
  <c r="F62" i="18" s="1"/>
  <c r="E45" i="69"/>
  <c r="D23" i="69"/>
  <c r="E62" i="18" s="1"/>
  <c r="C23" i="69"/>
  <c r="D62" i="18" s="1"/>
  <c r="C45" i="69"/>
  <c r="B25" i="59"/>
  <c r="B79" i="59" s="1"/>
  <c r="B41" i="68"/>
  <c r="K36" i="68"/>
  <c r="C60" i="68" s="1"/>
  <c r="C36" i="68"/>
  <c r="D36" i="68"/>
  <c r="E36" i="68"/>
  <c r="F36" i="68"/>
  <c r="F60" i="68" s="1"/>
  <c r="G36" i="68"/>
  <c r="H36" i="68"/>
  <c r="I36" i="68"/>
  <c r="J36" i="68"/>
  <c r="J60" i="68" s="1"/>
  <c r="K33" i="71"/>
  <c r="D33" i="71"/>
  <c r="D57" i="71" s="1"/>
  <c r="F33" i="71"/>
  <c r="H33" i="71"/>
  <c r="H57" i="71" s="1"/>
  <c r="J33" i="71"/>
  <c r="K31" i="71"/>
  <c r="D31" i="71"/>
  <c r="F31" i="71"/>
  <c r="H31" i="71"/>
  <c r="J31" i="71"/>
  <c r="B34" i="71"/>
  <c r="D28" i="71"/>
  <c r="F28" i="71"/>
  <c r="H28" i="71"/>
  <c r="J28" i="71"/>
  <c r="D38" i="71"/>
  <c r="F38" i="71"/>
  <c r="H38" i="71"/>
  <c r="J38" i="71"/>
  <c r="B62" i="71"/>
  <c r="B45" i="71"/>
  <c r="G45" i="71" s="1"/>
  <c r="D44" i="71"/>
  <c r="D68" i="71" s="1"/>
  <c r="F44" i="71"/>
  <c r="F68" i="71" s="1"/>
  <c r="H44" i="71"/>
  <c r="H68" i="71" s="1"/>
  <c r="J44" i="71"/>
  <c r="J68" i="71" s="1"/>
  <c r="B68" i="71"/>
  <c r="C25" i="72"/>
  <c r="S6" i="3" s="1"/>
  <c r="C38" i="72"/>
  <c r="E25" i="72"/>
  <c r="S8" i="3" s="1"/>
  <c r="E38" i="72"/>
  <c r="G25" i="72"/>
  <c r="S10" i="3" s="1"/>
  <c r="G38" i="72"/>
  <c r="H44" i="72"/>
  <c r="I16" i="72"/>
  <c r="H10" i="72"/>
  <c r="C43" i="75"/>
  <c r="C67" i="75" s="1"/>
  <c r="F43" i="75"/>
  <c r="F67" i="75" s="1"/>
  <c r="J43" i="75"/>
  <c r="J67" i="75" s="1"/>
  <c r="D43" i="75"/>
  <c r="D67" i="75" s="1"/>
  <c r="C31" i="75"/>
  <c r="E31" i="75"/>
  <c r="G31" i="75"/>
  <c r="I31" i="75"/>
  <c r="I55" i="75" s="1"/>
  <c r="D31" i="75"/>
  <c r="H31" i="75"/>
  <c r="C28" i="75"/>
  <c r="D28" i="75"/>
  <c r="F28" i="75"/>
  <c r="F52" i="75" s="1"/>
  <c r="H28" i="75"/>
  <c r="J28" i="75"/>
  <c r="B34" i="75"/>
  <c r="G28" i="75"/>
  <c r="G52" i="75" s="1"/>
  <c r="K28" i="75"/>
  <c r="C37" i="76"/>
  <c r="F37" i="76"/>
  <c r="F61" i="76" s="1"/>
  <c r="J37" i="76"/>
  <c r="B61" i="76"/>
  <c r="D37" i="76"/>
  <c r="C33" i="76"/>
  <c r="C57" i="76" s="1"/>
  <c r="J33" i="76"/>
  <c r="J57" i="76" s="1"/>
  <c r="F33" i="76"/>
  <c r="C29" i="76"/>
  <c r="J29" i="76"/>
  <c r="F29" i="76"/>
  <c r="C29" i="77"/>
  <c r="G29" i="77"/>
  <c r="E29" i="77"/>
  <c r="G23" i="77"/>
  <c r="G47" i="77" s="1"/>
  <c r="C45" i="78"/>
  <c r="E45" i="78"/>
  <c r="G45" i="78"/>
  <c r="C38" i="78"/>
  <c r="E38" i="78"/>
  <c r="G38" i="78"/>
  <c r="D38" i="78"/>
  <c r="H38" i="78"/>
  <c r="H64" i="78" s="1"/>
  <c r="D23" i="78"/>
  <c r="D45" i="78"/>
  <c r="H28" i="78"/>
  <c r="H54" i="78" s="1"/>
  <c r="C44" i="75"/>
  <c r="C68" i="75"/>
  <c r="J44" i="75"/>
  <c r="J68" i="75" s="1"/>
  <c r="C38" i="75"/>
  <c r="C62" i="75" s="1"/>
  <c r="E38" i="75"/>
  <c r="E62" i="75" s="1"/>
  <c r="G38" i="75"/>
  <c r="G62" i="75" s="1"/>
  <c r="I38" i="75"/>
  <c r="I62" i="75" s="1"/>
  <c r="C36" i="75"/>
  <c r="C60" i="75"/>
  <c r="E36" i="75"/>
  <c r="G36" i="75"/>
  <c r="G60" i="75" s="1"/>
  <c r="I36" i="75"/>
  <c r="T22" i="16"/>
  <c r="AJ22" i="16" s="1"/>
  <c r="B23" i="75"/>
  <c r="T24" i="16" s="1"/>
  <c r="AJ24" i="16" s="1"/>
  <c r="K33" i="75"/>
  <c r="K57" i="75" s="1"/>
  <c r="K31" i="75"/>
  <c r="T8" i="17" s="1"/>
  <c r="K10" i="75"/>
  <c r="K29" i="75"/>
  <c r="B58" i="76"/>
  <c r="C43" i="76"/>
  <c r="C67" i="76"/>
  <c r="F43" i="76"/>
  <c r="F67" i="76" s="1"/>
  <c r="J43" i="76"/>
  <c r="J67" i="76" s="1"/>
  <c r="C39" i="76"/>
  <c r="C63" i="76"/>
  <c r="F39" i="76"/>
  <c r="F63" i="76" s="1"/>
  <c r="J39" i="76"/>
  <c r="J63" i="76" s="1"/>
  <c r="B63" i="76"/>
  <c r="C38" i="76"/>
  <c r="C62" i="76" s="1"/>
  <c r="J38" i="76"/>
  <c r="J62" i="76" s="1"/>
  <c r="C32" i="76"/>
  <c r="C56" i="76" s="1"/>
  <c r="F32" i="76"/>
  <c r="F56" i="76" s="1"/>
  <c r="J32" i="76"/>
  <c r="J56" i="76" s="1"/>
  <c r="C31" i="76"/>
  <c r="C55" i="76" s="1"/>
  <c r="J31" i="76"/>
  <c r="J55" i="76" s="1"/>
  <c r="C28" i="76"/>
  <c r="C52" i="76" s="1"/>
  <c r="F28" i="76"/>
  <c r="F52" i="76" s="1"/>
  <c r="J28" i="76"/>
  <c r="J52" i="76" s="1"/>
  <c r="K10" i="76"/>
  <c r="B60" i="77"/>
  <c r="C44" i="77"/>
  <c r="C70" i="77" s="1"/>
  <c r="D44" i="77"/>
  <c r="C43" i="77"/>
  <c r="G43" i="77"/>
  <c r="G69" i="77" s="1"/>
  <c r="C40" i="77"/>
  <c r="E40" i="77"/>
  <c r="G40" i="77"/>
  <c r="C36" i="77"/>
  <c r="E36" i="77"/>
  <c r="G36" i="77"/>
  <c r="C31" i="77"/>
  <c r="E31" i="77"/>
  <c r="G31" i="77"/>
  <c r="C28" i="77"/>
  <c r="E28" i="77"/>
  <c r="G28" i="77"/>
  <c r="H21" i="77"/>
  <c r="H45" i="77" s="1"/>
  <c r="H71" i="77" s="1"/>
  <c r="H44" i="77"/>
  <c r="G70" i="77" s="1"/>
  <c r="H17" i="77"/>
  <c r="H28" i="77"/>
  <c r="H10" i="77"/>
  <c r="C43" i="78"/>
  <c r="E43" i="78"/>
  <c r="G43" i="78"/>
  <c r="C36" i="78"/>
  <c r="E36" i="78"/>
  <c r="G36" i="78"/>
  <c r="C33" i="78"/>
  <c r="E33" i="78"/>
  <c r="G33" i="78"/>
  <c r="C31" i="78"/>
  <c r="E31" i="78"/>
  <c r="G31" i="78"/>
  <c r="F55" i="78"/>
  <c r="C29" i="78"/>
  <c r="C55" i="78" s="1"/>
  <c r="D29" i="78"/>
  <c r="D55" i="78" s="1"/>
  <c r="G29" i="78"/>
  <c r="G55" i="78" s="1"/>
  <c r="H17" i="78"/>
  <c r="G25" i="79"/>
  <c r="T10" i="3" s="1"/>
  <c r="H32" i="79"/>
  <c r="H59" i="79" s="1"/>
  <c r="C32" i="79"/>
  <c r="C59" i="79" s="1"/>
  <c r="E32" i="79"/>
  <c r="E59" i="79" s="1"/>
  <c r="G32" i="79"/>
  <c r="G59" i="79" s="1"/>
  <c r="B38" i="79"/>
  <c r="C38" i="79" s="1"/>
  <c r="F32" i="79"/>
  <c r="F59" i="79" s="1"/>
  <c r="J34" i="79"/>
  <c r="U7" i="2" s="1"/>
  <c r="C34" i="79"/>
  <c r="C61" i="79" s="1"/>
  <c r="E34" i="79"/>
  <c r="E61" i="79" s="1"/>
  <c r="G34" i="79"/>
  <c r="G61" i="79" s="1"/>
  <c r="D34" i="79"/>
  <c r="D61" i="79" s="1"/>
  <c r="J43" i="79"/>
  <c r="U15" i="2" s="1"/>
  <c r="D43" i="79"/>
  <c r="F43" i="79"/>
  <c r="B46" i="79"/>
  <c r="D46" i="79" s="1"/>
  <c r="E43" i="79"/>
  <c r="H30" i="85"/>
  <c r="H56" i="85" s="1"/>
  <c r="V21" i="2"/>
  <c r="I77" i="83"/>
  <c r="H32" i="85"/>
  <c r="F58" i="85" s="1"/>
  <c r="X5" i="17"/>
  <c r="K52" i="89"/>
  <c r="X21" i="17"/>
  <c r="K68" i="89"/>
  <c r="W21" i="17"/>
  <c r="W16" i="17"/>
  <c r="I44" i="87"/>
  <c r="I68" i="87" s="1"/>
  <c r="G44" i="87"/>
  <c r="G68" i="87" s="1"/>
  <c r="E44" i="87"/>
  <c r="E68" i="87" s="1"/>
  <c r="I40" i="87"/>
  <c r="G40" i="87"/>
  <c r="E40" i="87"/>
  <c r="G37" i="87"/>
  <c r="G61" i="87" s="1"/>
  <c r="E37" i="87"/>
  <c r="E32" i="87"/>
  <c r="J31" i="87"/>
  <c r="J55" i="87" s="1"/>
  <c r="F31" i="87"/>
  <c r="F55" i="87" s="1"/>
  <c r="J53" i="75"/>
  <c r="S16" i="2"/>
  <c r="G71" i="72"/>
  <c r="E18" i="18"/>
  <c r="G18" i="18"/>
  <c r="B65" i="76"/>
  <c r="F64" i="69"/>
  <c r="C64" i="69"/>
  <c r="E55" i="44"/>
  <c r="F55" i="44"/>
  <c r="H55" i="44" s="1"/>
  <c r="C59" i="44"/>
  <c r="E59" i="44"/>
  <c r="D59" i="44"/>
  <c r="F69" i="42"/>
  <c r="C77" i="59"/>
  <c r="G77" i="59"/>
  <c r="F77" i="59"/>
  <c r="D5" i="18"/>
  <c r="K60" i="75"/>
  <c r="T13" i="17"/>
  <c r="F63" i="18"/>
  <c r="E44" i="54"/>
  <c r="C66" i="44"/>
  <c r="F56" i="18"/>
  <c r="D64" i="48"/>
  <c r="F49" i="54"/>
  <c r="C49" i="54"/>
  <c r="H41" i="32"/>
  <c r="D41" i="32"/>
  <c r="L21" i="30"/>
  <c r="C71" i="30"/>
  <c r="G71" i="30"/>
  <c r="K71" i="30"/>
  <c r="E71" i="30"/>
  <c r="I71" i="30"/>
  <c r="D71" i="30"/>
  <c r="F71" i="30"/>
  <c r="H71" i="30"/>
  <c r="J71" i="30"/>
  <c r="F34" i="21"/>
  <c r="H34" i="21"/>
  <c r="E34" i="21"/>
  <c r="C34" i="21"/>
  <c r="L21" i="47"/>
  <c r="C14" i="2"/>
  <c r="I12" i="9"/>
  <c r="P5" i="2"/>
  <c r="H34" i="84"/>
  <c r="V15" i="17"/>
  <c r="V5" i="17"/>
  <c r="G52" i="87"/>
  <c r="F62" i="86"/>
  <c r="C56" i="85"/>
  <c r="T7" i="2"/>
  <c r="H61" i="79"/>
  <c r="H63" i="79"/>
  <c r="C45" i="77"/>
  <c r="E45" i="77"/>
  <c r="G45" i="77"/>
  <c r="G71" i="77" s="1"/>
  <c r="H65" i="77"/>
  <c r="J38" i="79"/>
  <c r="U11" i="2" s="1"/>
  <c r="H70" i="77"/>
  <c r="D70" i="77"/>
  <c r="E34" i="75"/>
  <c r="D55" i="71"/>
  <c r="S10" i="17"/>
  <c r="K57" i="71"/>
  <c r="G60" i="68"/>
  <c r="F41" i="68"/>
  <c r="H18" i="18"/>
  <c r="C53" i="75"/>
  <c r="H46" i="72"/>
  <c r="S18" i="2" s="1"/>
  <c r="D70" i="72"/>
  <c r="F70" i="72"/>
  <c r="H70" i="72"/>
  <c r="C70" i="72"/>
  <c r="S15" i="2"/>
  <c r="G70" i="72"/>
  <c r="F45" i="68"/>
  <c r="B59" i="18"/>
  <c r="B79" i="54"/>
  <c r="E64" i="43"/>
  <c r="F58" i="42"/>
  <c r="D66" i="42"/>
  <c r="E36" i="59"/>
  <c r="G36" i="59"/>
  <c r="F36" i="59"/>
  <c r="D36" i="59"/>
  <c r="E34" i="30"/>
  <c r="J34" i="30"/>
  <c r="F14" i="18"/>
  <c r="H72" i="67"/>
  <c r="E38" i="67"/>
  <c r="H38" i="67"/>
  <c r="D41" i="71"/>
  <c r="F41" i="71"/>
  <c r="H41" i="71"/>
  <c r="J41" i="71"/>
  <c r="E41" i="71"/>
  <c r="I41" i="71"/>
  <c r="G41" i="71"/>
  <c r="C41" i="71"/>
  <c r="E46" i="18"/>
  <c r="F66" i="44"/>
  <c r="I66" i="22"/>
  <c r="I66" i="21"/>
  <c r="D66" i="21"/>
  <c r="E16" i="18"/>
  <c r="B16" i="2"/>
  <c r="G46" i="49"/>
  <c r="O16" i="2"/>
  <c r="I59" i="79"/>
  <c r="T5" i="2"/>
  <c r="H41" i="86"/>
  <c r="H23" i="86"/>
  <c r="H66" i="85"/>
  <c r="D66" i="85"/>
  <c r="H62" i="85"/>
  <c r="H77" i="79"/>
  <c r="I72" i="79"/>
  <c r="C77" i="79"/>
  <c r="F72" i="79"/>
  <c r="D45" i="77"/>
  <c r="F45" i="77"/>
  <c r="C57" i="75"/>
  <c r="F64" i="14"/>
  <c r="C10" i="2"/>
  <c r="G63" i="49"/>
  <c r="I57" i="75"/>
  <c r="D56" i="42"/>
  <c r="C34" i="32"/>
  <c r="H34" i="32"/>
  <c r="H60" i="84"/>
  <c r="D60" i="84"/>
  <c r="E60" i="84"/>
  <c r="G60" i="84"/>
  <c r="C60" i="84"/>
  <c r="G50" i="99"/>
  <c r="G44" i="99"/>
  <c r="K13" i="99"/>
  <c r="K17" i="99"/>
  <c r="C44" i="99"/>
  <c r="K44" i="99"/>
  <c r="Z16" i="2" s="1"/>
  <c r="J33" i="99"/>
  <c r="Y6" i="2" s="1"/>
  <c r="J35" i="99"/>
  <c r="E62" i="99" s="1"/>
  <c r="J37" i="99"/>
  <c r="Y10" i="2" s="1"/>
  <c r="B38" i="99"/>
  <c r="F38" i="99" s="1"/>
  <c r="G34" i="99"/>
  <c r="J32" i="99"/>
  <c r="J36" i="99"/>
  <c r="C34" i="99"/>
  <c r="E50" i="99"/>
  <c r="I50" i="99"/>
  <c r="K21" i="99"/>
  <c r="E42" i="99"/>
  <c r="I42" i="99"/>
  <c r="J43" i="99"/>
  <c r="Y15" i="2" s="1"/>
  <c r="L18" i="99"/>
  <c r="C42" i="99"/>
  <c r="G42" i="99"/>
  <c r="K42" i="99"/>
  <c r="Z14" i="2" s="1"/>
  <c r="E44" i="99"/>
  <c r="I44" i="99"/>
  <c r="B25" i="99"/>
  <c r="E32" i="99"/>
  <c r="I32" i="99"/>
  <c r="K34" i="99"/>
  <c r="Z7" i="2" s="1"/>
  <c r="E36" i="99"/>
  <c r="I36" i="99"/>
  <c r="K5" i="99"/>
  <c r="K7" i="99"/>
  <c r="K9" i="99"/>
  <c r="C32" i="99"/>
  <c r="G32" i="99"/>
  <c r="K32" i="99"/>
  <c r="Z5" i="2" s="1"/>
  <c r="E34" i="99"/>
  <c r="I34" i="99"/>
  <c r="C36" i="99"/>
  <c r="C63" i="99"/>
  <c r="G36" i="99"/>
  <c r="K36" i="99"/>
  <c r="Z9" i="2" s="1"/>
  <c r="J18" i="99"/>
  <c r="K18" i="99" s="1"/>
  <c r="L23" i="99"/>
  <c r="D32" i="99"/>
  <c r="F32" i="99"/>
  <c r="H32" i="99"/>
  <c r="L32" i="99"/>
  <c r="AA5" i="2" s="1"/>
  <c r="C33" i="99"/>
  <c r="E33" i="99"/>
  <c r="G33" i="99"/>
  <c r="G60" i="99" s="1"/>
  <c r="I33" i="99"/>
  <c r="K33" i="99"/>
  <c r="Z6" i="2" s="1"/>
  <c r="D34" i="99"/>
  <c r="F34" i="99"/>
  <c r="H34" i="99"/>
  <c r="C35" i="99"/>
  <c r="E35" i="99"/>
  <c r="G35" i="99"/>
  <c r="I35" i="99"/>
  <c r="K35" i="99"/>
  <c r="Z8" i="2" s="1"/>
  <c r="D36" i="99"/>
  <c r="F36" i="99"/>
  <c r="H36" i="99"/>
  <c r="C37" i="99"/>
  <c r="C64" i="99" s="1"/>
  <c r="E37" i="99"/>
  <c r="E64" i="99" s="1"/>
  <c r="G37" i="99"/>
  <c r="G64" i="99" s="1"/>
  <c r="I37" i="99"/>
  <c r="K37" i="99"/>
  <c r="Z10" i="2" s="1"/>
  <c r="C41" i="99"/>
  <c r="E41" i="99"/>
  <c r="G41" i="99"/>
  <c r="I41" i="99"/>
  <c r="K41" i="99"/>
  <c r="Z13" i="2" s="1"/>
  <c r="D42" i="99"/>
  <c r="F42" i="99"/>
  <c r="H42" i="99"/>
  <c r="C43" i="99"/>
  <c r="E43" i="99"/>
  <c r="G43" i="99"/>
  <c r="I43" i="99"/>
  <c r="K43" i="99"/>
  <c r="Z15" i="2" s="1"/>
  <c r="D44" i="99"/>
  <c r="F44" i="99"/>
  <c r="H44" i="99"/>
  <c r="C45" i="99"/>
  <c r="E45" i="99"/>
  <c r="G45" i="99"/>
  <c r="I45" i="99"/>
  <c r="K45" i="99"/>
  <c r="Z17" i="2" s="1"/>
  <c r="B46" i="99"/>
  <c r="K49" i="99"/>
  <c r="Z20" i="2" s="1"/>
  <c r="M10" i="99"/>
  <c r="M18" i="99"/>
  <c r="M23" i="99"/>
  <c r="C25" i="99"/>
  <c r="V6" i="3" s="1"/>
  <c r="E25" i="99"/>
  <c r="V8" i="3" s="1"/>
  <c r="G25" i="99"/>
  <c r="V10" i="3" s="1"/>
  <c r="I25" i="99"/>
  <c r="D33" i="99"/>
  <c r="F33" i="99"/>
  <c r="H33" i="99"/>
  <c r="D35" i="99"/>
  <c r="F35" i="99"/>
  <c r="H35" i="99"/>
  <c r="D37" i="99"/>
  <c r="D64" i="99" s="1"/>
  <c r="F37" i="99"/>
  <c r="F64" i="99" s="1"/>
  <c r="H37" i="99"/>
  <c r="H64" i="99" s="1"/>
  <c r="D41" i="99"/>
  <c r="F41" i="99"/>
  <c r="H41" i="99"/>
  <c r="D43" i="99"/>
  <c r="F43" i="99"/>
  <c r="H43" i="99"/>
  <c r="H70" i="99" s="1"/>
  <c r="D45" i="99"/>
  <c r="F45" i="99"/>
  <c r="H45" i="99"/>
  <c r="D50" i="99"/>
  <c r="F50" i="99"/>
  <c r="H50" i="99"/>
  <c r="K36" i="96"/>
  <c r="K38" i="96"/>
  <c r="K40" i="96"/>
  <c r="B23" i="96"/>
  <c r="V24" i="16" s="1"/>
  <c r="B34" i="96"/>
  <c r="F34" i="96" s="1"/>
  <c r="D43" i="97"/>
  <c r="B23" i="97"/>
  <c r="K37" i="98"/>
  <c r="D23" i="98"/>
  <c r="H29" i="98"/>
  <c r="H53" i="98" s="1"/>
  <c r="H31" i="98"/>
  <c r="H37" i="98"/>
  <c r="H61" i="98" s="1"/>
  <c r="D68" i="98"/>
  <c r="B23" i="98"/>
  <c r="H44" i="98"/>
  <c r="H68" i="98" s="1"/>
  <c r="K21" i="96"/>
  <c r="K45" i="96" s="1"/>
  <c r="C69" i="96" s="1"/>
  <c r="E23" i="96"/>
  <c r="I23" i="96"/>
  <c r="C28" i="96"/>
  <c r="C52" i="96" s="1"/>
  <c r="E28" i="96"/>
  <c r="G28" i="96"/>
  <c r="I28" i="96"/>
  <c r="C29" i="96"/>
  <c r="E29" i="96"/>
  <c r="G29" i="96"/>
  <c r="I29" i="96"/>
  <c r="K29" i="96"/>
  <c r="F53" i="96" s="1"/>
  <c r="C30" i="96"/>
  <c r="E30" i="96"/>
  <c r="E54" i="96" s="1"/>
  <c r="G30" i="96"/>
  <c r="I30" i="96"/>
  <c r="C31" i="96"/>
  <c r="E31" i="96"/>
  <c r="G31" i="96"/>
  <c r="I31" i="96"/>
  <c r="C32" i="96"/>
  <c r="E32" i="96"/>
  <c r="G32" i="96"/>
  <c r="I32" i="96"/>
  <c r="C33" i="96"/>
  <c r="E33" i="96"/>
  <c r="G33" i="96"/>
  <c r="I33" i="96"/>
  <c r="C43" i="96"/>
  <c r="C67" i="96" s="1"/>
  <c r="E43" i="96"/>
  <c r="E67" i="96" s="1"/>
  <c r="G43" i="96"/>
  <c r="G67" i="96" s="1"/>
  <c r="I43" i="96"/>
  <c r="I67" i="96" s="1"/>
  <c r="C44" i="96"/>
  <c r="C68" i="96" s="1"/>
  <c r="E44" i="96"/>
  <c r="G44" i="96"/>
  <c r="G68" i="96" s="1"/>
  <c r="I44" i="96"/>
  <c r="K10" i="97"/>
  <c r="K34" i="97" s="1"/>
  <c r="Z11" i="17" s="1"/>
  <c r="K37" i="97"/>
  <c r="Z14" i="17" s="1"/>
  <c r="K39" i="97"/>
  <c r="Z16" i="17" s="1"/>
  <c r="K44" i="97"/>
  <c r="F23" i="97"/>
  <c r="J23" i="97"/>
  <c r="D28" i="97"/>
  <c r="I29" i="97"/>
  <c r="G29" i="97"/>
  <c r="E29" i="97"/>
  <c r="C29" i="97"/>
  <c r="F29" i="97"/>
  <c r="J29" i="97"/>
  <c r="D30" i="97"/>
  <c r="I31" i="97"/>
  <c r="G31" i="97"/>
  <c r="E31" i="97"/>
  <c r="C31" i="97"/>
  <c r="F31" i="97"/>
  <c r="J31" i="97"/>
  <c r="D32" i="97"/>
  <c r="I33" i="97"/>
  <c r="G33" i="97"/>
  <c r="E33" i="97"/>
  <c r="C33" i="97"/>
  <c r="F33" i="97"/>
  <c r="J33" i="97"/>
  <c r="B60" i="97"/>
  <c r="I36" i="97"/>
  <c r="G36" i="97"/>
  <c r="E36" i="97"/>
  <c r="C36" i="97"/>
  <c r="F36" i="97"/>
  <c r="J36" i="97"/>
  <c r="D37" i="97"/>
  <c r="B62" i="97"/>
  <c r="I38" i="97"/>
  <c r="G38" i="97"/>
  <c r="E38" i="97"/>
  <c r="E62" i="97" s="1"/>
  <c r="C38" i="97"/>
  <c r="F38" i="97"/>
  <c r="J38" i="97"/>
  <c r="D39" i="97"/>
  <c r="D63" i="97" s="1"/>
  <c r="B64" i="97"/>
  <c r="I40" i="97"/>
  <c r="I64" i="97" s="1"/>
  <c r="G40" i="97"/>
  <c r="G64" i="97" s="1"/>
  <c r="E40" i="97"/>
  <c r="E64" i="97" s="1"/>
  <c r="C40" i="97"/>
  <c r="C64" i="97" s="1"/>
  <c r="F40" i="97"/>
  <c r="F64" i="97" s="1"/>
  <c r="J40" i="97"/>
  <c r="J64" i="97" s="1"/>
  <c r="B67" i="97"/>
  <c r="I43" i="97"/>
  <c r="G43" i="97"/>
  <c r="E43" i="97"/>
  <c r="C43" i="97"/>
  <c r="C67" i="97" s="1"/>
  <c r="F43" i="97"/>
  <c r="F67" i="97" s="1"/>
  <c r="J43" i="97"/>
  <c r="D44" i="97"/>
  <c r="B45" i="97"/>
  <c r="B58" i="97"/>
  <c r="F23" i="98"/>
  <c r="J23" i="98"/>
  <c r="H23" i="98"/>
  <c r="D23" i="96"/>
  <c r="F23" i="96"/>
  <c r="H23" i="96"/>
  <c r="J23" i="96"/>
  <c r="D28" i="96"/>
  <c r="F28" i="96"/>
  <c r="H28" i="96"/>
  <c r="H52" i="96" s="1"/>
  <c r="J28" i="96"/>
  <c r="J52" i="96" s="1"/>
  <c r="D29" i="96"/>
  <c r="F29" i="96"/>
  <c r="H29" i="96"/>
  <c r="D30" i="96"/>
  <c r="D54" i="96" s="1"/>
  <c r="F30" i="96"/>
  <c r="F54" i="96" s="1"/>
  <c r="H30" i="96"/>
  <c r="H54" i="96"/>
  <c r="D31" i="96"/>
  <c r="F31" i="96"/>
  <c r="H31" i="96"/>
  <c r="D32" i="96"/>
  <c r="F32" i="96"/>
  <c r="H32" i="96"/>
  <c r="D33" i="96"/>
  <c r="F33" i="96"/>
  <c r="H33" i="96"/>
  <c r="D43" i="96"/>
  <c r="D67" i="96" s="1"/>
  <c r="F43" i="96"/>
  <c r="F67" i="96" s="1"/>
  <c r="H43" i="96"/>
  <c r="H67" i="96"/>
  <c r="J43" i="96"/>
  <c r="J67" i="96" s="1"/>
  <c r="D44" i="96"/>
  <c r="D68" i="96" s="1"/>
  <c r="F44" i="96"/>
  <c r="F68" i="96" s="1"/>
  <c r="H44" i="96"/>
  <c r="H68" i="96" s="1"/>
  <c r="J44" i="96"/>
  <c r="J68" i="96" s="1"/>
  <c r="B45" i="96"/>
  <c r="J45" i="96" s="1"/>
  <c r="K43" i="97"/>
  <c r="K21" i="97"/>
  <c r="D23" i="97"/>
  <c r="H23" i="97"/>
  <c r="I28" i="97"/>
  <c r="G28" i="97"/>
  <c r="G52" i="97" s="1"/>
  <c r="E28" i="97"/>
  <c r="C28" i="97"/>
  <c r="F28" i="97"/>
  <c r="J28" i="97"/>
  <c r="I30" i="97"/>
  <c r="G30" i="97"/>
  <c r="E30" i="97"/>
  <c r="C30" i="97"/>
  <c r="F30" i="97"/>
  <c r="J30" i="97"/>
  <c r="I32" i="97"/>
  <c r="G32" i="97"/>
  <c r="E32" i="97"/>
  <c r="C32" i="97"/>
  <c r="F32" i="97"/>
  <c r="J32" i="97"/>
  <c r="B34" i="97"/>
  <c r="B61" i="97"/>
  <c r="I37" i="97"/>
  <c r="I61" i="97" s="1"/>
  <c r="G37" i="97"/>
  <c r="G61" i="97" s="1"/>
  <c r="E37" i="97"/>
  <c r="E61" i="97" s="1"/>
  <c r="C37" i="97"/>
  <c r="C61" i="97" s="1"/>
  <c r="F37" i="97"/>
  <c r="F61" i="97" s="1"/>
  <c r="J37" i="97"/>
  <c r="B63" i="97"/>
  <c r="I39" i="97"/>
  <c r="I63" i="97" s="1"/>
  <c r="G39" i="97"/>
  <c r="G63" i="97" s="1"/>
  <c r="E39" i="97"/>
  <c r="E63" i="97" s="1"/>
  <c r="C39" i="97"/>
  <c r="C63" i="97" s="1"/>
  <c r="F39" i="97"/>
  <c r="F63" i="97" s="1"/>
  <c r="J39" i="97"/>
  <c r="J63" i="97" s="1"/>
  <c r="D64" i="97"/>
  <c r="B41" i="97"/>
  <c r="B68" i="97"/>
  <c r="I44" i="97"/>
  <c r="G44" i="97"/>
  <c r="G68" i="97" s="1"/>
  <c r="E44" i="97"/>
  <c r="C44" i="97"/>
  <c r="F44" i="97"/>
  <c r="J44" i="97"/>
  <c r="J68" i="97" s="1"/>
  <c r="I28" i="98"/>
  <c r="E28" i="98"/>
  <c r="B34" i="98"/>
  <c r="D34" i="98" s="1"/>
  <c r="D28" i="98"/>
  <c r="I30" i="98"/>
  <c r="I54" i="98" s="1"/>
  <c r="E30" i="98"/>
  <c r="E54" i="98" s="1"/>
  <c r="H30" i="98"/>
  <c r="H54" i="98" s="1"/>
  <c r="J30" i="98"/>
  <c r="J54" i="98" s="1"/>
  <c r="I32" i="98"/>
  <c r="G32" i="98"/>
  <c r="E32" i="98"/>
  <c r="C32" i="98"/>
  <c r="J32" i="98"/>
  <c r="H32" i="98"/>
  <c r="F32" i="98"/>
  <c r="D32" i="98"/>
  <c r="K17" i="97"/>
  <c r="K41" i="97" s="1"/>
  <c r="Z18" i="17" s="1"/>
  <c r="C23" i="97"/>
  <c r="E23" i="97"/>
  <c r="G23" i="97"/>
  <c r="I23" i="97"/>
  <c r="I29" i="98"/>
  <c r="G29" i="98"/>
  <c r="E29" i="98"/>
  <c r="C29" i="98"/>
  <c r="F29" i="98"/>
  <c r="J29" i="98"/>
  <c r="I31" i="98"/>
  <c r="I55" i="98" s="1"/>
  <c r="G31" i="98"/>
  <c r="E31" i="98"/>
  <c r="C31" i="98"/>
  <c r="F31" i="98"/>
  <c r="F55" i="98" s="1"/>
  <c r="J31" i="98"/>
  <c r="D33" i="98"/>
  <c r="F33" i="98"/>
  <c r="H33" i="98"/>
  <c r="J33" i="98"/>
  <c r="D36" i="98"/>
  <c r="F36" i="98"/>
  <c r="H36" i="98"/>
  <c r="J36" i="98"/>
  <c r="B62" i="98"/>
  <c r="I38" i="98"/>
  <c r="G38" i="98"/>
  <c r="G62" i="98" s="1"/>
  <c r="E38" i="98"/>
  <c r="C38" i="98"/>
  <c r="F38" i="98"/>
  <c r="J38" i="98"/>
  <c r="J62" i="98" s="1"/>
  <c r="B64" i="98"/>
  <c r="I40" i="98"/>
  <c r="G40" i="98"/>
  <c r="E40" i="98"/>
  <c r="C40" i="98"/>
  <c r="F40" i="98"/>
  <c r="J40" i="98"/>
  <c r="B67" i="98"/>
  <c r="E43" i="98"/>
  <c r="C23" i="98"/>
  <c r="C33" i="98"/>
  <c r="E33" i="98"/>
  <c r="G33" i="98"/>
  <c r="C36" i="98"/>
  <c r="E36" i="98"/>
  <c r="G36" i="98"/>
  <c r="G60" i="98" s="1"/>
  <c r="I36" i="98"/>
  <c r="I37" i="98"/>
  <c r="G37" i="98"/>
  <c r="E37" i="98"/>
  <c r="E61" i="98" s="1"/>
  <c r="C37" i="98"/>
  <c r="F37" i="98"/>
  <c r="F61" i="98" s="1"/>
  <c r="J37" i="98"/>
  <c r="D38" i="98"/>
  <c r="D62" i="98" s="1"/>
  <c r="H38" i="98"/>
  <c r="G39" i="98"/>
  <c r="C39" i="98"/>
  <c r="J39" i="98"/>
  <c r="D40" i="98"/>
  <c r="H40" i="98"/>
  <c r="I44" i="98"/>
  <c r="I68" i="98" s="1"/>
  <c r="G44" i="98"/>
  <c r="G68" i="98" s="1"/>
  <c r="E44" i="98"/>
  <c r="E68" i="98" s="1"/>
  <c r="C44" i="98"/>
  <c r="C68" i="98" s="1"/>
  <c r="F44" i="98"/>
  <c r="F68" i="98" s="1"/>
  <c r="J44" i="98"/>
  <c r="J68" i="98" s="1"/>
  <c r="B61" i="98"/>
  <c r="C43" i="95"/>
  <c r="G43" i="95"/>
  <c r="E43" i="95"/>
  <c r="D70" i="95"/>
  <c r="B23" i="95"/>
  <c r="B47" i="95" s="1"/>
  <c r="D23" i="95"/>
  <c r="F23" i="95"/>
  <c r="C36" i="95"/>
  <c r="G36" i="95"/>
  <c r="E38" i="95"/>
  <c r="E64" i="95" s="1"/>
  <c r="C40" i="95"/>
  <c r="G40" i="95"/>
  <c r="E36" i="95"/>
  <c r="E40" i="95"/>
  <c r="E28" i="95"/>
  <c r="C30" i="95"/>
  <c r="G30" i="95"/>
  <c r="E32" i="95"/>
  <c r="E30" i="95"/>
  <c r="H17" i="93"/>
  <c r="H31" i="93"/>
  <c r="H57" i="93" s="1"/>
  <c r="C30" i="93"/>
  <c r="C34" i="94"/>
  <c r="C60" i="94" s="1"/>
  <c r="E34" i="94"/>
  <c r="G34" i="94"/>
  <c r="C32" i="94"/>
  <c r="H43" i="94"/>
  <c r="H69" i="94" s="1"/>
  <c r="H39" i="93"/>
  <c r="H37" i="94"/>
  <c r="F63" i="94" s="1"/>
  <c r="H39" i="94"/>
  <c r="H32" i="93"/>
  <c r="G30" i="93"/>
  <c r="G38" i="93"/>
  <c r="C28" i="94"/>
  <c r="G37" i="94"/>
  <c r="C38" i="93"/>
  <c r="G28" i="94"/>
  <c r="G32" i="94"/>
  <c r="C37" i="94"/>
  <c r="E28" i="93"/>
  <c r="E32" i="93"/>
  <c r="F37" i="93"/>
  <c r="E40" i="93"/>
  <c r="E43" i="93"/>
  <c r="E39" i="94"/>
  <c r="E44" i="94"/>
  <c r="H29" i="93"/>
  <c r="H33" i="93"/>
  <c r="H37" i="93"/>
  <c r="H63" i="93" s="1"/>
  <c r="H43" i="93"/>
  <c r="H69" i="93"/>
  <c r="C28" i="93"/>
  <c r="G28" i="93"/>
  <c r="E30" i="93"/>
  <c r="C32" i="93"/>
  <c r="G32" i="93"/>
  <c r="E38" i="93"/>
  <c r="C40" i="93"/>
  <c r="G40" i="93"/>
  <c r="C43" i="93"/>
  <c r="G43" i="93"/>
  <c r="H30" i="94"/>
  <c r="H56" i="94" s="1"/>
  <c r="H36" i="94"/>
  <c r="H40" i="94"/>
  <c r="H44" i="94"/>
  <c r="H70" i="94" s="1"/>
  <c r="E28" i="94"/>
  <c r="E32" i="94"/>
  <c r="E37" i="94"/>
  <c r="C39" i="94"/>
  <c r="G39" i="94"/>
  <c r="G65" i="94" s="1"/>
  <c r="C44" i="94"/>
  <c r="G44" i="94"/>
  <c r="B60" i="94"/>
  <c r="D34" i="93"/>
  <c r="F34" i="93"/>
  <c r="C34" i="93"/>
  <c r="E34" i="93"/>
  <c r="G34" i="93"/>
  <c r="B71" i="93"/>
  <c r="B45" i="93"/>
  <c r="H21" i="93"/>
  <c r="C23" i="93"/>
  <c r="E23" i="93"/>
  <c r="G23" i="93"/>
  <c r="D29" i="93"/>
  <c r="D55" i="93" s="1"/>
  <c r="F29" i="93"/>
  <c r="D31" i="93"/>
  <c r="F31" i="93"/>
  <c r="D33" i="93"/>
  <c r="D36" i="93"/>
  <c r="D62" i="93" s="1"/>
  <c r="F36" i="93"/>
  <c r="H36" i="93"/>
  <c r="H62" i="93" s="1"/>
  <c r="G39" i="93"/>
  <c r="E39" i="93"/>
  <c r="C39" i="93"/>
  <c r="F39" i="93"/>
  <c r="F65" i="93"/>
  <c r="B41" i="93"/>
  <c r="E41" i="93" s="1"/>
  <c r="G44" i="93"/>
  <c r="F57" i="94"/>
  <c r="H10" i="93"/>
  <c r="H34" i="93" s="1"/>
  <c r="B23" i="93"/>
  <c r="B47" i="93" s="1"/>
  <c r="D23" i="93"/>
  <c r="F23" i="93"/>
  <c r="D28" i="93"/>
  <c r="C29" i="93"/>
  <c r="E29" i="93"/>
  <c r="D30" i="93"/>
  <c r="C31" i="93"/>
  <c r="C57" i="93" s="1"/>
  <c r="E31" i="93"/>
  <c r="D32" i="93"/>
  <c r="C33" i="93"/>
  <c r="C36" i="93"/>
  <c r="E36" i="93"/>
  <c r="G37" i="93"/>
  <c r="G63" i="93" s="1"/>
  <c r="E37" i="93"/>
  <c r="E63" i="93" s="1"/>
  <c r="D37" i="93"/>
  <c r="D39" i="93"/>
  <c r="D44" i="93"/>
  <c r="D34" i="94"/>
  <c r="D38" i="93"/>
  <c r="D40" i="93"/>
  <c r="D43" i="93"/>
  <c r="D69" i="93" s="1"/>
  <c r="H10" i="94"/>
  <c r="H34" i="94" s="1"/>
  <c r="H60" i="94" s="1"/>
  <c r="H17" i="94"/>
  <c r="H23" i="94" s="1"/>
  <c r="D23" i="94"/>
  <c r="D28" i="94"/>
  <c r="C29" i="94"/>
  <c r="E29" i="94"/>
  <c r="G29" i="94"/>
  <c r="C31" i="94"/>
  <c r="C57" i="94" s="1"/>
  <c r="E31" i="94"/>
  <c r="E57" i="94" s="1"/>
  <c r="G31" i="94"/>
  <c r="G57" i="94" s="1"/>
  <c r="D32" i="94"/>
  <c r="C33" i="94"/>
  <c r="E33" i="94"/>
  <c r="G33" i="94"/>
  <c r="C36" i="94"/>
  <c r="E36" i="94"/>
  <c r="G36" i="94"/>
  <c r="D37" i="94"/>
  <c r="C38" i="94"/>
  <c r="E38" i="94"/>
  <c r="G38" i="94"/>
  <c r="D39" i="94"/>
  <c r="C40" i="94"/>
  <c r="E40" i="94"/>
  <c r="G40" i="94"/>
  <c r="B41" i="94"/>
  <c r="G41" i="94" s="1"/>
  <c r="C43" i="94"/>
  <c r="C69" i="94" s="1"/>
  <c r="E43" i="94"/>
  <c r="E69" i="94" s="1"/>
  <c r="G43" i="94"/>
  <c r="G69" i="94" s="1"/>
  <c r="D44" i="94"/>
  <c r="D34" i="95"/>
  <c r="F34" i="95"/>
  <c r="F55" i="95"/>
  <c r="D65" i="95"/>
  <c r="H21" i="94"/>
  <c r="C23" i="94"/>
  <c r="E23" i="94"/>
  <c r="G23" i="94"/>
  <c r="D29" i="94"/>
  <c r="D31" i="94"/>
  <c r="D57" i="94" s="1"/>
  <c r="D33" i="94"/>
  <c r="D36" i="94"/>
  <c r="D38" i="94"/>
  <c r="D40" i="94"/>
  <c r="D66" i="94" s="1"/>
  <c r="D43" i="94"/>
  <c r="D69" i="94" s="1"/>
  <c r="H10" i="95"/>
  <c r="H34" i="95" s="1"/>
  <c r="H17" i="95"/>
  <c r="D28" i="95"/>
  <c r="C29" i="95"/>
  <c r="C55" i="95" s="1"/>
  <c r="E29" i="95"/>
  <c r="E55" i="95" s="1"/>
  <c r="G29" i="95"/>
  <c r="G55" i="95" s="1"/>
  <c r="D30" i="95"/>
  <c r="C31" i="95"/>
  <c r="E31" i="95"/>
  <c r="G31" i="95"/>
  <c r="D32" i="95"/>
  <c r="C33" i="95"/>
  <c r="E33" i="95"/>
  <c r="G33" i="95"/>
  <c r="E34" i="95"/>
  <c r="G34" i="95"/>
  <c r="B71" i="95"/>
  <c r="B45" i="95"/>
  <c r="H21" i="95"/>
  <c r="C23" i="95"/>
  <c r="E23" i="95"/>
  <c r="G23" i="95"/>
  <c r="D29" i="95"/>
  <c r="D55" i="95" s="1"/>
  <c r="D31" i="95"/>
  <c r="D33" i="95"/>
  <c r="G37" i="95"/>
  <c r="E37" i="95"/>
  <c r="C37" i="95"/>
  <c r="F37" i="95"/>
  <c r="F64" i="95"/>
  <c r="G39" i="95"/>
  <c r="G65" i="95" s="1"/>
  <c r="E39" i="95"/>
  <c r="E65" i="95" s="1"/>
  <c r="C39" i="95"/>
  <c r="C65" i="95" s="1"/>
  <c r="F39" i="95"/>
  <c r="F65" i="95" s="1"/>
  <c r="B41" i="95"/>
  <c r="G44" i="95"/>
  <c r="G70" i="95" s="1"/>
  <c r="E44" i="95"/>
  <c r="E70" i="95" s="1"/>
  <c r="C44" i="95"/>
  <c r="C70" i="95" s="1"/>
  <c r="F44" i="95"/>
  <c r="F70" i="95" s="1"/>
  <c r="D36" i="95"/>
  <c r="D38" i="95"/>
  <c r="D64" i="95" s="1"/>
  <c r="D40" i="95"/>
  <c r="D43" i="95"/>
  <c r="G38" i="99"/>
  <c r="C38" i="99"/>
  <c r="I38" i="99"/>
  <c r="I46" i="99"/>
  <c r="C45" i="96"/>
  <c r="F45" i="96"/>
  <c r="F69" i="96" s="1"/>
  <c r="G45" i="96"/>
  <c r="G69" i="96" s="1"/>
  <c r="G61" i="98"/>
  <c r="H34" i="97"/>
  <c r="G45" i="97"/>
  <c r="C45" i="97"/>
  <c r="H63" i="97"/>
  <c r="J45" i="97"/>
  <c r="F45" i="97"/>
  <c r="F41" i="97"/>
  <c r="I45" i="97"/>
  <c r="E45" i="97"/>
  <c r="H45" i="97"/>
  <c r="D45" i="97"/>
  <c r="I45" i="96"/>
  <c r="E45" i="96"/>
  <c r="D41" i="97"/>
  <c r="D65" i="97" s="1"/>
  <c r="H45" i="96"/>
  <c r="H69" i="96" s="1"/>
  <c r="D45" i="96"/>
  <c r="F69" i="94"/>
  <c r="H44" i="106"/>
  <c r="C43" i="106"/>
  <c r="E38" i="106"/>
  <c r="E64" i="106" s="1"/>
  <c r="H38" i="106"/>
  <c r="H64" i="106" s="1"/>
  <c r="E36" i="106"/>
  <c r="C38" i="106"/>
  <c r="G38" i="106"/>
  <c r="G64" i="106" s="1"/>
  <c r="E40" i="106"/>
  <c r="E28" i="106"/>
  <c r="E32" i="106"/>
  <c r="D23" i="106"/>
  <c r="C28" i="106"/>
  <c r="G28" i="106"/>
  <c r="E30" i="106"/>
  <c r="C32" i="106"/>
  <c r="G32" i="106"/>
  <c r="H10" i="106"/>
  <c r="H34" i="106" s="1"/>
  <c r="B67" i="106"/>
  <c r="B41" i="106"/>
  <c r="H17" i="106"/>
  <c r="D28" i="106"/>
  <c r="C29" i="106"/>
  <c r="C55" i="106" s="1"/>
  <c r="E29" i="106"/>
  <c r="E55" i="106" s="1"/>
  <c r="G29" i="106"/>
  <c r="G55" i="106" s="1"/>
  <c r="D30" i="106"/>
  <c r="C31" i="106"/>
  <c r="E31" i="106"/>
  <c r="G31" i="106"/>
  <c r="D32" i="106"/>
  <c r="C33" i="106"/>
  <c r="E33" i="106"/>
  <c r="G33" i="106"/>
  <c r="B71" i="106"/>
  <c r="H21" i="106"/>
  <c r="C23" i="106"/>
  <c r="C47" i="106" s="1"/>
  <c r="C73" i="106" s="1"/>
  <c r="E23" i="106"/>
  <c r="G23" i="106"/>
  <c r="D29" i="106"/>
  <c r="D55" i="106" s="1"/>
  <c r="D31" i="106"/>
  <c r="D57" i="106" s="1"/>
  <c r="D33" i="106"/>
  <c r="D36" i="106"/>
  <c r="C37" i="106"/>
  <c r="E37" i="106"/>
  <c r="G37" i="106"/>
  <c r="D38" i="106"/>
  <c r="C39" i="106"/>
  <c r="E39" i="106"/>
  <c r="G39" i="106"/>
  <c r="D40" i="106"/>
  <c r="D43" i="106"/>
  <c r="F43" i="106"/>
  <c r="C44" i="106"/>
  <c r="E44" i="106"/>
  <c r="G44" i="106"/>
  <c r="D37" i="106"/>
  <c r="D39" i="106"/>
  <c r="E43" i="106"/>
  <c r="D44" i="106"/>
  <c r="E43" i="105"/>
  <c r="E67" i="105" s="1"/>
  <c r="I43" i="105"/>
  <c r="C44" i="105"/>
  <c r="C68" i="105" s="1"/>
  <c r="G44" i="105"/>
  <c r="G68" i="105" s="1"/>
  <c r="E44" i="105"/>
  <c r="I44" i="105"/>
  <c r="I68" i="105" s="1"/>
  <c r="C36" i="105"/>
  <c r="E37" i="105"/>
  <c r="I37" i="105"/>
  <c r="E39" i="105"/>
  <c r="I39" i="105"/>
  <c r="G40" i="105"/>
  <c r="E38" i="105"/>
  <c r="E29" i="105"/>
  <c r="I29" i="105"/>
  <c r="E31" i="105"/>
  <c r="E55" i="105" s="1"/>
  <c r="I31" i="105"/>
  <c r="E33" i="105"/>
  <c r="I33" i="105"/>
  <c r="C23" i="105"/>
  <c r="G23" i="105"/>
  <c r="B34" i="105"/>
  <c r="D34" i="105" s="1"/>
  <c r="E28" i="105"/>
  <c r="I28" i="105"/>
  <c r="C29" i="105"/>
  <c r="G29" i="105"/>
  <c r="E30" i="105"/>
  <c r="I30" i="105"/>
  <c r="C31" i="105"/>
  <c r="C55" i="105"/>
  <c r="G31" i="105"/>
  <c r="G55" i="105" s="1"/>
  <c r="E32" i="105"/>
  <c r="E56" i="105" s="1"/>
  <c r="I32" i="105"/>
  <c r="I56" i="105" s="1"/>
  <c r="C33" i="105"/>
  <c r="G33" i="105"/>
  <c r="K10" i="96"/>
  <c r="K34" i="96" s="1"/>
  <c r="I68" i="96"/>
  <c r="E68" i="96"/>
  <c r="B69" i="96"/>
  <c r="K28" i="96"/>
  <c r="K67" i="96"/>
  <c r="AA20" i="17"/>
  <c r="K68" i="96"/>
  <c r="B65" i="96"/>
  <c r="B41" i="96"/>
  <c r="J40" i="96"/>
  <c r="H40" i="96"/>
  <c r="F40" i="96"/>
  <c r="F64" i="96" s="1"/>
  <c r="D40" i="96"/>
  <c r="J39" i="96"/>
  <c r="H39" i="96"/>
  <c r="F39" i="96"/>
  <c r="D39" i="96"/>
  <c r="J38" i="96"/>
  <c r="H38" i="96"/>
  <c r="F38" i="96"/>
  <c r="D38" i="96"/>
  <c r="J37" i="96"/>
  <c r="H37" i="96"/>
  <c r="F37" i="96"/>
  <c r="D37" i="96"/>
  <c r="J36" i="96"/>
  <c r="H36" i="96"/>
  <c r="F36" i="96"/>
  <c r="D36" i="96"/>
  <c r="I40" i="96"/>
  <c r="I64" i="96" s="1"/>
  <c r="G40" i="96"/>
  <c r="G64" i="96" s="1"/>
  <c r="E40" i="96"/>
  <c r="E64" i="96" s="1"/>
  <c r="C40" i="96"/>
  <c r="I39" i="96"/>
  <c r="G39" i="96"/>
  <c r="E39" i="96"/>
  <c r="C39" i="96"/>
  <c r="I38" i="96"/>
  <c r="G38" i="96"/>
  <c r="G62" i="96" s="1"/>
  <c r="E38" i="96"/>
  <c r="C38" i="96"/>
  <c r="I37" i="96"/>
  <c r="G37" i="96"/>
  <c r="E37" i="96"/>
  <c r="C37" i="96"/>
  <c r="I36" i="96"/>
  <c r="G36" i="96"/>
  <c r="G60" i="96" s="1"/>
  <c r="E36" i="96"/>
  <c r="C36" i="96"/>
  <c r="J54" i="96"/>
  <c r="AA7" i="17"/>
  <c r="K54" i="96"/>
  <c r="C54" i="96"/>
  <c r="G54" i="96"/>
  <c r="I54" i="96"/>
  <c r="K10" i="105"/>
  <c r="K34" i="105" s="1"/>
  <c r="D23" i="105"/>
  <c r="H23" i="105"/>
  <c r="K21" i="105"/>
  <c r="E23" i="105"/>
  <c r="I23" i="105"/>
  <c r="D28" i="105"/>
  <c r="F28" i="105"/>
  <c r="H28" i="105"/>
  <c r="J28" i="105"/>
  <c r="D29" i="105"/>
  <c r="F29" i="105"/>
  <c r="H29" i="105"/>
  <c r="D30" i="105"/>
  <c r="F30" i="105"/>
  <c r="H30" i="105"/>
  <c r="D31" i="105"/>
  <c r="D55" i="105" s="1"/>
  <c r="F31" i="105"/>
  <c r="F55" i="105" s="1"/>
  <c r="H31" i="105"/>
  <c r="H55" i="105" s="1"/>
  <c r="D32" i="105"/>
  <c r="D56" i="105" s="1"/>
  <c r="F32" i="105"/>
  <c r="F56" i="105" s="1"/>
  <c r="H32" i="105"/>
  <c r="H56" i="105" s="1"/>
  <c r="D33" i="105"/>
  <c r="F33" i="105"/>
  <c r="H33" i="105"/>
  <c r="F36" i="105"/>
  <c r="D37" i="105"/>
  <c r="F37" i="105"/>
  <c r="H37" i="105"/>
  <c r="J37" i="105"/>
  <c r="J38" i="105"/>
  <c r="J62" i="105" s="1"/>
  <c r="D39" i="105"/>
  <c r="F39" i="105"/>
  <c r="H39" i="105"/>
  <c r="J39" i="105"/>
  <c r="B41" i="105"/>
  <c r="F41" i="105" s="1"/>
  <c r="D43" i="105"/>
  <c r="D67" i="105" s="1"/>
  <c r="F43" i="105"/>
  <c r="F67" i="105" s="1"/>
  <c r="H43" i="105"/>
  <c r="H67" i="105" s="1"/>
  <c r="J43" i="105"/>
  <c r="J67" i="105" s="1"/>
  <c r="D44" i="105"/>
  <c r="F44" i="105"/>
  <c r="F68" i="105" s="1"/>
  <c r="H44" i="105"/>
  <c r="H68" i="105" s="1"/>
  <c r="J44" i="105"/>
  <c r="J68" i="105" s="1"/>
  <c r="B45" i="105"/>
  <c r="I45" i="105" s="1"/>
  <c r="B58" i="105"/>
  <c r="C34" i="105"/>
  <c r="C58" i="105" s="1"/>
  <c r="G52" i="96"/>
  <c r="C25" i="108"/>
  <c r="G25" i="108"/>
  <c r="W10" i="3" s="1"/>
  <c r="I42" i="108"/>
  <c r="G69" i="108" s="1"/>
  <c r="I44" i="108"/>
  <c r="K18" i="108"/>
  <c r="D41" i="108"/>
  <c r="J4" i="108"/>
  <c r="AB5" i="2" s="1"/>
  <c r="I34" i="108"/>
  <c r="C61" i="108" s="1"/>
  <c r="J8" i="108"/>
  <c r="AB9" i="2" s="1"/>
  <c r="I49" i="108"/>
  <c r="G34" i="108"/>
  <c r="G36" i="108"/>
  <c r="G63" i="108" s="1"/>
  <c r="C42" i="108"/>
  <c r="C44" i="108"/>
  <c r="C49" i="108"/>
  <c r="G42" i="108"/>
  <c r="G44" i="108"/>
  <c r="K10" i="108"/>
  <c r="J13" i="108"/>
  <c r="AB13" i="2" s="1"/>
  <c r="J14" i="108"/>
  <c r="AB14" i="2" s="1"/>
  <c r="J16" i="108"/>
  <c r="AB16" i="2" s="1"/>
  <c r="B25" i="108"/>
  <c r="B38" i="108"/>
  <c r="E38" i="108" s="1"/>
  <c r="E32" i="108"/>
  <c r="J32" i="108"/>
  <c r="E34" i="108"/>
  <c r="J34" i="108"/>
  <c r="E36" i="108"/>
  <c r="E63" i="108" s="1"/>
  <c r="J36" i="108"/>
  <c r="E42" i="108"/>
  <c r="J42" i="108"/>
  <c r="E44" i="108"/>
  <c r="J44" i="108"/>
  <c r="B51" i="108"/>
  <c r="E49" i="108"/>
  <c r="J49" i="108"/>
  <c r="J33" i="108"/>
  <c r="G33" i="108"/>
  <c r="E33" i="108"/>
  <c r="C33" i="108"/>
  <c r="F33" i="108"/>
  <c r="I33" i="108"/>
  <c r="J35" i="108"/>
  <c r="G35" i="108"/>
  <c r="E35" i="108"/>
  <c r="C35" i="108"/>
  <c r="F35" i="108"/>
  <c r="I35" i="108"/>
  <c r="C62" i="108" s="1"/>
  <c r="J37" i="108"/>
  <c r="G37" i="108"/>
  <c r="G64" i="108" s="1"/>
  <c r="E37" i="108"/>
  <c r="E64" i="108" s="1"/>
  <c r="C37" i="108"/>
  <c r="F37" i="108"/>
  <c r="I37" i="108"/>
  <c r="E25" i="108"/>
  <c r="W8" i="3" s="1"/>
  <c r="D33" i="108"/>
  <c r="H33" i="108"/>
  <c r="D35" i="108"/>
  <c r="H35" i="108"/>
  <c r="H62" i="108" s="1"/>
  <c r="C63" i="108"/>
  <c r="D37" i="108"/>
  <c r="D64" i="108" s="1"/>
  <c r="H37" i="108"/>
  <c r="B46" i="108"/>
  <c r="J46" i="108" s="1"/>
  <c r="J41" i="108"/>
  <c r="G41" i="108"/>
  <c r="E41" i="108"/>
  <c r="C41" i="108"/>
  <c r="F41" i="108"/>
  <c r="I41" i="108"/>
  <c r="F68" i="108" s="1"/>
  <c r="D43" i="108"/>
  <c r="F43" i="108"/>
  <c r="H43" i="108"/>
  <c r="I43" i="108"/>
  <c r="E70" i="108" s="1"/>
  <c r="D45" i="108"/>
  <c r="F45" i="108"/>
  <c r="H45" i="108"/>
  <c r="I45" i="108"/>
  <c r="J50" i="108"/>
  <c r="G50" i="108"/>
  <c r="E50" i="108"/>
  <c r="C50" i="108"/>
  <c r="F50" i="108"/>
  <c r="I50" i="108"/>
  <c r="I10" i="108"/>
  <c r="I23" i="108"/>
  <c r="K23" i="108"/>
  <c r="D25" i="108"/>
  <c r="W7" i="3" s="1"/>
  <c r="F25" i="108"/>
  <c r="W9" i="3" s="1"/>
  <c r="H25" i="108"/>
  <c r="W11" i="3" s="1"/>
  <c r="D32" i="108"/>
  <c r="F32" i="108"/>
  <c r="H32" i="108"/>
  <c r="D34" i="108"/>
  <c r="D61" i="108" s="1"/>
  <c r="F34" i="108"/>
  <c r="F61" i="108" s="1"/>
  <c r="H34" i="108"/>
  <c r="H61" i="108" s="1"/>
  <c r="D36" i="108"/>
  <c r="F36" i="108"/>
  <c r="F63" i="108" s="1"/>
  <c r="H36" i="108"/>
  <c r="D42" i="108"/>
  <c r="F42" i="108"/>
  <c r="H42" i="108"/>
  <c r="H69" i="108" s="1"/>
  <c r="C43" i="108"/>
  <c r="E43" i="108"/>
  <c r="G43" i="108"/>
  <c r="D44" i="108"/>
  <c r="F44" i="108"/>
  <c r="F71" i="108" s="1"/>
  <c r="H44" i="108"/>
  <c r="C45" i="108"/>
  <c r="E45" i="108"/>
  <c r="G45" i="108"/>
  <c r="D50" i="108"/>
  <c r="H50" i="108"/>
  <c r="D49" i="108"/>
  <c r="F49" i="108"/>
  <c r="F76" i="108" s="1"/>
  <c r="H49" i="108"/>
  <c r="E69" i="108"/>
  <c r="C46" i="108"/>
  <c r="J45" i="105"/>
  <c r="F40" i="105"/>
  <c r="J36" i="105"/>
  <c r="E40" i="105"/>
  <c r="E64" i="105" s="1"/>
  <c r="E36" i="105"/>
  <c r="G38" i="105"/>
  <c r="K38" i="105"/>
  <c r="K17" i="105"/>
  <c r="B45" i="106"/>
  <c r="E45" i="106" s="1"/>
  <c r="G67" i="105"/>
  <c r="J40" i="105"/>
  <c r="H40" i="105"/>
  <c r="D40" i="105"/>
  <c r="H38" i="105"/>
  <c r="H62" i="105" s="1"/>
  <c r="F38" i="105"/>
  <c r="D38" i="105"/>
  <c r="H36" i="105"/>
  <c r="D36" i="105"/>
  <c r="I40" i="105"/>
  <c r="I38" i="105"/>
  <c r="I36" i="105"/>
  <c r="C40" i="105"/>
  <c r="C38" i="105"/>
  <c r="G36" i="105"/>
  <c r="K40" i="105"/>
  <c r="AB17" i="17" s="1"/>
  <c r="K36" i="105"/>
  <c r="C60" i="105" s="1"/>
  <c r="C56" i="105"/>
  <c r="J30" i="105"/>
  <c r="K68" i="105"/>
  <c r="D68" i="105"/>
  <c r="E68" i="105"/>
  <c r="B67" i="105"/>
  <c r="B69" i="105" s="1"/>
  <c r="C43" i="105"/>
  <c r="C67" i="105" s="1"/>
  <c r="G37" i="105"/>
  <c r="G39" i="105"/>
  <c r="B61" i="105"/>
  <c r="B65" i="105" s="1"/>
  <c r="B63" i="105"/>
  <c r="K55" i="105"/>
  <c r="I55" i="105"/>
  <c r="J55" i="105"/>
  <c r="K56" i="105"/>
  <c r="G30" i="105"/>
  <c r="G32" i="105"/>
  <c r="G56" i="105" s="1"/>
  <c r="J32" i="105"/>
  <c r="J56" i="105" s="1"/>
  <c r="G36" i="106"/>
  <c r="G40" i="106"/>
  <c r="F36" i="106"/>
  <c r="F40" i="106"/>
  <c r="H55" i="106"/>
  <c r="C34" i="106"/>
  <c r="C60" i="106" s="1"/>
  <c r="F55" i="106"/>
  <c r="D34" i="106"/>
  <c r="D60" i="106" s="1"/>
  <c r="E34" i="106"/>
  <c r="E60" i="106" s="1"/>
  <c r="F34" i="106"/>
  <c r="F60" i="106" s="1"/>
  <c r="G34" i="106"/>
  <c r="G60" i="106" s="1"/>
  <c r="G30" i="106"/>
  <c r="F30" i="106"/>
  <c r="D60" i="105"/>
  <c r="J64" i="105"/>
  <c r="H60" i="106"/>
  <c r="D60" i="94"/>
  <c r="G60" i="94"/>
  <c r="AA5" i="17"/>
  <c r="K58" i="97"/>
  <c r="K65" i="97"/>
  <c r="H41" i="97"/>
  <c r="H65" i="97" s="1"/>
  <c r="K68" i="97"/>
  <c r="K63" i="97"/>
  <c r="K61" i="97"/>
  <c r="K61" i="98"/>
  <c r="F47" i="85"/>
  <c r="D47" i="85"/>
  <c r="E45" i="68"/>
  <c r="D49" i="49"/>
  <c r="H42" i="49"/>
  <c r="G37" i="49"/>
  <c r="E37" i="49"/>
  <c r="H34" i="49"/>
  <c r="N7" i="2" s="1"/>
  <c r="H44" i="4"/>
  <c r="G43" i="4"/>
  <c r="G70" i="4" s="1"/>
  <c r="D43" i="4"/>
  <c r="D70" i="4" s="1"/>
  <c r="D37" i="4"/>
  <c r="D33" i="4"/>
  <c r="H32" i="4"/>
  <c r="F32" i="4"/>
  <c r="H45" i="14"/>
  <c r="C17" i="2" s="1"/>
  <c r="F41" i="15"/>
  <c r="G37" i="15"/>
  <c r="E37" i="15"/>
  <c r="H32" i="15"/>
  <c r="B5" i="2" s="1"/>
  <c r="B25" i="15"/>
  <c r="B80" i="15" s="1"/>
  <c r="B41" i="60"/>
  <c r="F41" i="60" s="1"/>
  <c r="H40" i="60"/>
  <c r="H38" i="60"/>
  <c r="H36" i="60"/>
  <c r="B34" i="60"/>
  <c r="F34" i="60" s="1"/>
  <c r="H33" i="60"/>
  <c r="H31" i="60"/>
  <c r="H29" i="60"/>
  <c r="I44" i="55"/>
  <c r="G44" i="55"/>
  <c r="E44" i="55"/>
  <c r="G39" i="55"/>
  <c r="E39" i="55"/>
  <c r="I38" i="55"/>
  <c r="G38" i="55"/>
  <c r="E38" i="55"/>
  <c r="E31" i="55"/>
  <c r="C56" i="63"/>
  <c r="E56" i="63"/>
  <c r="G56" i="63"/>
  <c r="C55" i="63"/>
  <c r="E55" i="63"/>
  <c r="G55" i="63"/>
  <c r="C54" i="63"/>
  <c r="E54" i="63"/>
  <c r="G54" i="63"/>
  <c r="D47" i="59"/>
  <c r="B49" i="59"/>
  <c r="D49" i="59" s="1"/>
  <c r="D75" i="59"/>
  <c r="H75" i="59" s="1"/>
  <c r="F75" i="59"/>
  <c r="C68" i="59"/>
  <c r="H68" i="59" s="1"/>
  <c r="G68" i="59"/>
  <c r="C62" i="59"/>
  <c r="H62" i="59" s="1"/>
  <c r="G62" i="59"/>
  <c r="C58" i="59"/>
  <c r="G58" i="59"/>
  <c r="H69" i="54"/>
  <c r="F43" i="54"/>
  <c r="H43" i="54" s="1"/>
  <c r="C42" i="54"/>
  <c r="E42" i="54"/>
  <c r="H42" i="54" s="1"/>
  <c r="G42" i="54"/>
  <c r="C34" i="54"/>
  <c r="E34" i="54"/>
  <c r="G34" i="54"/>
  <c r="E45" i="76"/>
  <c r="I45" i="76"/>
  <c r="K63" i="76"/>
  <c r="E45" i="75"/>
  <c r="E13" i="3"/>
  <c r="E32" i="56"/>
  <c r="E59" i="56" s="1"/>
  <c r="D38" i="5"/>
  <c r="D44" i="13"/>
  <c r="H43" i="13"/>
  <c r="D15" i="2" s="1"/>
  <c r="H45" i="22"/>
  <c r="H33" i="22"/>
  <c r="H29" i="22"/>
  <c r="E33" i="30"/>
  <c r="G32" i="30"/>
  <c r="E32" i="30"/>
  <c r="H30" i="30"/>
  <c r="C40" i="59"/>
  <c r="E40" i="59"/>
  <c r="G40" i="59"/>
  <c r="C34" i="59"/>
  <c r="E34" i="59"/>
  <c r="G34" i="59"/>
  <c r="C30" i="59"/>
  <c r="E30" i="59"/>
  <c r="G30" i="59"/>
  <c r="C40" i="54"/>
  <c r="D40" i="54"/>
  <c r="F40" i="54"/>
  <c r="C30" i="54"/>
  <c r="E30" i="54"/>
  <c r="G30" i="54"/>
  <c r="G76" i="48"/>
  <c r="E76" i="48"/>
  <c r="C76" i="48"/>
  <c r="G75" i="48"/>
  <c r="E75" i="48"/>
  <c r="C75" i="48"/>
  <c r="F71" i="48"/>
  <c r="D71" i="48"/>
  <c r="G70" i="48"/>
  <c r="E70" i="48"/>
  <c r="C70" i="48"/>
  <c r="G69" i="48"/>
  <c r="E69" i="48"/>
  <c r="G68" i="48"/>
  <c r="E68" i="48"/>
  <c r="C68" i="48"/>
  <c r="G67" i="48"/>
  <c r="E67" i="48"/>
  <c r="C67" i="48"/>
  <c r="F63" i="48"/>
  <c r="D63" i="48"/>
  <c r="F62" i="48"/>
  <c r="D62" i="48"/>
  <c r="G61" i="48"/>
  <c r="E61" i="48"/>
  <c r="C61" i="48"/>
  <c r="G60" i="48"/>
  <c r="E60" i="48"/>
  <c r="G59" i="48"/>
  <c r="E59" i="48"/>
  <c r="C59" i="48"/>
  <c r="G58" i="48"/>
  <c r="E58" i="48"/>
  <c r="C58" i="48"/>
  <c r="H23" i="48"/>
  <c r="D77" i="48" s="1"/>
  <c r="F76" i="33"/>
  <c r="D76" i="33"/>
  <c r="B76" i="33"/>
  <c r="F75" i="33"/>
  <c r="D75" i="33"/>
  <c r="F71" i="33"/>
  <c r="D71" i="33"/>
  <c r="G70" i="33"/>
  <c r="E70" i="33"/>
  <c r="C70" i="33"/>
  <c r="G69" i="33"/>
  <c r="E69" i="33"/>
  <c r="C69" i="33"/>
  <c r="F68" i="33"/>
  <c r="D68" i="33"/>
  <c r="F67" i="33"/>
  <c r="D67" i="33"/>
  <c r="G63" i="33"/>
  <c r="C63" i="33"/>
  <c r="G62" i="33"/>
  <c r="E62" i="33"/>
  <c r="E61" i="33"/>
  <c r="G60" i="33"/>
  <c r="E60" i="33"/>
  <c r="C60" i="33"/>
  <c r="F59" i="33"/>
  <c r="F58" i="33"/>
  <c r="D58" i="33"/>
  <c r="C58" i="33"/>
  <c r="F48" i="33"/>
  <c r="H23" i="33"/>
  <c r="D77" i="33" s="1"/>
  <c r="F76" i="34"/>
  <c r="F75" i="34"/>
  <c r="D75" i="34"/>
  <c r="F71" i="34"/>
  <c r="D71" i="34"/>
  <c r="F70" i="34"/>
  <c r="D70" i="34"/>
  <c r="F69" i="34"/>
  <c r="D69" i="34"/>
  <c r="F68" i="34"/>
  <c r="D68" i="34"/>
  <c r="F67" i="34"/>
  <c r="D67" i="34"/>
  <c r="F63" i="34"/>
  <c r="D63" i="34"/>
  <c r="F62" i="34"/>
  <c r="D62" i="34"/>
  <c r="F61" i="34"/>
  <c r="D61" i="34"/>
  <c r="F60" i="34"/>
  <c r="D60" i="34"/>
  <c r="F59" i="34"/>
  <c r="D59" i="34"/>
  <c r="F58" i="34"/>
  <c r="D58" i="34"/>
  <c r="H18" i="44"/>
  <c r="I18" i="44" s="1"/>
  <c r="F25" i="61"/>
  <c r="P9" i="3" s="1"/>
  <c r="C25" i="61"/>
  <c r="P6" i="3" s="1"/>
  <c r="R7" i="17"/>
  <c r="K54" i="68"/>
  <c r="G25" i="61"/>
  <c r="P10" i="3" s="1"/>
  <c r="Q20" i="3"/>
  <c r="H10" i="73"/>
  <c r="K10" i="71"/>
  <c r="K34" i="71" s="1"/>
  <c r="K38" i="71"/>
  <c r="J62" i="71" s="1"/>
  <c r="H50" i="67"/>
  <c r="E77" i="67" s="1"/>
  <c r="B62" i="75"/>
  <c r="H38" i="75"/>
  <c r="H62" i="75" s="1"/>
  <c r="D38" i="75"/>
  <c r="D62" i="75" s="1"/>
  <c r="K37" i="75"/>
  <c r="T14" i="17" s="1"/>
  <c r="I37" i="75"/>
  <c r="G37" i="75"/>
  <c r="G61" i="75" s="1"/>
  <c r="E37" i="75"/>
  <c r="H32" i="76"/>
  <c r="H56" i="76" s="1"/>
  <c r="C37" i="77"/>
  <c r="D37" i="77"/>
  <c r="E23" i="77"/>
  <c r="E47" i="77" s="1"/>
  <c r="C34" i="77"/>
  <c r="H31" i="77"/>
  <c r="D43" i="78"/>
  <c r="H43" i="78"/>
  <c r="H69" i="78" s="1"/>
  <c r="C39" i="78"/>
  <c r="F39" i="78"/>
  <c r="C37" i="78"/>
  <c r="D37" i="78"/>
  <c r="G37" i="78"/>
  <c r="C23" i="78"/>
  <c r="B25" i="79"/>
  <c r="K60" i="87"/>
  <c r="V13" i="17"/>
  <c r="G41" i="73"/>
  <c r="G67" i="73" s="1"/>
  <c r="E41" i="73"/>
  <c r="E67" i="73" s="1"/>
  <c r="H37" i="73"/>
  <c r="G37" i="73"/>
  <c r="D37" i="73"/>
  <c r="G32" i="73"/>
  <c r="E32" i="73"/>
  <c r="H30" i="73"/>
  <c r="E56" i="73" s="1"/>
  <c r="D43" i="76"/>
  <c r="D67" i="76" s="1"/>
  <c r="B67" i="76"/>
  <c r="B69" i="76" s="1"/>
  <c r="B71" i="76" s="1"/>
  <c r="C33" i="77"/>
  <c r="E33" i="77"/>
  <c r="G33" i="77"/>
  <c r="C47" i="77"/>
  <c r="H33" i="77"/>
  <c r="B60" i="78"/>
  <c r="D33" i="78"/>
  <c r="D59" i="78" s="1"/>
  <c r="H33" i="78"/>
  <c r="H59" i="78" s="1"/>
  <c r="F59" i="78"/>
  <c r="D31" i="78"/>
  <c r="H31" i="78"/>
  <c r="H21" i="78"/>
  <c r="H44" i="78"/>
  <c r="H37" i="78"/>
  <c r="F40" i="84"/>
  <c r="F66" i="84" s="1"/>
  <c r="C28" i="95"/>
  <c r="K64" i="97"/>
  <c r="H29" i="97"/>
  <c r="H33" i="97"/>
  <c r="H36" i="97"/>
  <c r="H40" i="97"/>
  <c r="H64" i="97" s="1"/>
  <c r="K54" i="98"/>
  <c r="K68" i="98"/>
  <c r="B68" i="98"/>
  <c r="G28" i="105"/>
  <c r="G32" i="108"/>
  <c r="E59" i="78"/>
  <c r="E17" i="3"/>
  <c r="E21" i="3"/>
  <c r="E19" i="3"/>
  <c r="E22" i="3"/>
  <c r="E25" i="3"/>
  <c r="F49" i="59"/>
  <c r="E49" i="59"/>
  <c r="G49" i="59"/>
  <c r="J34" i="60"/>
  <c r="I34" i="60"/>
  <c r="C34" i="60"/>
  <c r="H34" i="60"/>
  <c r="G41" i="60"/>
  <c r="G72" i="14"/>
  <c r="G71" i="4"/>
  <c r="E18" i="3"/>
  <c r="H45" i="78"/>
  <c r="H71" i="78" s="1"/>
  <c r="H56" i="73"/>
  <c r="K61" i="75"/>
  <c r="I23" i="48"/>
  <c r="C77" i="48"/>
  <c r="D59" i="4"/>
  <c r="N14" i="2"/>
  <c r="G71" i="78"/>
  <c r="J100" i="18"/>
  <c r="E47" i="93"/>
  <c r="G47" i="93"/>
  <c r="C47" i="93"/>
  <c r="G60" i="93"/>
  <c r="F63" i="93"/>
  <c r="H23" i="93"/>
  <c r="H47" i="93" s="1"/>
  <c r="C60" i="93"/>
  <c r="H77" i="67"/>
  <c r="C72" i="14"/>
  <c r="C49" i="59"/>
  <c r="E70" i="13"/>
  <c r="F57" i="78"/>
  <c r="H64" i="105"/>
  <c r="J41" i="105"/>
  <c r="F45" i="105"/>
  <c r="H77" i="108"/>
  <c r="H45" i="105"/>
  <c r="G45" i="105"/>
  <c r="C41" i="105"/>
  <c r="I41" i="96"/>
  <c r="G41" i="96"/>
  <c r="F41" i="96"/>
  <c r="H41" i="96"/>
  <c r="F41" i="93"/>
  <c r="G41" i="93"/>
  <c r="G62" i="93"/>
  <c r="H45" i="93"/>
  <c r="H23" i="95"/>
  <c r="H47" i="95" s="1"/>
  <c r="H73" i="95" s="1"/>
  <c r="C63" i="93"/>
  <c r="C55" i="93"/>
  <c r="D63" i="93"/>
  <c r="C62" i="94"/>
  <c r="F47" i="93"/>
  <c r="H60" i="93"/>
  <c r="F62" i="93"/>
  <c r="E60" i="94"/>
  <c r="H41" i="93"/>
  <c r="J67" i="97"/>
  <c r="B69" i="97"/>
  <c r="I52" i="96"/>
  <c r="E52" i="96"/>
  <c r="E57" i="78"/>
  <c r="G59" i="78"/>
  <c r="C59" i="78"/>
  <c r="E71" i="78"/>
  <c r="I53" i="75"/>
  <c r="E72" i="14"/>
  <c r="E71" i="4"/>
  <c r="C65" i="77"/>
  <c r="D57" i="75"/>
  <c r="G65" i="73"/>
  <c r="H33" i="33"/>
  <c r="F60" i="84"/>
  <c r="E47" i="84"/>
  <c r="B65" i="87"/>
  <c r="I54" i="76"/>
  <c r="F64" i="76"/>
  <c r="D68" i="75"/>
  <c r="B51" i="61"/>
  <c r="H49" i="61"/>
  <c r="G45" i="61"/>
  <c r="E45" i="61"/>
  <c r="G43" i="61"/>
  <c r="G70" i="61" s="1"/>
  <c r="E43" i="61"/>
  <c r="E70" i="61" s="1"/>
  <c r="G41" i="61"/>
  <c r="G68" i="61" s="1"/>
  <c r="E41" i="61"/>
  <c r="E68" i="61" s="1"/>
  <c r="H37" i="61"/>
  <c r="P10" i="2" s="1"/>
  <c r="F35" i="61"/>
  <c r="D35" i="61"/>
  <c r="F47" i="95"/>
  <c r="F52" i="96"/>
  <c r="J46" i="99"/>
  <c r="G59" i="99"/>
  <c r="F65" i="67"/>
  <c r="E65" i="67"/>
  <c r="C54" i="77"/>
  <c r="D71" i="78"/>
  <c r="E64" i="78"/>
  <c r="D55" i="75"/>
  <c r="C55" i="75"/>
  <c r="C69" i="73"/>
  <c r="C58" i="42"/>
  <c r="H47" i="33"/>
  <c r="C54" i="76"/>
  <c r="E64" i="71"/>
  <c r="D64" i="71"/>
  <c r="F70" i="73"/>
  <c r="C70" i="73"/>
  <c r="G70" i="13"/>
  <c r="D59" i="61"/>
  <c r="D56" i="85"/>
  <c r="E62" i="85"/>
  <c r="F56" i="85"/>
  <c r="D63" i="79"/>
  <c r="B73" i="77"/>
  <c r="H45" i="84"/>
  <c r="H60" i="76"/>
  <c r="I21" i="61"/>
  <c r="H23" i="61"/>
  <c r="I23" i="61" s="1"/>
  <c r="F36" i="14"/>
  <c r="G25" i="14"/>
  <c r="C10" i="3" s="1"/>
  <c r="E25" i="14"/>
  <c r="C8" i="3" s="1"/>
  <c r="C25" i="14"/>
  <c r="C6" i="3" s="1"/>
  <c r="G32" i="55"/>
  <c r="E32" i="55"/>
  <c r="H31" i="55"/>
  <c r="F31" i="55"/>
  <c r="K132" i="22"/>
  <c r="B112" i="22"/>
  <c r="K37" i="22"/>
  <c r="L14" i="17" s="1"/>
  <c r="J24" i="26"/>
  <c r="K10" i="18" s="1"/>
  <c r="F24" i="26"/>
  <c r="G10" i="18" s="1"/>
  <c r="H31" i="30"/>
  <c r="E23" i="30"/>
  <c r="F6" i="18" s="1"/>
  <c r="C23" i="30"/>
  <c r="D6" i="18" s="1"/>
  <c r="B52" i="31"/>
  <c r="H37" i="31"/>
  <c r="I28" i="31"/>
  <c r="G28" i="31"/>
  <c r="E28" i="31"/>
  <c r="H37" i="56"/>
  <c r="O10" i="2" s="1"/>
  <c r="B25" i="56"/>
  <c r="G45" i="49"/>
  <c r="E45" i="49"/>
  <c r="G43" i="49"/>
  <c r="G70" i="49" s="1"/>
  <c r="E43" i="49"/>
  <c r="F42" i="49"/>
  <c r="F69" i="49" s="1"/>
  <c r="G41" i="49"/>
  <c r="E41" i="49"/>
  <c r="H33" i="49"/>
  <c r="N6" i="2" s="1"/>
  <c r="H49" i="4"/>
  <c r="M20" i="2" s="1"/>
  <c r="G41" i="4"/>
  <c r="E41" i="4"/>
  <c r="B38" i="4"/>
  <c r="F37" i="4"/>
  <c r="F36" i="4"/>
  <c r="H35" i="4"/>
  <c r="M8" i="2" s="1"/>
  <c r="H10" i="4"/>
  <c r="I10" i="4" s="1"/>
  <c r="B53" i="5"/>
  <c r="G51" i="5"/>
  <c r="E51" i="5"/>
  <c r="C51" i="5"/>
  <c r="G46" i="5"/>
  <c r="E46" i="5"/>
  <c r="C46" i="5"/>
  <c r="G38" i="5"/>
  <c r="E38" i="5"/>
  <c r="F50" i="13"/>
  <c r="H44" i="13"/>
  <c r="F43" i="13"/>
  <c r="H33" i="13"/>
  <c r="D64" i="14"/>
  <c r="H44" i="14"/>
  <c r="C16" i="2" s="1"/>
  <c r="H34" i="14"/>
  <c r="C7" i="2" s="1"/>
  <c r="E25" i="15"/>
  <c r="B8" i="3" s="1"/>
  <c r="C25" i="15"/>
  <c r="B6" i="3" s="1"/>
  <c r="H37" i="15"/>
  <c r="J38" i="60"/>
  <c r="J37" i="60"/>
  <c r="E23" i="47"/>
  <c r="F16" i="18" s="1"/>
  <c r="H39" i="21"/>
  <c r="H37" i="21"/>
  <c r="J36" i="21"/>
  <c r="H28" i="21"/>
  <c r="J23" i="21"/>
  <c r="C66" i="21"/>
  <c r="I41" i="22"/>
  <c r="E41" i="22"/>
  <c r="B71" i="30"/>
  <c r="H23" i="31"/>
  <c r="I5" i="18" s="1"/>
  <c r="B25" i="33"/>
  <c r="B57" i="18" s="1"/>
  <c r="F25" i="34"/>
  <c r="G56" i="18" s="1"/>
  <c r="D24" i="38"/>
  <c r="E52" i="18" s="1"/>
  <c r="D35" i="40"/>
  <c r="G46" i="40"/>
  <c r="C66" i="42"/>
  <c r="H39" i="42"/>
  <c r="H22" i="42"/>
  <c r="F24" i="42"/>
  <c r="B24" i="42"/>
  <c r="B48" i="18" s="1"/>
  <c r="B67" i="43"/>
  <c r="B42" i="44"/>
  <c r="D42" i="44" s="1"/>
  <c r="E24" i="44"/>
  <c r="G44" i="69"/>
  <c r="E44" i="69"/>
  <c r="H34" i="69"/>
  <c r="H60" i="69" s="1"/>
  <c r="C34" i="69"/>
  <c r="C60" i="69" s="1"/>
  <c r="G32" i="69"/>
  <c r="E32" i="69"/>
  <c r="G30" i="69"/>
  <c r="G56" i="69" s="1"/>
  <c r="E30" i="69"/>
  <c r="E56" i="69" s="1"/>
  <c r="E29" i="69"/>
  <c r="E55" i="69" s="1"/>
  <c r="E34" i="69"/>
  <c r="C37" i="73"/>
  <c r="F37" i="73"/>
  <c r="B23" i="69"/>
  <c r="E25" i="59"/>
  <c r="F60" i="18" s="1"/>
  <c r="D30" i="75"/>
  <c r="H30" i="75"/>
  <c r="K40" i="75"/>
  <c r="D39" i="76"/>
  <c r="D63" i="76" s="1"/>
  <c r="H39" i="76"/>
  <c r="H63" i="76" s="1"/>
  <c r="F59" i="85"/>
  <c r="B53" i="32"/>
  <c r="H30" i="32"/>
  <c r="G42" i="59"/>
  <c r="E42" i="59"/>
  <c r="F34" i="59"/>
  <c r="F42" i="54"/>
  <c r="D25" i="48"/>
  <c r="E58" i="18" s="1"/>
  <c r="G49" i="33"/>
  <c r="F25" i="33"/>
  <c r="H41" i="34"/>
  <c r="H35" i="34"/>
  <c r="H33" i="34"/>
  <c r="H31" i="34"/>
  <c r="G49" i="34"/>
  <c r="C24" i="38"/>
  <c r="H45" i="42"/>
  <c r="H39" i="44"/>
  <c r="H37" i="44"/>
  <c r="H33" i="44"/>
  <c r="C58" i="44" s="1"/>
  <c r="H29" i="44"/>
  <c r="B24" i="44"/>
  <c r="G57" i="71"/>
  <c r="K10" i="60"/>
  <c r="C23" i="71"/>
  <c r="D21" i="18" s="1"/>
  <c r="G25" i="54"/>
  <c r="H59" i="18" s="1"/>
  <c r="H151" i="18" s="1"/>
  <c r="E25" i="54"/>
  <c r="H32" i="73"/>
  <c r="H58" i="73"/>
  <c r="F25" i="59"/>
  <c r="G60" i="18" s="1"/>
  <c r="H49" i="72"/>
  <c r="H23" i="72"/>
  <c r="I21" i="72"/>
  <c r="H36" i="72"/>
  <c r="I8" i="72"/>
  <c r="B64" i="75"/>
  <c r="H43" i="75"/>
  <c r="H67" i="75"/>
  <c r="B67" i="75"/>
  <c r="B69" i="75" s="1"/>
  <c r="J32" i="75"/>
  <c r="F30" i="75"/>
  <c r="E23" i="75"/>
  <c r="G61" i="72"/>
  <c r="D34" i="69"/>
  <c r="D25" i="72"/>
  <c r="S7" i="3" s="1"/>
  <c r="F62" i="75"/>
  <c r="G23" i="75"/>
  <c r="F40" i="77"/>
  <c r="H29" i="77"/>
  <c r="C55" i="77" s="1"/>
  <c r="H37" i="77"/>
  <c r="H32" i="77"/>
  <c r="F32" i="78"/>
  <c r="E32" i="78"/>
  <c r="G49" i="79"/>
  <c r="E49" i="79"/>
  <c r="C49" i="79"/>
  <c r="C43" i="79"/>
  <c r="F42" i="79"/>
  <c r="D42" i="79"/>
  <c r="I41" i="79"/>
  <c r="G35" i="79"/>
  <c r="E35" i="79"/>
  <c r="C35" i="79"/>
  <c r="F25" i="79"/>
  <c r="T9" i="3" s="1"/>
  <c r="D25" i="79"/>
  <c r="T7" i="3" s="1"/>
  <c r="I25" i="83"/>
  <c r="H28" i="84"/>
  <c r="H32" i="84"/>
  <c r="E41" i="84"/>
  <c r="G23" i="84"/>
  <c r="G47" i="84" s="1"/>
  <c r="H37" i="85"/>
  <c r="F23" i="86"/>
  <c r="F47" i="86" s="1"/>
  <c r="K31" i="88"/>
  <c r="C23" i="88"/>
  <c r="G23" i="88"/>
  <c r="K33" i="89"/>
  <c r="K57" i="89" s="1"/>
  <c r="K39" i="89"/>
  <c r="I43" i="87"/>
  <c r="I67" i="87" s="1"/>
  <c r="G43" i="87"/>
  <c r="G67" i="87" s="1"/>
  <c r="E43" i="87"/>
  <c r="I39" i="87"/>
  <c r="I63" i="87" s="1"/>
  <c r="G39" i="87"/>
  <c r="G63" i="87" s="1"/>
  <c r="E39" i="87"/>
  <c r="E63" i="87" s="1"/>
  <c r="J38" i="87"/>
  <c r="J62" i="87" s="1"/>
  <c r="H38" i="87"/>
  <c r="H62" i="87"/>
  <c r="F38" i="87"/>
  <c r="F62" i="87" s="1"/>
  <c r="J37" i="87"/>
  <c r="H30" i="87"/>
  <c r="H40" i="93"/>
  <c r="C66" i="93" s="1"/>
  <c r="H44" i="93"/>
  <c r="H70" i="93" s="1"/>
  <c r="K17" i="96"/>
  <c r="K31" i="97"/>
  <c r="F55" i="97" s="1"/>
  <c r="H31" i="97"/>
  <c r="K29" i="98"/>
  <c r="K31" i="98"/>
  <c r="C119" i="18"/>
  <c r="B23" i="106"/>
  <c r="B47" i="106" s="1"/>
  <c r="H49" i="109"/>
  <c r="B45" i="110"/>
  <c r="C43" i="110"/>
  <c r="C67" i="110" s="1"/>
  <c r="H40" i="77"/>
  <c r="G66" i="77" s="1"/>
  <c r="H32" i="78"/>
  <c r="H58" i="78" s="1"/>
  <c r="C50" i="99"/>
  <c r="K50" i="99"/>
  <c r="Z21" i="2" s="1"/>
  <c r="J23" i="105"/>
  <c r="H36" i="109"/>
  <c r="I8" i="109"/>
  <c r="AC9" i="2" s="1"/>
  <c r="G28" i="110"/>
  <c r="C28" i="110"/>
  <c r="B60" i="95"/>
  <c r="B73" i="95" s="1"/>
  <c r="K38" i="97"/>
  <c r="G34" i="98"/>
  <c r="K38" i="98"/>
  <c r="K40" i="98"/>
  <c r="H64" i="98" s="1"/>
  <c r="B58" i="98"/>
  <c r="L10" i="99"/>
  <c r="F25" i="99"/>
  <c r="V9" i="3" s="1"/>
  <c r="C120" i="18"/>
  <c r="B60" i="106"/>
  <c r="B73" i="106" s="1"/>
  <c r="D63" i="108"/>
  <c r="H43" i="109"/>
  <c r="K29" i="110"/>
  <c r="K31" i="110"/>
  <c r="K36" i="110"/>
  <c r="K60" i="110" s="1"/>
  <c r="K43" i="110"/>
  <c r="B58" i="110"/>
  <c r="H32" i="111"/>
  <c r="H58" i="111" s="1"/>
  <c r="H36" i="111"/>
  <c r="H62" i="111" s="1"/>
  <c r="H38" i="111"/>
  <c r="H40" i="111"/>
  <c r="H66" i="111" s="1"/>
  <c r="H37" i="109"/>
  <c r="C35" i="109"/>
  <c r="I4" i="109"/>
  <c r="AC5" i="2" s="1"/>
  <c r="G35" i="109"/>
  <c r="G44" i="110"/>
  <c r="G43" i="110"/>
  <c r="C44" i="110"/>
  <c r="G38" i="110"/>
  <c r="G37" i="110"/>
  <c r="C38" i="110"/>
  <c r="C31" i="110"/>
  <c r="G32" i="110"/>
  <c r="G23" i="110"/>
  <c r="G31" i="110"/>
  <c r="H44" i="111"/>
  <c r="H70" i="111" s="1"/>
  <c r="G43" i="111"/>
  <c r="C36" i="111"/>
  <c r="C40" i="111"/>
  <c r="C66" i="111" s="1"/>
  <c r="G36" i="111"/>
  <c r="G40" i="111"/>
  <c r="G30" i="111"/>
  <c r="F46" i="18"/>
  <c r="K15" i="18"/>
  <c r="F58" i="44"/>
  <c r="E58" i="44"/>
  <c r="F54" i="44"/>
  <c r="F69" i="78"/>
  <c r="D45" i="106"/>
  <c r="F45" i="106"/>
  <c r="G77" i="108"/>
  <c r="G46" i="108"/>
  <c r="D46" i="108"/>
  <c r="F46" i="108"/>
  <c r="E46" i="108"/>
  <c r="H46" i="108"/>
  <c r="C64" i="108"/>
  <c r="D51" i="108"/>
  <c r="J38" i="108"/>
  <c r="G38" i="108"/>
  <c r="D38" i="108"/>
  <c r="H70" i="106"/>
  <c r="G70" i="106"/>
  <c r="F70" i="106"/>
  <c r="H71" i="93"/>
  <c r="D41" i="95"/>
  <c r="G41" i="95"/>
  <c r="C41" i="95"/>
  <c r="C45" i="95"/>
  <c r="F45" i="95"/>
  <c r="E45" i="95"/>
  <c r="G45" i="95"/>
  <c r="H62" i="94"/>
  <c r="G62" i="94"/>
  <c r="F62" i="94"/>
  <c r="J34" i="98"/>
  <c r="F34" i="98"/>
  <c r="J34" i="97"/>
  <c r="J58" i="97" s="1"/>
  <c r="F34" i="97"/>
  <c r="F58" i="97" s="1"/>
  <c r="G34" i="97"/>
  <c r="G58" i="97" s="1"/>
  <c r="C34" i="97"/>
  <c r="C58" i="97" s="1"/>
  <c r="I34" i="97"/>
  <c r="I58" i="97" s="1"/>
  <c r="E34" i="97"/>
  <c r="E58" i="97" s="1"/>
  <c r="J69" i="96"/>
  <c r="G34" i="96"/>
  <c r="G58" i="96" s="1"/>
  <c r="H34" i="96"/>
  <c r="H58" i="96" s="1"/>
  <c r="D34" i="96"/>
  <c r="I34" i="96"/>
  <c r="B47" i="96"/>
  <c r="K64" i="96"/>
  <c r="AA17" i="17"/>
  <c r="I73" i="99"/>
  <c r="Y9" i="2"/>
  <c r="E63" i="99"/>
  <c r="Y5" i="2"/>
  <c r="E59" i="99"/>
  <c r="H67" i="86"/>
  <c r="J46" i="79"/>
  <c r="U18" i="2" s="1"/>
  <c r="F46" i="79"/>
  <c r="H46" i="79"/>
  <c r="G46" i="79"/>
  <c r="T10" i="17"/>
  <c r="H57" i="75"/>
  <c r="E57" i="75"/>
  <c r="E34" i="71"/>
  <c r="E58" i="71" s="1"/>
  <c r="C34" i="71"/>
  <c r="F34" i="71"/>
  <c r="F58" i="71" s="1"/>
  <c r="J34" i="71"/>
  <c r="J58" i="71" s="1"/>
  <c r="H67" i="73"/>
  <c r="G69" i="73"/>
  <c r="F69" i="73"/>
  <c r="E69" i="73"/>
  <c r="F64" i="54"/>
  <c r="C64" i="54"/>
  <c r="E64" i="54"/>
  <c r="E54" i="43"/>
  <c r="C54" i="43"/>
  <c r="G54" i="43"/>
  <c r="H54" i="43" s="1"/>
  <c r="F64" i="43"/>
  <c r="G64" i="43"/>
  <c r="C64" i="43"/>
  <c r="C44" i="54"/>
  <c r="F44" i="54"/>
  <c r="D14" i="18"/>
  <c r="C72" i="54"/>
  <c r="G72" i="54"/>
  <c r="E72" i="54"/>
  <c r="F72" i="54"/>
  <c r="H16" i="18"/>
  <c r="D9" i="2"/>
  <c r="D63" i="13"/>
  <c r="O5" i="2"/>
  <c r="O7" i="2"/>
  <c r="K52" i="87"/>
  <c r="D52" i="87"/>
  <c r="C62" i="86"/>
  <c r="D62" i="86"/>
  <c r="I71" i="83"/>
  <c r="F71" i="83"/>
  <c r="C71" i="83"/>
  <c r="G71" i="83"/>
  <c r="I77" i="79"/>
  <c r="G77" i="79"/>
  <c r="D77" i="79"/>
  <c r="E77" i="79"/>
  <c r="E65" i="77"/>
  <c r="D65" i="77"/>
  <c r="G57" i="75"/>
  <c r="H65" i="73"/>
  <c r="D65" i="73"/>
  <c r="C65" i="73"/>
  <c r="E56" i="42"/>
  <c r="C56" i="42"/>
  <c r="F56" i="42"/>
  <c r="J34" i="32"/>
  <c r="E34" i="32"/>
  <c r="I34" i="32"/>
  <c r="B47" i="32"/>
  <c r="K29" i="32"/>
  <c r="B6" i="17" s="1"/>
  <c r="K33" i="32"/>
  <c r="B10" i="17" s="1"/>
  <c r="E6" i="18"/>
  <c r="E70" i="15"/>
  <c r="P13" i="2"/>
  <c r="E59" i="61"/>
  <c r="C67" i="87"/>
  <c r="K67" i="87"/>
  <c r="E67" i="87"/>
  <c r="U11" i="3"/>
  <c r="U7" i="3"/>
  <c r="U14" i="3"/>
  <c r="G46" i="83"/>
  <c r="C46" i="83"/>
  <c r="F46" i="83"/>
  <c r="B53" i="83"/>
  <c r="I46" i="83"/>
  <c r="H46" i="83"/>
  <c r="L46" i="83"/>
  <c r="X18" i="2" s="1"/>
  <c r="D49" i="33"/>
  <c r="F49" i="33"/>
  <c r="D64" i="76"/>
  <c r="C64" i="76"/>
  <c r="U17" i="17"/>
  <c r="K64" i="76"/>
  <c r="K45" i="76"/>
  <c r="K23" i="76"/>
  <c r="H64" i="76"/>
  <c r="I25" i="66"/>
  <c r="H53" i="66"/>
  <c r="Q24" i="2" s="1"/>
  <c r="C68" i="61"/>
  <c r="F36" i="61"/>
  <c r="E36" i="61"/>
  <c r="H36" i="61"/>
  <c r="F59" i="61"/>
  <c r="I14" i="61"/>
  <c r="H18" i="61"/>
  <c r="I18" i="61" s="1"/>
  <c r="H42" i="61"/>
  <c r="I7" i="61"/>
  <c r="H35" i="61"/>
  <c r="I5" i="61"/>
  <c r="H33" i="61"/>
  <c r="C36" i="56"/>
  <c r="C63" i="56" s="1"/>
  <c r="E36" i="56"/>
  <c r="E63" i="56" s="1"/>
  <c r="G36" i="56"/>
  <c r="G63" i="56" s="1"/>
  <c r="D36" i="56"/>
  <c r="D63" i="56" s="1"/>
  <c r="B38" i="56"/>
  <c r="I21" i="56"/>
  <c r="H49" i="56"/>
  <c r="O20" i="2" s="1"/>
  <c r="I13" i="56"/>
  <c r="H41" i="56"/>
  <c r="O13" i="2" s="1"/>
  <c r="I5" i="56"/>
  <c r="H33" i="56"/>
  <c r="G60" i="56" s="1"/>
  <c r="H10" i="56"/>
  <c r="I22" i="49"/>
  <c r="H23" i="49"/>
  <c r="I4" i="49"/>
  <c r="C59" i="49"/>
  <c r="D50" i="4"/>
  <c r="C50" i="4"/>
  <c r="E50" i="4"/>
  <c r="E77" i="4" s="1"/>
  <c r="G50" i="4"/>
  <c r="B51" i="4"/>
  <c r="F50" i="4"/>
  <c r="C35" i="4"/>
  <c r="C62" i="4" s="1"/>
  <c r="D35" i="4"/>
  <c r="F35" i="4"/>
  <c r="G35" i="4"/>
  <c r="G62" i="4" s="1"/>
  <c r="F69" i="5"/>
  <c r="C69" i="5"/>
  <c r="L14" i="2"/>
  <c r="F42" i="13"/>
  <c r="D42" i="13"/>
  <c r="H42" i="13"/>
  <c r="D14" i="2" s="1"/>
  <c r="G42" i="13"/>
  <c r="E42" i="13"/>
  <c r="B46" i="13"/>
  <c r="F37" i="13"/>
  <c r="C37" i="13"/>
  <c r="G37" i="13"/>
  <c r="H37" i="13"/>
  <c r="C35" i="13"/>
  <c r="C62" i="13" s="1"/>
  <c r="D35" i="13"/>
  <c r="D62" i="13" s="1"/>
  <c r="F35" i="13"/>
  <c r="F62" i="13" s="1"/>
  <c r="G35" i="13"/>
  <c r="G62" i="13" s="1"/>
  <c r="H32" i="14"/>
  <c r="C5" i="2" s="1"/>
  <c r="C59" i="14"/>
  <c r="C42" i="15"/>
  <c r="G42" i="15"/>
  <c r="E42" i="15"/>
  <c r="D42" i="15"/>
  <c r="B46" i="15"/>
  <c r="D46" i="15" s="1"/>
  <c r="H42" i="15"/>
  <c r="B14" i="2" s="1"/>
  <c r="C36" i="15"/>
  <c r="D36" i="15"/>
  <c r="G36" i="15"/>
  <c r="C33" i="15"/>
  <c r="E33" i="15"/>
  <c r="G33" i="15"/>
  <c r="D33" i="15"/>
  <c r="I15" i="15"/>
  <c r="H18" i="15"/>
  <c r="G25" i="15"/>
  <c r="I7" i="15"/>
  <c r="H35" i="15"/>
  <c r="B8" i="2" s="1"/>
  <c r="H33" i="15"/>
  <c r="B6" i="2" s="1"/>
  <c r="H10" i="15"/>
  <c r="D43" i="60"/>
  <c r="J43" i="60"/>
  <c r="F43" i="60"/>
  <c r="B45" i="60"/>
  <c r="E43" i="60"/>
  <c r="I43" i="60"/>
  <c r="F30" i="60"/>
  <c r="J30" i="60"/>
  <c r="E30" i="60"/>
  <c r="I30" i="60"/>
  <c r="B54" i="60"/>
  <c r="D30" i="60"/>
  <c r="C43" i="55"/>
  <c r="E43" i="55"/>
  <c r="G43" i="55"/>
  <c r="I43" i="55"/>
  <c r="B45" i="55"/>
  <c r="I45" i="55" s="1"/>
  <c r="D43" i="55"/>
  <c r="H43" i="55"/>
  <c r="F44" i="47"/>
  <c r="J44" i="47"/>
  <c r="E44" i="47"/>
  <c r="I44" i="47"/>
  <c r="H44" i="47"/>
  <c r="D40" i="47"/>
  <c r="K40" i="47" s="1"/>
  <c r="N17" i="17" s="1"/>
  <c r="H40" i="47"/>
  <c r="F40" i="47"/>
  <c r="E40" i="47"/>
  <c r="I40" i="47"/>
  <c r="D36" i="47"/>
  <c r="H36" i="47"/>
  <c r="F36" i="47"/>
  <c r="E36" i="47"/>
  <c r="I36" i="47"/>
  <c r="D33" i="47"/>
  <c r="H33" i="47"/>
  <c r="B57" i="47"/>
  <c r="F33" i="47"/>
  <c r="E33" i="47"/>
  <c r="I33" i="47"/>
  <c r="D29" i="47"/>
  <c r="H29" i="47"/>
  <c r="B34" i="47"/>
  <c r="B53" i="47"/>
  <c r="F29" i="47"/>
  <c r="E29" i="47"/>
  <c r="I29" i="47"/>
  <c r="D44" i="21"/>
  <c r="H44" i="21"/>
  <c r="B45" i="21"/>
  <c r="E45" i="21" s="1"/>
  <c r="F44" i="21"/>
  <c r="C44" i="21"/>
  <c r="G44" i="21"/>
  <c r="H66" i="21"/>
  <c r="F23" i="21"/>
  <c r="F66" i="21"/>
  <c r="E15" i="18"/>
  <c r="K128" i="22"/>
  <c r="J134" i="22"/>
  <c r="C112" i="22"/>
  <c r="H112" i="22"/>
  <c r="D112" i="22"/>
  <c r="K99" i="22"/>
  <c r="J45" i="22"/>
  <c r="G45" i="22"/>
  <c r="F45" i="22"/>
  <c r="I45" i="22"/>
  <c r="E45" i="22"/>
  <c r="K44" i="22"/>
  <c r="L21" i="17" s="1"/>
  <c r="C28" i="22"/>
  <c r="E28" i="22"/>
  <c r="G28" i="22"/>
  <c r="I28" i="22"/>
  <c r="B52" i="22"/>
  <c r="F28" i="22"/>
  <c r="J28" i="22"/>
  <c r="K18" i="26"/>
  <c r="L18" i="26" s="1"/>
  <c r="B66" i="30"/>
  <c r="C43" i="30"/>
  <c r="E43" i="30"/>
  <c r="G43" i="30"/>
  <c r="I43" i="30"/>
  <c r="D43" i="30"/>
  <c r="H43" i="30"/>
  <c r="F43" i="30"/>
  <c r="J23" i="30"/>
  <c r="F23" i="30"/>
  <c r="D18" i="16"/>
  <c r="B23" i="30"/>
  <c r="L15" i="30"/>
  <c r="C64" i="30"/>
  <c r="E64" i="30"/>
  <c r="G64" i="30"/>
  <c r="I64" i="30"/>
  <c r="K64" i="30"/>
  <c r="D64" i="30"/>
  <c r="H64" i="30"/>
  <c r="L13" i="30"/>
  <c r="C62" i="30"/>
  <c r="E62" i="30"/>
  <c r="G62" i="30"/>
  <c r="I62" i="30"/>
  <c r="K62" i="30"/>
  <c r="F62" i="30"/>
  <c r="J62" i="30"/>
  <c r="C47" i="48"/>
  <c r="F47" i="48"/>
  <c r="B49" i="48"/>
  <c r="B75" i="48"/>
  <c r="D47" i="48"/>
  <c r="G47" i="48"/>
  <c r="C43" i="33"/>
  <c r="D43" i="33"/>
  <c r="F43" i="33"/>
  <c r="G43" i="33"/>
  <c r="E43" i="33"/>
  <c r="C31" i="33"/>
  <c r="E31" i="33"/>
  <c r="G31" i="33"/>
  <c r="D31" i="33"/>
  <c r="F31" i="33"/>
  <c r="B36" i="33"/>
  <c r="C36" i="33" s="1"/>
  <c r="C49" i="33"/>
  <c r="H18" i="33"/>
  <c r="G72" i="33" s="1"/>
  <c r="G57" i="18"/>
  <c r="C25" i="33"/>
  <c r="I9" i="33"/>
  <c r="D63" i="33"/>
  <c r="H63" i="33" s="1"/>
  <c r="F63" i="33"/>
  <c r="I7" i="33"/>
  <c r="F61" i="33"/>
  <c r="D61" i="33"/>
  <c r="I5" i="33"/>
  <c r="C59" i="33"/>
  <c r="G59" i="33"/>
  <c r="E59" i="33"/>
  <c r="H48" i="34"/>
  <c r="D44" i="34"/>
  <c r="G44" i="34"/>
  <c r="E44" i="34"/>
  <c r="H44" i="34" s="1"/>
  <c r="H43" i="34"/>
  <c r="H42" i="34"/>
  <c r="H39" i="34"/>
  <c r="I22" i="34"/>
  <c r="C76" i="34"/>
  <c r="G76" i="34"/>
  <c r="D46" i="40"/>
  <c r="H22" i="40"/>
  <c r="I20" i="40"/>
  <c r="H44" i="40"/>
  <c r="D69" i="40"/>
  <c r="F69" i="40"/>
  <c r="E69" i="40"/>
  <c r="C69" i="40"/>
  <c r="I10" i="40"/>
  <c r="H34" i="40"/>
  <c r="D59" i="40"/>
  <c r="F59" i="40"/>
  <c r="E59" i="40"/>
  <c r="C59" i="40"/>
  <c r="I8" i="40"/>
  <c r="H32" i="40"/>
  <c r="D57" i="40"/>
  <c r="F57" i="40"/>
  <c r="E57" i="40"/>
  <c r="G57" i="40"/>
  <c r="I6" i="40"/>
  <c r="H30" i="40"/>
  <c r="D55" i="40"/>
  <c r="F55" i="40"/>
  <c r="H11" i="40"/>
  <c r="E60" i="40" s="1"/>
  <c r="E55" i="40"/>
  <c r="C55" i="40"/>
  <c r="G66" i="42"/>
  <c r="E66" i="42"/>
  <c r="B58" i="71"/>
  <c r="H30" i="78"/>
  <c r="H10" i="78"/>
  <c r="C34" i="98"/>
  <c r="E34" i="98"/>
  <c r="I34" i="98"/>
  <c r="K36" i="98"/>
  <c r="D60" i="98" s="1"/>
  <c r="K17" i="98"/>
  <c r="E23" i="98"/>
  <c r="I23" i="98"/>
  <c r="K43" i="98"/>
  <c r="J67" i="98" s="1"/>
  <c r="K21" i="98"/>
  <c r="F54" i="98"/>
  <c r="D39" i="98"/>
  <c r="K39" i="98"/>
  <c r="C63" i="98" s="1"/>
  <c r="H39" i="98"/>
  <c r="I43" i="98"/>
  <c r="G43" i="98"/>
  <c r="G67" i="98" s="1"/>
  <c r="F43" i="98"/>
  <c r="J43" i="98"/>
  <c r="D43" i="98"/>
  <c r="K4" i="99"/>
  <c r="J10" i="99"/>
  <c r="D38" i="99"/>
  <c r="K38" i="99"/>
  <c r="Z11" i="2" s="1"/>
  <c r="D25" i="99"/>
  <c r="H38" i="99"/>
  <c r="H25" i="99"/>
  <c r="J44" i="99"/>
  <c r="K16" i="99"/>
  <c r="K22" i="99"/>
  <c r="J50" i="99"/>
  <c r="J23" i="99"/>
  <c r="H49" i="99"/>
  <c r="J49" i="99"/>
  <c r="L49" i="99"/>
  <c r="AA20" i="2" s="1"/>
  <c r="G49" i="99"/>
  <c r="E49" i="99"/>
  <c r="C49" i="99"/>
  <c r="F49" i="99"/>
  <c r="AB20" i="17"/>
  <c r="K67" i="105"/>
  <c r="G57" i="78"/>
  <c r="D69" i="49"/>
  <c r="M5" i="2"/>
  <c r="G77" i="48"/>
  <c r="F77" i="48"/>
  <c r="E77" i="48"/>
  <c r="C77" i="67"/>
  <c r="R21" i="2"/>
  <c r="G56" i="73"/>
  <c r="C57" i="78"/>
  <c r="M16" i="2"/>
  <c r="F72" i="14"/>
  <c r="H41" i="60"/>
  <c r="C41" i="60"/>
  <c r="I41" i="60"/>
  <c r="B47" i="60"/>
  <c r="G34" i="60"/>
  <c r="D34" i="60"/>
  <c r="E34" i="60"/>
  <c r="G77" i="33"/>
  <c r="E77" i="33"/>
  <c r="Y8" i="17"/>
  <c r="H23" i="34"/>
  <c r="D76" i="34"/>
  <c r="D59" i="33"/>
  <c r="C61" i="33"/>
  <c r="G61" i="33"/>
  <c r="E63" i="33"/>
  <c r="C45" i="22"/>
  <c r="H43" i="60"/>
  <c r="F42" i="15"/>
  <c r="I59" i="99"/>
  <c r="I63" i="99"/>
  <c r="I70" i="99"/>
  <c r="K64" i="98"/>
  <c r="G60" i="95"/>
  <c r="H45" i="106"/>
  <c r="H71" i="106" s="1"/>
  <c r="G45" i="106"/>
  <c r="AB13" i="17"/>
  <c r="F64" i="108"/>
  <c r="H64" i="108"/>
  <c r="F72" i="108"/>
  <c r="H38" i="108"/>
  <c r="F38" i="108"/>
  <c r="D77" i="108"/>
  <c r="E72" i="108"/>
  <c r="H63" i="108"/>
  <c r="J10" i="108"/>
  <c r="AB11" i="2" s="1"/>
  <c r="H72" i="108"/>
  <c r="C34" i="96"/>
  <c r="C58" i="96" s="1"/>
  <c r="C60" i="96"/>
  <c r="C64" i="96"/>
  <c r="D60" i="96"/>
  <c r="H60" i="96"/>
  <c r="D64" i="96"/>
  <c r="H64" i="96"/>
  <c r="K69" i="96"/>
  <c r="E34" i="105"/>
  <c r="H34" i="105"/>
  <c r="H58" i="105" s="1"/>
  <c r="G34" i="105"/>
  <c r="J34" i="105"/>
  <c r="I34" i="105"/>
  <c r="I67" i="105"/>
  <c r="H23" i="106"/>
  <c r="H47" i="106" s="1"/>
  <c r="F41" i="95"/>
  <c r="E41" i="95"/>
  <c r="F70" i="94"/>
  <c r="D69" i="96"/>
  <c r="E69" i="96"/>
  <c r="I69" i="96"/>
  <c r="D34" i="97"/>
  <c r="D58" i="97" s="1"/>
  <c r="H34" i="98"/>
  <c r="G64" i="98"/>
  <c r="E34" i="96"/>
  <c r="E58" i="96" s="1"/>
  <c r="Y18" i="2"/>
  <c r="C70" i="99"/>
  <c r="D45" i="95"/>
  <c r="D47" i="95"/>
  <c r="D62" i="94"/>
  <c r="D70" i="94"/>
  <c r="F41" i="94"/>
  <c r="C41" i="94"/>
  <c r="D41" i="94"/>
  <c r="H41" i="94"/>
  <c r="F60" i="93"/>
  <c r="G70" i="94"/>
  <c r="H66" i="94"/>
  <c r="F66" i="94"/>
  <c r="E70" i="94"/>
  <c r="H43" i="98"/>
  <c r="B41" i="98"/>
  <c r="D64" i="98"/>
  <c r="F39" i="98"/>
  <c r="F63" i="98" s="1"/>
  <c r="E39" i="98"/>
  <c r="E63" i="98" s="1"/>
  <c r="I39" i="98"/>
  <c r="I63" i="98" s="1"/>
  <c r="G23" i="98"/>
  <c r="Y17" i="17"/>
  <c r="B45" i="98"/>
  <c r="J45" i="98" s="1"/>
  <c r="C43" i="98"/>
  <c r="C67" i="98" s="1"/>
  <c r="J55" i="98"/>
  <c r="C55" i="98"/>
  <c r="E55" i="98"/>
  <c r="G55" i="98"/>
  <c r="K10" i="98"/>
  <c r="K34" i="98" s="1"/>
  <c r="D30" i="98"/>
  <c r="D54" i="98" s="1"/>
  <c r="C30" i="98"/>
  <c r="C54" i="98" s="1"/>
  <c r="G30" i="98"/>
  <c r="G54" i="98" s="1"/>
  <c r="J28" i="98"/>
  <c r="H28" i="98"/>
  <c r="C28" i="98"/>
  <c r="G28" i="98"/>
  <c r="C41" i="97"/>
  <c r="C65" i="97" s="1"/>
  <c r="B47" i="97"/>
  <c r="I41" i="97"/>
  <c r="I65" i="97" s="1"/>
  <c r="E41" i="97"/>
  <c r="E65" i="97" s="1"/>
  <c r="B65" i="97"/>
  <c r="B71" i="97" s="1"/>
  <c r="Z20" i="17"/>
  <c r="H67" i="97"/>
  <c r="E67" i="97"/>
  <c r="J34" i="96"/>
  <c r="J58" i="96" s="1"/>
  <c r="B63" i="98"/>
  <c r="B65" i="98" s="1"/>
  <c r="H55" i="98"/>
  <c r="D67" i="97"/>
  <c r="H77" i="99"/>
  <c r="D70" i="99"/>
  <c r="H60" i="99"/>
  <c r="D60" i="99"/>
  <c r="I49" i="99"/>
  <c r="B51" i="99"/>
  <c r="G70" i="99"/>
  <c r="H63" i="99"/>
  <c r="F63" i="99"/>
  <c r="D63" i="99"/>
  <c r="D61" i="99"/>
  <c r="J42" i="99"/>
  <c r="E69" i="99" s="1"/>
  <c r="J34" i="99"/>
  <c r="E61" i="99"/>
  <c r="I60" i="99"/>
  <c r="D49" i="99"/>
  <c r="D76" i="99" s="1"/>
  <c r="G59" i="61"/>
  <c r="G34" i="32"/>
  <c r="G56" i="42"/>
  <c r="F65" i="73"/>
  <c r="J57" i="75"/>
  <c r="C64" i="15"/>
  <c r="F65" i="77"/>
  <c r="T21" i="2"/>
  <c r="H71" i="83"/>
  <c r="V16" i="2"/>
  <c r="D64" i="85"/>
  <c r="D53" i="83"/>
  <c r="I16" i="18"/>
  <c r="J66" i="21"/>
  <c r="K5" i="18"/>
  <c r="G44" i="54"/>
  <c r="D72" i="54"/>
  <c r="J5" i="18"/>
  <c r="D69" i="73"/>
  <c r="H34" i="71"/>
  <c r="G34" i="71"/>
  <c r="E46" i="79"/>
  <c r="G62" i="86"/>
  <c r="H62" i="86"/>
  <c r="H23" i="84"/>
  <c r="H47" i="84" s="1"/>
  <c r="I18" i="54"/>
  <c r="D44" i="54"/>
  <c r="F71" i="40"/>
  <c r="D64" i="43"/>
  <c r="D54" i="43"/>
  <c r="G64" i="54"/>
  <c r="D64" i="54"/>
  <c r="G62" i="18"/>
  <c r="B47" i="71"/>
  <c r="G58" i="85"/>
  <c r="H58" i="85"/>
  <c r="H34" i="77"/>
  <c r="H23" i="77"/>
  <c r="H47" i="77" s="1"/>
  <c r="C73" i="77" s="1"/>
  <c r="C69" i="77"/>
  <c r="K52" i="75"/>
  <c r="E52" i="75"/>
  <c r="J34" i="75"/>
  <c r="D34" i="75"/>
  <c r="C52" i="75"/>
  <c r="H71" i="72"/>
  <c r="C71" i="72"/>
  <c r="E71" i="72"/>
  <c r="F71" i="72"/>
  <c r="D71" i="72"/>
  <c r="E64" i="73"/>
  <c r="G64" i="73"/>
  <c r="C64" i="73"/>
  <c r="G17" i="18"/>
  <c r="D64" i="73"/>
  <c r="F64" i="73"/>
  <c r="G69" i="69"/>
  <c r="C69" i="69"/>
  <c r="I45" i="68"/>
  <c r="C45" i="68"/>
  <c r="J45" i="68"/>
  <c r="K45" i="68"/>
  <c r="F69" i="68" s="1"/>
  <c r="H64" i="69"/>
  <c r="E64" i="69"/>
  <c r="G64" i="69"/>
  <c r="C46" i="40"/>
  <c r="H40" i="33"/>
  <c r="I18" i="48"/>
  <c r="G72" i="48"/>
  <c r="E77" i="59"/>
  <c r="D77" i="59"/>
  <c r="F72" i="67"/>
  <c r="C38" i="67"/>
  <c r="C65" i="67" s="1"/>
  <c r="G38" i="67"/>
  <c r="G65" i="67" s="1"/>
  <c r="D38" i="67"/>
  <c r="D65" i="67" s="1"/>
  <c r="H10" i="33"/>
  <c r="D49" i="54"/>
  <c r="H49" i="54" s="1"/>
  <c r="G49" i="54"/>
  <c r="E49" i="54"/>
  <c r="K4" i="18"/>
  <c r="D34" i="32"/>
  <c r="F112" i="22"/>
  <c r="H134" i="22"/>
  <c r="G66" i="21"/>
  <c r="K66" i="21"/>
  <c r="J34" i="21"/>
  <c r="D34" i="21"/>
  <c r="I34" i="21"/>
  <c r="G34" i="21"/>
  <c r="K34" i="21" s="1"/>
  <c r="M11" i="17" s="1"/>
  <c r="I44" i="21"/>
  <c r="G29" i="47"/>
  <c r="G33" i="47"/>
  <c r="C36" i="47"/>
  <c r="C40" i="47"/>
  <c r="B45" i="47"/>
  <c r="H30" i="60"/>
  <c r="C43" i="60"/>
  <c r="G62" i="15"/>
  <c r="I4" i="14"/>
  <c r="H10" i="14"/>
  <c r="H18" i="14"/>
  <c r="E63" i="13"/>
  <c r="D37" i="13"/>
  <c r="D64" i="13"/>
  <c r="E38" i="4"/>
  <c r="H44" i="49"/>
  <c r="F71" i="49" s="1"/>
  <c r="H50" i="49"/>
  <c r="E76" i="56"/>
  <c r="B38" i="61"/>
  <c r="G76" i="61"/>
  <c r="D46" i="83"/>
  <c r="C64" i="85"/>
  <c r="G64" i="85"/>
  <c r="F64" i="85"/>
  <c r="E58" i="85"/>
  <c r="T17" i="2"/>
  <c r="I61" i="79"/>
  <c r="F61" i="79"/>
  <c r="T9" i="2"/>
  <c r="G63" i="79"/>
  <c r="F63" i="79"/>
  <c r="J10" i="79"/>
  <c r="F77" i="79"/>
  <c r="H51" i="79"/>
  <c r="G51" i="79"/>
  <c r="C51" i="79"/>
  <c r="D51" i="79"/>
  <c r="D72" i="79"/>
  <c r="D72" i="59"/>
  <c r="C55" i="42"/>
  <c r="G55" i="42"/>
  <c r="H35" i="54"/>
  <c r="H43" i="59"/>
  <c r="F34" i="32"/>
  <c r="H23" i="30"/>
  <c r="C23" i="21"/>
  <c r="E23" i="21"/>
  <c r="G23" i="21"/>
  <c r="C44" i="47"/>
  <c r="C30" i="60"/>
  <c r="I9" i="15"/>
  <c r="C61" i="14"/>
  <c r="E37" i="13"/>
  <c r="E64" i="13" s="1"/>
  <c r="C42" i="13"/>
  <c r="C69" i="13" s="1"/>
  <c r="C71" i="49"/>
  <c r="C36" i="61"/>
  <c r="H71" i="84"/>
  <c r="G47" i="86"/>
  <c r="E47" i="86"/>
  <c r="E62" i="86"/>
  <c r="I34" i="87"/>
  <c r="H34" i="87"/>
  <c r="J34" i="87"/>
  <c r="F34" i="87"/>
  <c r="C34" i="87"/>
  <c r="C58" i="87" s="1"/>
  <c r="K46" i="83"/>
  <c r="W18" i="2" s="1"/>
  <c r="E69" i="77"/>
  <c r="D55" i="76"/>
  <c r="U8" i="17"/>
  <c r="T21" i="17"/>
  <c r="H68" i="75"/>
  <c r="I68" i="75"/>
  <c r="K68" i="75"/>
  <c r="E68" i="75"/>
  <c r="I13" i="3"/>
  <c r="I21" i="3" s="1"/>
  <c r="D51" i="61"/>
  <c r="F51" i="61"/>
  <c r="C50" i="56"/>
  <c r="E50" i="56"/>
  <c r="G50" i="56"/>
  <c r="D50" i="56"/>
  <c r="B51" i="56"/>
  <c r="E51" i="56" s="1"/>
  <c r="H50" i="56"/>
  <c r="O21" i="2" s="1"/>
  <c r="D41" i="56"/>
  <c r="D68" i="56" s="1"/>
  <c r="F41" i="56"/>
  <c r="F68" i="56" s="1"/>
  <c r="F36" i="56"/>
  <c r="F63" i="56" s="1"/>
  <c r="H23" i="56"/>
  <c r="I23" i="56" s="1"/>
  <c r="F25" i="56"/>
  <c r="E25" i="56"/>
  <c r="C35" i="49"/>
  <c r="E35" i="49"/>
  <c r="G35" i="49"/>
  <c r="D35" i="49"/>
  <c r="H35" i="49"/>
  <c r="D60" i="49"/>
  <c r="F32" i="49"/>
  <c r="F59" i="49" s="1"/>
  <c r="E32" i="49"/>
  <c r="E59" i="49" s="1"/>
  <c r="B38" i="49"/>
  <c r="D32" i="49"/>
  <c r="D59" i="49" s="1"/>
  <c r="F25" i="49"/>
  <c r="C45" i="4"/>
  <c r="D45" i="4"/>
  <c r="G45" i="4"/>
  <c r="F45" i="4"/>
  <c r="B46" i="4"/>
  <c r="F46" i="4" s="1"/>
  <c r="E35" i="4"/>
  <c r="E62" i="4" s="1"/>
  <c r="I22" i="4"/>
  <c r="H23" i="4"/>
  <c r="H50" i="4"/>
  <c r="M21" i="2" s="1"/>
  <c r="I14" i="4"/>
  <c r="H42" i="4"/>
  <c r="M14" i="2" s="1"/>
  <c r="F38" i="4"/>
  <c r="D38" i="4"/>
  <c r="I8" i="4"/>
  <c r="H36" i="4"/>
  <c r="I6" i="4"/>
  <c r="H34" i="4"/>
  <c r="L10" i="2"/>
  <c r="E64" i="5"/>
  <c r="H64" i="5" s="1"/>
  <c r="F64" i="5"/>
  <c r="D64" i="5"/>
  <c r="C63" i="5"/>
  <c r="G63" i="5"/>
  <c r="D63" i="5"/>
  <c r="L6" i="2"/>
  <c r="E60" i="5"/>
  <c r="F60" i="5"/>
  <c r="D60" i="5"/>
  <c r="E59" i="5"/>
  <c r="L5" i="2"/>
  <c r="D59" i="5"/>
  <c r="E53" i="5"/>
  <c r="L8" i="3"/>
  <c r="H23" i="9"/>
  <c r="I23" i="9" s="1"/>
  <c r="H19" i="9"/>
  <c r="E35" i="13"/>
  <c r="E62" i="13" s="1"/>
  <c r="C44" i="14"/>
  <c r="C71" i="14" s="1"/>
  <c r="F44" i="14"/>
  <c r="F71" i="14" s="1"/>
  <c r="E44" i="14"/>
  <c r="E71" i="14" s="1"/>
  <c r="D44" i="14"/>
  <c r="D71" i="14" s="1"/>
  <c r="F34" i="14"/>
  <c r="F61" i="14" s="1"/>
  <c r="D34" i="14"/>
  <c r="D61" i="14" s="1"/>
  <c r="E34" i="14"/>
  <c r="E61" i="14" s="1"/>
  <c r="F25" i="14"/>
  <c r="D45" i="15"/>
  <c r="H45" i="15"/>
  <c r="B17" i="2" s="1"/>
  <c r="F45" i="15"/>
  <c r="F72" i="15" s="1"/>
  <c r="F43" i="15"/>
  <c r="F70" i="15" s="1"/>
  <c r="C43" i="15"/>
  <c r="C70" i="15" s="1"/>
  <c r="G43" i="15"/>
  <c r="G70" i="15" s="1"/>
  <c r="D43" i="15"/>
  <c r="D70" i="15" s="1"/>
  <c r="F36" i="15"/>
  <c r="D35" i="15"/>
  <c r="D62" i="15" s="1"/>
  <c r="F35" i="15"/>
  <c r="F62" i="15" s="1"/>
  <c r="F33" i="15"/>
  <c r="F44" i="60"/>
  <c r="J44" i="60"/>
  <c r="E44" i="60"/>
  <c r="I44" i="60"/>
  <c r="D44" i="60"/>
  <c r="D40" i="60"/>
  <c r="J40" i="60"/>
  <c r="F40" i="60"/>
  <c r="E40" i="60"/>
  <c r="I40" i="60"/>
  <c r="D29" i="60"/>
  <c r="J29" i="60"/>
  <c r="F29" i="60"/>
  <c r="B53" i="60"/>
  <c r="E29" i="60"/>
  <c r="I29" i="60"/>
  <c r="F43" i="55"/>
  <c r="C40" i="55"/>
  <c r="E40" i="55"/>
  <c r="G40" i="55"/>
  <c r="I40" i="55"/>
  <c r="D40" i="55"/>
  <c r="H40" i="55"/>
  <c r="C36" i="55"/>
  <c r="E36" i="55"/>
  <c r="G36" i="55"/>
  <c r="I36" i="55"/>
  <c r="D36" i="55"/>
  <c r="H36" i="55"/>
  <c r="B41" i="55"/>
  <c r="D28" i="55"/>
  <c r="H28" i="55"/>
  <c r="F28" i="55"/>
  <c r="C28" i="55"/>
  <c r="K28" i="55" s="1"/>
  <c r="O5" i="17" s="1"/>
  <c r="G28" i="55"/>
  <c r="B34" i="55"/>
  <c r="J40" i="47"/>
  <c r="D38" i="47"/>
  <c r="H38" i="47"/>
  <c r="F38" i="47"/>
  <c r="E38" i="47"/>
  <c r="I38" i="47"/>
  <c r="J36" i="47"/>
  <c r="J33" i="47"/>
  <c r="D31" i="47"/>
  <c r="H31" i="47"/>
  <c r="F31" i="47"/>
  <c r="E31" i="47"/>
  <c r="I31" i="47"/>
  <c r="J29" i="47"/>
  <c r="K29" i="47" s="1"/>
  <c r="N6" i="17" s="1"/>
  <c r="J44" i="21"/>
  <c r="F38" i="21"/>
  <c r="J38" i="21"/>
  <c r="E38" i="21"/>
  <c r="I38" i="21"/>
  <c r="B41" i="21"/>
  <c r="J41" i="21" s="1"/>
  <c r="D38" i="21"/>
  <c r="D120" i="22"/>
  <c r="H120" i="22"/>
  <c r="F120" i="22"/>
  <c r="C120" i="22"/>
  <c r="G120" i="22"/>
  <c r="B144" i="22"/>
  <c r="D33" i="22"/>
  <c r="J33" i="22"/>
  <c r="B57" i="22"/>
  <c r="F33" i="22"/>
  <c r="E33" i="22"/>
  <c r="I33" i="22"/>
  <c r="D28" i="22"/>
  <c r="K28" i="22" s="1"/>
  <c r="L5" i="17" s="1"/>
  <c r="L20" i="22"/>
  <c r="C70" i="22"/>
  <c r="E70" i="22"/>
  <c r="G70" i="22"/>
  <c r="I70" i="22"/>
  <c r="K70" i="22"/>
  <c r="D159" i="22"/>
  <c r="F159" i="22"/>
  <c r="H159" i="22"/>
  <c r="J159" i="22"/>
  <c r="K21" i="22"/>
  <c r="F70" i="22"/>
  <c r="J70" i="22"/>
  <c r="E159" i="22"/>
  <c r="I159" i="22"/>
  <c r="J23" i="22"/>
  <c r="H23" i="22"/>
  <c r="F23" i="22"/>
  <c r="B23" i="22"/>
  <c r="L24" i="16" s="1"/>
  <c r="L11" i="16"/>
  <c r="L8" i="22"/>
  <c r="D56" i="22"/>
  <c r="F56" i="22"/>
  <c r="H56" i="22"/>
  <c r="J56" i="22"/>
  <c r="D145" i="22"/>
  <c r="F145" i="22"/>
  <c r="H145" i="22"/>
  <c r="J145" i="22"/>
  <c r="E56" i="22"/>
  <c r="I56" i="22"/>
  <c r="E145" i="22"/>
  <c r="I145" i="22"/>
  <c r="L6" i="22"/>
  <c r="C54" i="22"/>
  <c r="E54" i="22"/>
  <c r="G54" i="22"/>
  <c r="I54" i="22"/>
  <c r="K54" i="22"/>
  <c r="D143" i="22"/>
  <c r="F143" i="22"/>
  <c r="H143" i="22"/>
  <c r="J143" i="22"/>
  <c r="D54" i="22"/>
  <c r="H54" i="22"/>
  <c r="C143" i="22"/>
  <c r="G143" i="22"/>
  <c r="L4" i="22"/>
  <c r="K10" i="22"/>
  <c r="D52" i="22"/>
  <c r="F52" i="22"/>
  <c r="H52" i="22"/>
  <c r="J52" i="22"/>
  <c r="D141" i="22"/>
  <c r="F141" i="22"/>
  <c r="H141" i="22"/>
  <c r="J141" i="22"/>
  <c r="E52" i="22"/>
  <c r="I52" i="22"/>
  <c r="E141" i="22"/>
  <c r="I141" i="22"/>
  <c r="F64" i="30"/>
  <c r="H62" i="30"/>
  <c r="B45" i="30"/>
  <c r="J43" i="30"/>
  <c r="B66" i="31"/>
  <c r="F36" i="31"/>
  <c r="J36" i="31"/>
  <c r="C36" i="31"/>
  <c r="G36" i="31"/>
  <c r="D36" i="31"/>
  <c r="B41" i="31"/>
  <c r="J29" i="31"/>
  <c r="B53" i="31"/>
  <c r="C29" i="31"/>
  <c r="G29" i="31"/>
  <c r="D29" i="31"/>
  <c r="B34" i="31"/>
  <c r="F29" i="31"/>
  <c r="L15" i="31"/>
  <c r="C64" i="31"/>
  <c r="E64" i="31"/>
  <c r="G64" i="31"/>
  <c r="I64" i="31"/>
  <c r="K64" i="31"/>
  <c r="F64" i="31"/>
  <c r="J64" i="31"/>
  <c r="H64" i="31"/>
  <c r="L13" i="31"/>
  <c r="C62" i="31"/>
  <c r="E62" i="31"/>
  <c r="G62" i="31"/>
  <c r="I62" i="31"/>
  <c r="K62" i="31"/>
  <c r="F62" i="31"/>
  <c r="J62" i="31"/>
  <c r="H62" i="31"/>
  <c r="D23" i="31"/>
  <c r="B23" i="31"/>
  <c r="C11" i="16"/>
  <c r="D56" i="31"/>
  <c r="L8" i="31"/>
  <c r="E56" i="31"/>
  <c r="I56" i="31"/>
  <c r="F56" i="31"/>
  <c r="D54" i="31"/>
  <c r="L6" i="31"/>
  <c r="E54" i="31"/>
  <c r="I54" i="31"/>
  <c r="F54" i="31"/>
  <c r="H54" i="31"/>
  <c r="D52" i="31"/>
  <c r="L4" i="31"/>
  <c r="C52" i="31"/>
  <c r="G52" i="31"/>
  <c r="K52" i="31"/>
  <c r="J52" i="31"/>
  <c r="F47" i="59"/>
  <c r="E47" i="59"/>
  <c r="E41" i="59"/>
  <c r="D41" i="59"/>
  <c r="E39" i="59"/>
  <c r="B44" i="59"/>
  <c r="B51" i="59" s="1"/>
  <c r="F39" i="59"/>
  <c r="C63" i="59"/>
  <c r="E63" i="59"/>
  <c r="G63" i="59"/>
  <c r="F63" i="59"/>
  <c r="D63" i="59"/>
  <c r="C61" i="59"/>
  <c r="E61" i="59"/>
  <c r="G61" i="59"/>
  <c r="D61" i="59"/>
  <c r="F61" i="59"/>
  <c r="C48" i="54"/>
  <c r="F48" i="54"/>
  <c r="E48" i="54"/>
  <c r="D30" i="54"/>
  <c r="H30" i="54" s="1"/>
  <c r="F30" i="54"/>
  <c r="C31" i="48"/>
  <c r="F31" i="48"/>
  <c r="D31" i="48"/>
  <c r="B36" i="48"/>
  <c r="G31" i="48"/>
  <c r="E31" i="48"/>
  <c r="C48" i="33"/>
  <c r="H48" i="33" s="1"/>
  <c r="D48" i="33"/>
  <c r="G48" i="33"/>
  <c r="E48" i="33"/>
  <c r="G69" i="40"/>
  <c r="H29" i="42"/>
  <c r="D54" i="42" s="1"/>
  <c r="B35" i="42"/>
  <c r="I22" i="42"/>
  <c r="H46" i="42"/>
  <c r="G48" i="18"/>
  <c r="D24" i="42"/>
  <c r="D46" i="42"/>
  <c r="I6" i="42"/>
  <c r="H11" i="42"/>
  <c r="H33" i="43"/>
  <c r="D58" i="43" s="1"/>
  <c r="B35" i="43"/>
  <c r="F64" i="44"/>
  <c r="E64" i="44"/>
  <c r="D62" i="44"/>
  <c r="G59" i="44"/>
  <c r="H59" i="44" s="1"/>
  <c r="G58" i="44"/>
  <c r="H31" i="44"/>
  <c r="F56" i="44"/>
  <c r="G55" i="44"/>
  <c r="C55" i="44"/>
  <c r="G54" i="44"/>
  <c r="B35" i="44"/>
  <c r="C35" i="44" s="1"/>
  <c r="G24" i="44"/>
  <c r="E38" i="61"/>
  <c r="E25" i="61"/>
  <c r="C25" i="59"/>
  <c r="H10" i="59"/>
  <c r="C64" i="59" s="1"/>
  <c r="C36" i="59"/>
  <c r="S18" i="16"/>
  <c r="B23" i="71"/>
  <c r="R9" i="3"/>
  <c r="R21" i="3" s="1"/>
  <c r="H37" i="67"/>
  <c r="G37" i="67"/>
  <c r="H35" i="67"/>
  <c r="C35" i="67"/>
  <c r="G35" i="67"/>
  <c r="H33" i="67"/>
  <c r="C33" i="67"/>
  <c r="G33" i="67"/>
  <c r="G60" i="67" s="1"/>
  <c r="D33" i="67"/>
  <c r="F33" i="67"/>
  <c r="F60" i="67" s="1"/>
  <c r="E33" i="67"/>
  <c r="E45" i="67"/>
  <c r="E72" i="67" s="1"/>
  <c r="D45" i="67"/>
  <c r="D72" i="67" s="1"/>
  <c r="C45" i="67"/>
  <c r="C72" i="67" s="1"/>
  <c r="G45" i="67"/>
  <c r="G72" i="67" s="1"/>
  <c r="E43" i="67"/>
  <c r="D43" i="67"/>
  <c r="H43" i="67"/>
  <c r="C70" i="67" s="1"/>
  <c r="G43" i="67"/>
  <c r="H41" i="67"/>
  <c r="C41" i="67"/>
  <c r="D41" i="67"/>
  <c r="E41" i="67"/>
  <c r="E68" i="67" s="1"/>
  <c r="G41" i="67"/>
  <c r="B46" i="67"/>
  <c r="C46" i="72"/>
  <c r="C73" i="72" s="1"/>
  <c r="E46" i="72"/>
  <c r="E73" i="72" s="1"/>
  <c r="D46" i="72"/>
  <c r="D73" i="72" s="1"/>
  <c r="H51" i="72"/>
  <c r="I23" i="72"/>
  <c r="H35" i="72"/>
  <c r="I7" i="72"/>
  <c r="I5" i="72"/>
  <c r="H33" i="72"/>
  <c r="W6" i="3"/>
  <c r="W14" i="3"/>
  <c r="D71" i="84"/>
  <c r="E41" i="86"/>
  <c r="C41" i="86"/>
  <c r="C67" i="86" s="1"/>
  <c r="D60" i="86"/>
  <c r="H60" i="86"/>
  <c r="X6" i="17"/>
  <c r="I53" i="89"/>
  <c r="G53" i="89"/>
  <c r="L51" i="83"/>
  <c r="X22" i="2" s="1"/>
  <c r="J51" i="83"/>
  <c r="L25" i="83"/>
  <c r="S21" i="17"/>
  <c r="S6" i="17"/>
  <c r="E53" i="71"/>
  <c r="U5" i="17"/>
  <c r="D52" i="76"/>
  <c r="K52" i="76"/>
  <c r="E55" i="76"/>
  <c r="D62" i="76"/>
  <c r="K62" i="76"/>
  <c r="J64" i="76"/>
  <c r="H55" i="76"/>
  <c r="D45" i="75"/>
  <c r="G45" i="75"/>
  <c r="F69" i="77"/>
  <c r="J13" i="3"/>
  <c r="G13" i="3"/>
  <c r="G17" i="3" s="1"/>
  <c r="C50" i="61"/>
  <c r="D50" i="61"/>
  <c r="G50" i="61"/>
  <c r="H50" i="61"/>
  <c r="F64" i="61"/>
  <c r="C37" i="61"/>
  <c r="C64" i="61" s="1"/>
  <c r="E37" i="61"/>
  <c r="E64" i="61" s="1"/>
  <c r="G37" i="61"/>
  <c r="G64" i="61" s="1"/>
  <c r="C62" i="61"/>
  <c r="D60" i="61"/>
  <c r="I6" i="61"/>
  <c r="H34" i="61"/>
  <c r="P7" i="2" s="1"/>
  <c r="I4" i="61"/>
  <c r="H10" i="61"/>
  <c r="D49" i="56"/>
  <c r="D76" i="56" s="1"/>
  <c r="F49" i="56"/>
  <c r="D37" i="56"/>
  <c r="F37" i="56"/>
  <c r="C32" i="56"/>
  <c r="F32" i="56"/>
  <c r="F59" i="56" s="1"/>
  <c r="D25" i="56"/>
  <c r="C49" i="49"/>
  <c r="E49" i="49"/>
  <c r="F49" i="49"/>
  <c r="C33" i="49"/>
  <c r="C60" i="49" s="1"/>
  <c r="E33" i="49"/>
  <c r="E60" i="49" s="1"/>
  <c r="G33" i="49"/>
  <c r="G60" i="49" s="1"/>
  <c r="I17" i="49"/>
  <c r="H45" i="49"/>
  <c r="I15" i="49"/>
  <c r="H43" i="49"/>
  <c r="I13" i="49"/>
  <c r="H41" i="49"/>
  <c r="C49" i="4"/>
  <c r="C76" i="4" s="1"/>
  <c r="D49" i="4"/>
  <c r="D76" i="4" s="1"/>
  <c r="F49" i="4"/>
  <c r="F76" i="4" s="1"/>
  <c r="C43" i="4"/>
  <c r="C70" i="4" s="1"/>
  <c r="E43" i="4"/>
  <c r="E70" i="4"/>
  <c r="F43" i="4"/>
  <c r="F70" i="4" s="1"/>
  <c r="C33" i="4"/>
  <c r="E33" i="4"/>
  <c r="F33" i="4"/>
  <c r="C32" i="4"/>
  <c r="G32" i="4"/>
  <c r="G59" i="4" s="1"/>
  <c r="E32" i="4"/>
  <c r="E59" i="4" s="1"/>
  <c r="I17" i="4"/>
  <c r="H45" i="4"/>
  <c r="M17" i="2" s="1"/>
  <c r="I13" i="4"/>
  <c r="H41" i="4"/>
  <c r="I9" i="4"/>
  <c r="H37" i="4"/>
  <c r="G69" i="5"/>
  <c r="E69" i="5"/>
  <c r="D25" i="9"/>
  <c r="H7" i="3" s="1"/>
  <c r="C45" i="13"/>
  <c r="E45" i="13"/>
  <c r="G45" i="13"/>
  <c r="C41" i="13"/>
  <c r="E41" i="13"/>
  <c r="F41" i="13"/>
  <c r="H41" i="13"/>
  <c r="C34" i="13"/>
  <c r="D34" i="13"/>
  <c r="H34" i="13"/>
  <c r="D61" i="13" s="1"/>
  <c r="G34" i="13"/>
  <c r="E34" i="13"/>
  <c r="D41" i="14"/>
  <c r="H41" i="14"/>
  <c r="C37" i="14"/>
  <c r="C64" i="14" s="1"/>
  <c r="E37" i="14"/>
  <c r="E64" i="14" s="1"/>
  <c r="G37" i="14"/>
  <c r="G64" i="14" s="1"/>
  <c r="D35" i="14"/>
  <c r="H35" i="14"/>
  <c r="C33" i="14"/>
  <c r="E33" i="14"/>
  <c r="G33" i="14"/>
  <c r="D32" i="14"/>
  <c r="D59" i="14" s="1"/>
  <c r="G32" i="14"/>
  <c r="G59" i="14" s="1"/>
  <c r="E32" i="14"/>
  <c r="E59" i="14" s="1"/>
  <c r="C44" i="15"/>
  <c r="C71" i="15" s="1"/>
  <c r="E44" i="15"/>
  <c r="E71" i="15" s="1"/>
  <c r="G44" i="15"/>
  <c r="G71" i="15" s="1"/>
  <c r="D32" i="15"/>
  <c r="D59" i="15" s="1"/>
  <c r="B38" i="15"/>
  <c r="E32" i="15"/>
  <c r="E59" i="15" s="1"/>
  <c r="I8" i="15"/>
  <c r="H36" i="15"/>
  <c r="B9" i="2" s="1"/>
  <c r="D36" i="60"/>
  <c r="J36" i="60"/>
  <c r="D33" i="60"/>
  <c r="J33" i="60"/>
  <c r="C37" i="55"/>
  <c r="E37" i="55"/>
  <c r="G37" i="55"/>
  <c r="I37" i="55"/>
  <c r="C33" i="55"/>
  <c r="E33" i="55"/>
  <c r="G33" i="55"/>
  <c r="I33" i="55"/>
  <c r="B57" i="55"/>
  <c r="C30" i="55"/>
  <c r="E30" i="55"/>
  <c r="G30" i="55"/>
  <c r="I30" i="55"/>
  <c r="B54" i="55"/>
  <c r="J34" i="47"/>
  <c r="D56" i="47"/>
  <c r="H56" i="47"/>
  <c r="F54" i="47"/>
  <c r="J54" i="47"/>
  <c r="D52" i="47"/>
  <c r="H52" i="47"/>
  <c r="B66" i="21"/>
  <c r="D32" i="21"/>
  <c r="H32" i="21"/>
  <c r="B56" i="21"/>
  <c r="D30" i="21"/>
  <c r="H30" i="21"/>
  <c r="B54" i="21"/>
  <c r="C28" i="21"/>
  <c r="E28" i="21"/>
  <c r="G28" i="21"/>
  <c r="I28" i="21"/>
  <c r="B52" i="21"/>
  <c r="K127" i="22"/>
  <c r="D45" i="22"/>
  <c r="L19" i="22"/>
  <c r="D69" i="22"/>
  <c r="F69" i="22"/>
  <c r="H69" i="22"/>
  <c r="J69" i="22"/>
  <c r="D158" i="22"/>
  <c r="F158" i="22"/>
  <c r="H158" i="22"/>
  <c r="J158" i="22"/>
  <c r="G65" i="22"/>
  <c r="D154" i="22"/>
  <c r="I63" i="22"/>
  <c r="J152" i="22"/>
  <c r="C61" i="22"/>
  <c r="K61" i="22"/>
  <c r="D150" i="22"/>
  <c r="L9" i="22"/>
  <c r="D57" i="22"/>
  <c r="F57" i="22"/>
  <c r="H57" i="22"/>
  <c r="J57" i="22"/>
  <c r="C146" i="22"/>
  <c r="E146" i="22"/>
  <c r="G146" i="22"/>
  <c r="I146" i="22"/>
  <c r="K146" i="22"/>
  <c r="L7" i="22"/>
  <c r="C55" i="22"/>
  <c r="E55" i="22"/>
  <c r="G55" i="22"/>
  <c r="I55" i="22"/>
  <c r="K55" i="22"/>
  <c r="C144" i="22"/>
  <c r="E144" i="22"/>
  <c r="G144" i="22"/>
  <c r="I144" i="22"/>
  <c r="K144" i="22"/>
  <c r="L5" i="22"/>
  <c r="D53" i="22"/>
  <c r="F53" i="22"/>
  <c r="H53" i="22"/>
  <c r="J53" i="22"/>
  <c r="C142" i="22"/>
  <c r="E142" i="22"/>
  <c r="G142" i="22"/>
  <c r="I142" i="22"/>
  <c r="K142" i="22"/>
  <c r="K22" i="26"/>
  <c r="L22" i="26" s="1"/>
  <c r="H24" i="26"/>
  <c r="I10" i="18" s="1"/>
  <c r="K11" i="26"/>
  <c r="L11" i="26" s="1"/>
  <c r="D24" i="26"/>
  <c r="C40" i="30"/>
  <c r="E40" i="30"/>
  <c r="G40" i="30"/>
  <c r="I40" i="30"/>
  <c r="D40" i="30"/>
  <c r="H40" i="30"/>
  <c r="C38" i="30"/>
  <c r="E38" i="30"/>
  <c r="G38" i="30"/>
  <c r="I38" i="30"/>
  <c r="D38" i="30"/>
  <c r="H38" i="30"/>
  <c r="C36" i="30"/>
  <c r="E36" i="30"/>
  <c r="G36" i="30"/>
  <c r="I36" i="30"/>
  <c r="D36" i="30"/>
  <c r="H36" i="30"/>
  <c r="B41" i="30"/>
  <c r="C33" i="30"/>
  <c r="F33" i="30"/>
  <c r="H33" i="30"/>
  <c r="J33" i="30"/>
  <c r="D33" i="30"/>
  <c r="I33" i="30"/>
  <c r="F40" i="31"/>
  <c r="J40" i="31"/>
  <c r="J31" i="32"/>
  <c r="K31" i="32" s="1"/>
  <c r="B8" i="17" s="1"/>
  <c r="B55" i="32"/>
  <c r="C28" i="32"/>
  <c r="E28" i="32"/>
  <c r="G28" i="32"/>
  <c r="I28" i="32"/>
  <c r="D28" i="32"/>
  <c r="H28" i="32"/>
  <c r="B52" i="32"/>
  <c r="D31" i="59"/>
  <c r="F31" i="59"/>
  <c r="E76" i="59"/>
  <c r="C76" i="59"/>
  <c r="C71" i="59"/>
  <c r="E71" i="59"/>
  <c r="G71" i="59"/>
  <c r="D71" i="59"/>
  <c r="G40" i="54"/>
  <c r="E40" i="54"/>
  <c r="C48" i="48"/>
  <c r="D48" i="48"/>
  <c r="F48" i="48"/>
  <c r="G48" i="48"/>
  <c r="C43" i="48"/>
  <c r="F43" i="48"/>
  <c r="D43" i="48"/>
  <c r="G43" i="48"/>
  <c r="C32" i="48"/>
  <c r="D32" i="48"/>
  <c r="F32" i="48"/>
  <c r="G32" i="48"/>
  <c r="G25" i="48"/>
  <c r="H58" i="18" s="1"/>
  <c r="C25" i="48"/>
  <c r="I17" i="48"/>
  <c r="E71" i="48"/>
  <c r="G71" i="48"/>
  <c r="I15" i="48"/>
  <c r="C69" i="48"/>
  <c r="F69" i="48"/>
  <c r="I13" i="48"/>
  <c r="D67" i="48"/>
  <c r="E25" i="48"/>
  <c r="C42" i="33"/>
  <c r="F42" i="33"/>
  <c r="D42" i="33"/>
  <c r="G42" i="33"/>
  <c r="C30" i="33"/>
  <c r="F30" i="33"/>
  <c r="D30" i="33"/>
  <c r="G30" i="33"/>
  <c r="I9" i="34"/>
  <c r="E63" i="34"/>
  <c r="C63" i="34"/>
  <c r="I7" i="34"/>
  <c r="E61" i="34"/>
  <c r="G61" i="34"/>
  <c r="I5" i="34"/>
  <c r="E59" i="34"/>
  <c r="C59" i="34"/>
  <c r="I20" i="38"/>
  <c r="H22" i="38"/>
  <c r="I22" i="38" s="1"/>
  <c r="I17" i="40"/>
  <c r="D66" i="40"/>
  <c r="F66" i="40"/>
  <c r="H66" i="40" s="1"/>
  <c r="H41" i="40"/>
  <c r="E66" i="40"/>
  <c r="I15" i="40"/>
  <c r="D64" i="40"/>
  <c r="H64" i="40" s="1"/>
  <c r="F64" i="40"/>
  <c r="H39" i="40"/>
  <c r="E64" i="40"/>
  <c r="I13" i="40"/>
  <c r="D62" i="40"/>
  <c r="F62" i="40"/>
  <c r="H18" i="40"/>
  <c r="H37" i="40"/>
  <c r="E62" i="40"/>
  <c r="H38" i="42"/>
  <c r="E63" i="42" s="1"/>
  <c r="B42" i="42"/>
  <c r="I13" i="42"/>
  <c r="H18" i="42"/>
  <c r="H30" i="43"/>
  <c r="F58" i="60"/>
  <c r="J58" i="60"/>
  <c r="F44" i="77"/>
  <c r="F70" i="77" s="1"/>
  <c r="E44" i="77"/>
  <c r="E70" i="77" s="1"/>
  <c r="H63" i="77"/>
  <c r="H58" i="77"/>
  <c r="C34" i="78"/>
  <c r="G34" i="78"/>
  <c r="F34" i="78"/>
  <c r="C28" i="78"/>
  <c r="C54" i="78" s="1"/>
  <c r="E28" i="78"/>
  <c r="E54" i="78" s="1"/>
  <c r="G28" i="78"/>
  <c r="G54" i="78" s="1"/>
  <c r="D28" i="78"/>
  <c r="D54" i="78" s="1"/>
  <c r="F28" i="78"/>
  <c r="F54" i="78" s="1"/>
  <c r="F23" i="78"/>
  <c r="F45" i="78"/>
  <c r="F71" i="78" s="1"/>
  <c r="T13" i="2"/>
  <c r="I68" i="79"/>
  <c r="K23" i="79"/>
  <c r="J33" i="79"/>
  <c r="U6" i="2" s="1"/>
  <c r="C33" i="79"/>
  <c r="D33" i="79"/>
  <c r="G33" i="79"/>
  <c r="I33" i="79"/>
  <c r="E33" i="79"/>
  <c r="H33" i="79"/>
  <c r="G45" i="79"/>
  <c r="G72" i="79" s="1"/>
  <c r="H45" i="79"/>
  <c r="H72" i="79" s="1"/>
  <c r="I44" i="79"/>
  <c r="J16" i="79"/>
  <c r="J14" i="79"/>
  <c r="I42" i="79"/>
  <c r="J10" i="83"/>
  <c r="J32" i="83"/>
  <c r="K4" i="83"/>
  <c r="J35" i="83"/>
  <c r="K7" i="83"/>
  <c r="H54" i="84"/>
  <c r="G54" i="84"/>
  <c r="C23" i="84"/>
  <c r="C47" i="84" s="1"/>
  <c r="C41" i="84"/>
  <c r="H39" i="85"/>
  <c r="E65" i="85" s="1"/>
  <c r="H17" i="85"/>
  <c r="C23" i="85"/>
  <c r="C47" i="85" s="1"/>
  <c r="C41" i="85"/>
  <c r="E41" i="85"/>
  <c r="E23" i="85"/>
  <c r="E47" i="85"/>
  <c r="G41" i="85"/>
  <c r="F31" i="85"/>
  <c r="H31" i="85"/>
  <c r="H57" i="85" s="1"/>
  <c r="F43" i="85"/>
  <c r="F69" i="85" s="1"/>
  <c r="H43" i="85"/>
  <c r="H69" i="85" s="1"/>
  <c r="C43" i="85"/>
  <c r="E43" i="85"/>
  <c r="G43" i="85"/>
  <c r="D43" i="85"/>
  <c r="B71" i="86"/>
  <c r="B73" i="86" s="1"/>
  <c r="B45" i="86"/>
  <c r="F29" i="86"/>
  <c r="F55" i="86" s="1"/>
  <c r="H29" i="86"/>
  <c r="H55" i="86" s="1"/>
  <c r="F31" i="86"/>
  <c r="H31" i="86"/>
  <c r="E31" i="86"/>
  <c r="G31" i="86"/>
  <c r="F33" i="86"/>
  <c r="H33" i="86"/>
  <c r="H59" i="86" s="1"/>
  <c r="C33" i="86"/>
  <c r="C59" i="86" s="1"/>
  <c r="G37" i="86"/>
  <c r="D37" i="86"/>
  <c r="F37" i="86"/>
  <c r="C37" i="86"/>
  <c r="E37" i="86"/>
  <c r="G39" i="86"/>
  <c r="D39" i="86"/>
  <c r="F39" i="86"/>
  <c r="C39" i="86"/>
  <c r="E39" i="86"/>
  <c r="F43" i="86"/>
  <c r="C43" i="86"/>
  <c r="E43" i="86"/>
  <c r="G43" i="86"/>
  <c r="D43" i="86"/>
  <c r="B34" i="88"/>
  <c r="C28" i="88"/>
  <c r="G28" i="88"/>
  <c r="K28" i="88"/>
  <c r="F28" i="88"/>
  <c r="F52" i="88" s="1"/>
  <c r="H28" i="88"/>
  <c r="H52" i="88" s="1"/>
  <c r="J32" i="88"/>
  <c r="K32" i="88"/>
  <c r="B60" i="88"/>
  <c r="E36" i="88"/>
  <c r="G36" i="88"/>
  <c r="H36" i="88"/>
  <c r="J36" i="88"/>
  <c r="B62" i="88"/>
  <c r="K38" i="88"/>
  <c r="B64" i="88"/>
  <c r="E40" i="88"/>
  <c r="G40" i="88"/>
  <c r="H40" i="88"/>
  <c r="J40" i="88"/>
  <c r="B68" i="88"/>
  <c r="D44" i="88"/>
  <c r="D68" i="88" s="1"/>
  <c r="F44" i="88"/>
  <c r="F68" i="88" s="1"/>
  <c r="H44" i="88"/>
  <c r="H68" i="88" s="1"/>
  <c r="J44" i="88"/>
  <c r="J68" i="88" s="1"/>
  <c r="B45" i="88"/>
  <c r="K30" i="89"/>
  <c r="K10" i="89"/>
  <c r="X10" i="17"/>
  <c r="J57" i="89"/>
  <c r="C40" i="87"/>
  <c r="D40" i="87"/>
  <c r="H40" i="87"/>
  <c r="J40" i="87"/>
  <c r="F40" i="87"/>
  <c r="B41" i="87"/>
  <c r="J61" i="87"/>
  <c r="D61" i="87"/>
  <c r="F28" i="93"/>
  <c r="H28" i="93"/>
  <c r="C44" i="30"/>
  <c r="E44" i="30"/>
  <c r="G44" i="30"/>
  <c r="I44" i="30"/>
  <c r="C39" i="30"/>
  <c r="E39" i="30"/>
  <c r="G39" i="30"/>
  <c r="I39" i="30"/>
  <c r="C37" i="30"/>
  <c r="E37" i="30"/>
  <c r="G37" i="30"/>
  <c r="I37" i="30"/>
  <c r="C31" i="30"/>
  <c r="E31" i="30"/>
  <c r="G31" i="30"/>
  <c r="I31" i="30"/>
  <c r="D30" i="30"/>
  <c r="J30" i="30"/>
  <c r="L12" i="30"/>
  <c r="K17" i="30"/>
  <c r="J33" i="31"/>
  <c r="B57" i="31"/>
  <c r="D30" i="31"/>
  <c r="H30" i="31"/>
  <c r="L16" i="31"/>
  <c r="C65" i="31"/>
  <c r="E65" i="31"/>
  <c r="G65" i="31"/>
  <c r="I65" i="31"/>
  <c r="K65" i="31"/>
  <c r="L14" i="31"/>
  <c r="C63" i="31"/>
  <c r="E63" i="31"/>
  <c r="G63" i="31"/>
  <c r="I63" i="31"/>
  <c r="K63" i="31"/>
  <c r="L12" i="31"/>
  <c r="K17" i="31"/>
  <c r="H66" i="31" s="1"/>
  <c r="C61" i="31"/>
  <c r="E61" i="31"/>
  <c r="G61" i="31"/>
  <c r="I61" i="31"/>
  <c r="K61" i="31"/>
  <c r="D39" i="32"/>
  <c r="H39" i="32"/>
  <c r="D37" i="32"/>
  <c r="H37" i="32"/>
  <c r="D32" i="32"/>
  <c r="H32" i="32"/>
  <c r="D57" i="32"/>
  <c r="H57" i="32"/>
  <c r="F55" i="32"/>
  <c r="J55" i="32"/>
  <c r="D53" i="32"/>
  <c r="H53" i="32"/>
  <c r="C48" i="59"/>
  <c r="E48" i="59"/>
  <c r="G48" i="59"/>
  <c r="E70" i="59"/>
  <c r="G70" i="59"/>
  <c r="E60" i="59"/>
  <c r="G60" i="59"/>
  <c r="H60" i="59" s="1"/>
  <c r="C32" i="54"/>
  <c r="E32" i="54"/>
  <c r="G32" i="54"/>
  <c r="C40" i="48"/>
  <c r="D40" i="48"/>
  <c r="F40" i="48"/>
  <c r="C39" i="48"/>
  <c r="F39" i="48"/>
  <c r="C35" i="48"/>
  <c r="F35" i="48"/>
  <c r="I16" i="48"/>
  <c r="D70" i="48"/>
  <c r="H70" i="48" s="1"/>
  <c r="I14" i="48"/>
  <c r="F68" i="48"/>
  <c r="H68" i="48" s="1"/>
  <c r="B25" i="48"/>
  <c r="B58" i="18" s="1"/>
  <c r="C39" i="33"/>
  <c r="D39" i="33"/>
  <c r="F39" i="33"/>
  <c r="B44" i="33"/>
  <c r="C34" i="33"/>
  <c r="F34" i="33"/>
  <c r="G25" i="33"/>
  <c r="I8" i="33"/>
  <c r="C62" i="33"/>
  <c r="H62" i="33" s="1"/>
  <c r="F62" i="33"/>
  <c r="I6" i="33"/>
  <c r="D60" i="33"/>
  <c r="H60" i="33" s="1"/>
  <c r="I4" i="33"/>
  <c r="G58" i="33"/>
  <c r="H58" i="33" s="1"/>
  <c r="C49" i="34"/>
  <c r="E49" i="34"/>
  <c r="H47" i="34"/>
  <c r="B51" i="34"/>
  <c r="H34" i="34"/>
  <c r="H32" i="34"/>
  <c r="H30" i="34"/>
  <c r="F49" i="34"/>
  <c r="I21" i="34"/>
  <c r="E75" i="34"/>
  <c r="F44" i="34"/>
  <c r="B25" i="34"/>
  <c r="B56" i="18" s="1"/>
  <c r="I8" i="34"/>
  <c r="C62" i="34"/>
  <c r="G62" i="34"/>
  <c r="I6" i="34"/>
  <c r="C60" i="34"/>
  <c r="G60" i="34"/>
  <c r="H60" i="34" s="1"/>
  <c r="I4" i="34"/>
  <c r="C58" i="34"/>
  <c r="G58" i="34"/>
  <c r="I21" i="40"/>
  <c r="H45" i="40"/>
  <c r="D70" i="40"/>
  <c r="F70" i="40"/>
  <c r="F67" i="40"/>
  <c r="I16" i="40"/>
  <c r="D65" i="40"/>
  <c r="F65" i="40"/>
  <c r="I14" i="40"/>
  <c r="D63" i="40"/>
  <c r="F63" i="40"/>
  <c r="F35" i="40"/>
  <c r="I9" i="40"/>
  <c r="H33" i="40"/>
  <c r="D58" i="40"/>
  <c r="F58" i="40"/>
  <c r="I7" i="40"/>
  <c r="H31" i="40"/>
  <c r="D56" i="40"/>
  <c r="F56" i="40"/>
  <c r="I5" i="40"/>
  <c r="H29" i="40"/>
  <c r="D54" i="40"/>
  <c r="F54" i="40"/>
  <c r="H40" i="42"/>
  <c r="H34" i="42"/>
  <c r="B60" i="43"/>
  <c r="B73" i="43" s="1"/>
  <c r="H40" i="43"/>
  <c r="E57" i="43"/>
  <c r="H32" i="43"/>
  <c r="B60" i="44"/>
  <c r="B73" i="44" s="1"/>
  <c r="H32" i="44"/>
  <c r="D25" i="61"/>
  <c r="F45" i="69"/>
  <c r="H45" i="69"/>
  <c r="F69" i="69"/>
  <c r="C39" i="69"/>
  <c r="E39" i="69"/>
  <c r="G39" i="69"/>
  <c r="D37" i="69"/>
  <c r="D63" i="69" s="1"/>
  <c r="F37" i="69"/>
  <c r="H37" i="69"/>
  <c r="C40" i="73"/>
  <c r="F40" i="73"/>
  <c r="D40" i="73"/>
  <c r="D30" i="73"/>
  <c r="D56" i="73" s="1"/>
  <c r="F30" i="73"/>
  <c r="F56" i="73" s="1"/>
  <c r="K10" i="55"/>
  <c r="B23" i="60"/>
  <c r="F23" i="73"/>
  <c r="D60" i="69"/>
  <c r="R10" i="17"/>
  <c r="K57" i="68"/>
  <c r="K37" i="68"/>
  <c r="C37" i="68"/>
  <c r="D37" i="68"/>
  <c r="E37" i="68"/>
  <c r="F37" i="68"/>
  <c r="F61" i="68" s="1"/>
  <c r="G37" i="68"/>
  <c r="H37" i="68"/>
  <c r="I37" i="68"/>
  <c r="J37" i="68"/>
  <c r="J61" i="68" s="1"/>
  <c r="B61" i="68"/>
  <c r="D44" i="68"/>
  <c r="H44" i="68"/>
  <c r="E33" i="71"/>
  <c r="E57" i="71" s="1"/>
  <c r="I33" i="71"/>
  <c r="I57" i="71" s="1"/>
  <c r="E31" i="71"/>
  <c r="E55" i="71" s="1"/>
  <c r="I31" i="71"/>
  <c r="I55" i="71" s="1"/>
  <c r="K39" i="71"/>
  <c r="C39" i="71"/>
  <c r="D39" i="71"/>
  <c r="F39" i="71"/>
  <c r="I39" i="71"/>
  <c r="F25" i="72"/>
  <c r="F38" i="72"/>
  <c r="G46" i="72"/>
  <c r="G73" i="72" s="1"/>
  <c r="C39" i="75"/>
  <c r="E39" i="75"/>
  <c r="G39" i="75"/>
  <c r="I39" i="75"/>
  <c r="D39" i="75"/>
  <c r="H39" i="75"/>
  <c r="B63" i="75"/>
  <c r="C32" i="75"/>
  <c r="D32" i="75"/>
  <c r="G32" i="75"/>
  <c r="H32" i="75"/>
  <c r="H56" i="75" s="1"/>
  <c r="K32" i="75"/>
  <c r="E56" i="75" s="1"/>
  <c r="F32" i="75"/>
  <c r="I32" i="75"/>
  <c r="K39" i="75"/>
  <c r="D63" i="75" s="1"/>
  <c r="C38" i="77"/>
  <c r="D38" i="77"/>
  <c r="F38" i="77"/>
  <c r="G38" i="77"/>
  <c r="D33" i="77"/>
  <c r="F33" i="77"/>
  <c r="D36" i="78"/>
  <c r="F36" i="78"/>
  <c r="H36" i="78"/>
  <c r="H62" i="78" s="1"/>
  <c r="E34" i="78"/>
  <c r="E25" i="79"/>
  <c r="C25" i="79"/>
  <c r="H37" i="86"/>
  <c r="H63" i="86" s="1"/>
  <c r="K36" i="88"/>
  <c r="J31" i="89"/>
  <c r="K31" i="89"/>
  <c r="J55" i="89" s="1"/>
  <c r="B60" i="73"/>
  <c r="C36" i="73"/>
  <c r="D36" i="73"/>
  <c r="C32" i="73"/>
  <c r="C58" i="73" s="1"/>
  <c r="F32" i="73"/>
  <c r="F58" i="73" s="1"/>
  <c r="K17" i="55"/>
  <c r="C23" i="68"/>
  <c r="F25" i="54"/>
  <c r="G59" i="18" s="1"/>
  <c r="G151" i="18" s="1"/>
  <c r="D25" i="54"/>
  <c r="B23" i="73"/>
  <c r="G25" i="59"/>
  <c r="K28" i="68"/>
  <c r="H52" i="68" s="1"/>
  <c r="B34" i="68"/>
  <c r="B47" i="68" s="1"/>
  <c r="K37" i="71"/>
  <c r="B53" i="72"/>
  <c r="C53" i="72" s="1"/>
  <c r="D36" i="75"/>
  <c r="D60" i="75" s="1"/>
  <c r="H36" i="75"/>
  <c r="H60" i="75" s="1"/>
  <c r="C30" i="75"/>
  <c r="E30" i="75"/>
  <c r="G30" i="75"/>
  <c r="I30" i="75"/>
  <c r="K30" i="75"/>
  <c r="H23" i="75"/>
  <c r="D36" i="77"/>
  <c r="H36" i="77"/>
  <c r="C62" i="77" s="1"/>
  <c r="H38" i="77"/>
  <c r="C44" i="78"/>
  <c r="E44" i="78"/>
  <c r="E70" i="78" s="1"/>
  <c r="G44" i="78"/>
  <c r="C40" i="78"/>
  <c r="D40" i="78"/>
  <c r="F40" i="78"/>
  <c r="D39" i="78"/>
  <c r="H39" i="78"/>
  <c r="H65" i="78" s="1"/>
  <c r="C30" i="78"/>
  <c r="C56" i="78" s="1"/>
  <c r="D30" i="78"/>
  <c r="D56" i="78" s="1"/>
  <c r="G30" i="78"/>
  <c r="G56" i="78" s="1"/>
  <c r="G23" i="78"/>
  <c r="E23" i="78"/>
  <c r="B23" i="78"/>
  <c r="B47" i="78" s="1"/>
  <c r="B71" i="78"/>
  <c r="D34" i="78"/>
  <c r="H41" i="79"/>
  <c r="H68" i="79" s="1"/>
  <c r="C41" i="79"/>
  <c r="C68" i="79" s="1"/>
  <c r="E41" i="79"/>
  <c r="E68" i="79" s="1"/>
  <c r="G41" i="79"/>
  <c r="G68" i="79" s="1"/>
  <c r="J33" i="83"/>
  <c r="H60" i="83" s="1"/>
  <c r="G70" i="85"/>
  <c r="K40" i="87"/>
  <c r="E64" i="87" s="1"/>
  <c r="K30" i="88"/>
  <c r="W7" i="17" s="1"/>
  <c r="K40" i="88"/>
  <c r="I64" i="88" s="1"/>
  <c r="B34" i="89"/>
  <c r="C29" i="87"/>
  <c r="C53" i="87" s="1"/>
  <c r="F29" i="87"/>
  <c r="F53" i="87" s="1"/>
  <c r="J29" i="87"/>
  <c r="J53" i="87" s="1"/>
  <c r="D29" i="87"/>
  <c r="D53" i="87" s="1"/>
  <c r="C28" i="87"/>
  <c r="C52" i="87" s="1"/>
  <c r="F28" i="87"/>
  <c r="F52" i="87" s="1"/>
  <c r="H28" i="87"/>
  <c r="H52" i="87" s="1"/>
  <c r="J28" i="87"/>
  <c r="J52" i="87" s="1"/>
  <c r="E28" i="87"/>
  <c r="E52" i="87" s="1"/>
  <c r="I28" i="87"/>
  <c r="I52" i="87" s="1"/>
  <c r="H38" i="93"/>
  <c r="H28" i="97"/>
  <c r="K28" i="97"/>
  <c r="I52" i="97" s="1"/>
  <c r="D38" i="97"/>
  <c r="D62" i="97" s="1"/>
  <c r="H38" i="97"/>
  <c r="H62" i="97" s="1"/>
  <c r="C44" i="87"/>
  <c r="C68" i="87" s="1"/>
  <c r="F44" i="87"/>
  <c r="F68" i="87"/>
  <c r="J44" i="87"/>
  <c r="J68" i="87" s="1"/>
  <c r="C37" i="87"/>
  <c r="C61" i="87" s="1"/>
  <c r="F37" i="87"/>
  <c r="F61" i="87" s="1"/>
  <c r="I37" i="87"/>
  <c r="I61" i="87" s="1"/>
  <c r="C30" i="87"/>
  <c r="E30" i="87"/>
  <c r="G30" i="87"/>
  <c r="I30" i="87"/>
  <c r="C32" i="95"/>
  <c r="G32" i="95"/>
  <c r="C38" i="95"/>
  <c r="C64" i="95" s="1"/>
  <c r="G38" i="95"/>
  <c r="G64" i="95" s="1"/>
  <c r="K36" i="97"/>
  <c r="I6" i="109"/>
  <c r="AC7" i="2" s="1"/>
  <c r="H41" i="109"/>
  <c r="E68" i="109" s="1"/>
  <c r="I15" i="109"/>
  <c r="AC15" i="2" s="1"/>
  <c r="H44" i="109"/>
  <c r="H45" i="109"/>
  <c r="G72" i="109" s="1"/>
  <c r="H50" i="109"/>
  <c r="B38" i="109"/>
  <c r="C33" i="109"/>
  <c r="G33" i="109"/>
  <c r="E35" i="109"/>
  <c r="C37" i="109"/>
  <c r="C64" i="109" s="1"/>
  <c r="G37" i="109"/>
  <c r="C41" i="109"/>
  <c r="C68" i="109" s="1"/>
  <c r="G41" i="109"/>
  <c r="G68" i="109" s="1"/>
  <c r="C44" i="109"/>
  <c r="G44" i="109"/>
  <c r="G71" i="109" s="1"/>
  <c r="D45" i="109"/>
  <c r="B51" i="109"/>
  <c r="C51" i="109" s="1"/>
  <c r="C50" i="109"/>
  <c r="G50" i="109"/>
  <c r="K63" i="110"/>
  <c r="AC16" i="17"/>
  <c r="X18" i="16"/>
  <c r="AI18" i="16" s="1"/>
  <c r="B25" i="109"/>
  <c r="X24" i="16" s="1"/>
  <c r="AI24" i="16" s="1"/>
  <c r="X22" i="16"/>
  <c r="AI22" i="16" s="1"/>
  <c r="E33" i="109"/>
  <c r="E37" i="109"/>
  <c r="E64" i="109" s="1"/>
  <c r="E44" i="109"/>
  <c r="E50" i="109"/>
  <c r="E77" i="109" s="1"/>
  <c r="K53" i="110"/>
  <c r="AC6" i="17"/>
  <c r="K55" i="110"/>
  <c r="AC8" i="17"/>
  <c r="E29" i="110"/>
  <c r="E53" i="110" s="1"/>
  <c r="I29" i="110"/>
  <c r="E30" i="110"/>
  <c r="I30" i="110"/>
  <c r="C55" i="110"/>
  <c r="G55" i="110"/>
  <c r="E33" i="110"/>
  <c r="I33" i="110"/>
  <c r="E36" i="110"/>
  <c r="E60" i="110" s="1"/>
  <c r="I36" i="110"/>
  <c r="E39" i="110"/>
  <c r="E63" i="110" s="1"/>
  <c r="I39" i="110"/>
  <c r="I63" i="110" s="1"/>
  <c r="E40" i="110"/>
  <c r="I40" i="110"/>
  <c r="B60" i="110"/>
  <c r="B64" i="110"/>
  <c r="E28" i="111"/>
  <c r="E32" i="111"/>
  <c r="E38" i="111"/>
  <c r="AC13" i="17"/>
  <c r="AC15" i="17"/>
  <c r="C23" i="110"/>
  <c r="B34" i="110"/>
  <c r="G34" i="110" s="1"/>
  <c r="E28" i="110"/>
  <c r="I28" i="110"/>
  <c r="C29" i="110"/>
  <c r="C53" i="110" s="1"/>
  <c r="G29" i="110"/>
  <c r="G53" i="110" s="1"/>
  <c r="C30" i="110"/>
  <c r="G30" i="110"/>
  <c r="E31" i="110"/>
  <c r="E55" i="110" s="1"/>
  <c r="I31" i="110"/>
  <c r="E32" i="110"/>
  <c r="I32" i="110"/>
  <c r="C33" i="110"/>
  <c r="G33" i="110"/>
  <c r="C36" i="110"/>
  <c r="C60" i="110" s="1"/>
  <c r="G36" i="110"/>
  <c r="E37" i="110"/>
  <c r="I37" i="110"/>
  <c r="E38" i="110"/>
  <c r="E62" i="110" s="1"/>
  <c r="I38" i="110"/>
  <c r="I62" i="110" s="1"/>
  <c r="C39" i="110"/>
  <c r="C63" i="110" s="1"/>
  <c r="G39" i="110"/>
  <c r="G63" i="110"/>
  <c r="C40" i="110"/>
  <c r="G40" i="110"/>
  <c r="E43" i="110"/>
  <c r="I43" i="110"/>
  <c r="E44" i="110"/>
  <c r="I44" i="110"/>
  <c r="B62" i="110"/>
  <c r="B67" i="110"/>
  <c r="B69" i="110" s="1"/>
  <c r="C28" i="111"/>
  <c r="G28" i="111"/>
  <c r="E30" i="111"/>
  <c r="C32" i="111"/>
  <c r="C58" i="111" s="1"/>
  <c r="G32" i="111"/>
  <c r="G58" i="111" s="1"/>
  <c r="E36" i="111"/>
  <c r="C38" i="111"/>
  <c r="C64" i="111" s="1"/>
  <c r="G38" i="111"/>
  <c r="G64" i="111" s="1"/>
  <c r="E40" i="111"/>
  <c r="E66" i="111" s="1"/>
  <c r="E43" i="111"/>
  <c r="B60" i="111"/>
  <c r="I100" i="18"/>
  <c r="D154" i="18"/>
  <c r="C62" i="18"/>
  <c r="D34" i="111"/>
  <c r="F34" i="111"/>
  <c r="F58" i="111"/>
  <c r="C34" i="111"/>
  <c r="G57" i="111"/>
  <c r="E34" i="111"/>
  <c r="G34" i="111"/>
  <c r="B71" i="111"/>
  <c r="B73" i="111" s="1"/>
  <c r="B45" i="111"/>
  <c r="C45" i="111" s="1"/>
  <c r="H21" i="111"/>
  <c r="H45" i="111" s="1"/>
  <c r="C23" i="111"/>
  <c r="E23" i="111"/>
  <c r="G23" i="111"/>
  <c r="D29" i="111"/>
  <c r="F29" i="111"/>
  <c r="D31" i="111"/>
  <c r="D57" i="111" s="1"/>
  <c r="F31" i="111"/>
  <c r="F57" i="111" s="1"/>
  <c r="E58" i="111"/>
  <c r="D33" i="111"/>
  <c r="F33" i="111"/>
  <c r="F62" i="111"/>
  <c r="E62" i="111"/>
  <c r="G37" i="111"/>
  <c r="E37" i="111"/>
  <c r="C37" i="111"/>
  <c r="F37" i="111"/>
  <c r="F64" i="111"/>
  <c r="G39" i="111"/>
  <c r="G65" i="111" s="1"/>
  <c r="E39" i="111"/>
  <c r="E65" i="111" s="1"/>
  <c r="C39" i="111"/>
  <c r="C65" i="111" s="1"/>
  <c r="F39" i="111"/>
  <c r="F65" i="111" s="1"/>
  <c r="F66" i="111"/>
  <c r="B41" i="111"/>
  <c r="D41" i="111" s="1"/>
  <c r="G44" i="111"/>
  <c r="G70" i="111" s="1"/>
  <c r="E44" i="111"/>
  <c r="C44" i="111"/>
  <c r="F44" i="111"/>
  <c r="F70" i="111" s="1"/>
  <c r="H10" i="111"/>
  <c r="H34" i="111" s="1"/>
  <c r="H17" i="111"/>
  <c r="B23" i="111"/>
  <c r="B47" i="111" s="1"/>
  <c r="D23" i="111"/>
  <c r="F23" i="111"/>
  <c r="D28" i="111"/>
  <c r="C29" i="111"/>
  <c r="E29" i="111"/>
  <c r="D30" i="111"/>
  <c r="C31" i="111"/>
  <c r="C57" i="111" s="1"/>
  <c r="E31" i="111"/>
  <c r="E57" i="111" s="1"/>
  <c r="D32" i="111"/>
  <c r="D58" i="111" s="1"/>
  <c r="C33" i="111"/>
  <c r="E33" i="111"/>
  <c r="C62" i="111"/>
  <c r="G62" i="111"/>
  <c r="D37" i="111"/>
  <c r="D39" i="111"/>
  <c r="D65" i="111" s="1"/>
  <c r="G66" i="111"/>
  <c r="D44" i="111"/>
  <c r="D70" i="111" s="1"/>
  <c r="D36" i="111"/>
  <c r="D62" i="111" s="1"/>
  <c r="D38" i="111"/>
  <c r="D40" i="111"/>
  <c r="D66" i="111" s="1"/>
  <c r="D43" i="111"/>
  <c r="B23" i="110"/>
  <c r="K28" i="110"/>
  <c r="I60" i="110"/>
  <c r="J62" i="110"/>
  <c r="K17" i="110"/>
  <c r="K21" i="110"/>
  <c r="E23" i="110"/>
  <c r="I23" i="110"/>
  <c r="J53" i="110"/>
  <c r="I53" i="110"/>
  <c r="J55" i="110"/>
  <c r="I55" i="110"/>
  <c r="C34" i="110"/>
  <c r="G60" i="110"/>
  <c r="C62" i="110"/>
  <c r="G62" i="110"/>
  <c r="D23" i="110"/>
  <c r="F23" i="110"/>
  <c r="H23" i="110"/>
  <c r="J23" i="110"/>
  <c r="D28" i="110"/>
  <c r="D52" i="110" s="1"/>
  <c r="F28" i="110"/>
  <c r="H28" i="110"/>
  <c r="J28" i="110"/>
  <c r="D29" i="110"/>
  <c r="D53" i="110" s="1"/>
  <c r="F29" i="110"/>
  <c r="F53" i="110" s="1"/>
  <c r="H29" i="110"/>
  <c r="H53" i="110" s="1"/>
  <c r="D30" i="110"/>
  <c r="F30" i="110"/>
  <c r="H30" i="110"/>
  <c r="D31" i="110"/>
  <c r="D55" i="110" s="1"/>
  <c r="F31" i="110"/>
  <c r="F55" i="110" s="1"/>
  <c r="H31" i="110"/>
  <c r="H55" i="110" s="1"/>
  <c r="D32" i="110"/>
  <c r="F32" i="110"/>
  <c r="H32" i="110"/>
  <c r="D33" i="110"/>
  <c r="F33" i="110"/>
  <c r="H33" i="110"/>
  <c r="D36" i="110"/>
  <c r="D60" i="110" s="1"/>
  <c r="F36" i="110"/>
  <c r="F60" i="110" s="1"/>
  <c r="H36" i="110"/>
  <c r="H60" i="110" s="1"/>
  <c r="J36" i="110"/>
  <c r="J60" i="110" s="1"/>
  <c r="D37" i="110"/>
  <c r="F37" i="110"/>
  <c r="H37" i="110"/>
  <c r="J37" i="110"/>
  <c r="D38" i="110"/>
  <c r="D62" i="110" s="1"/>
  <c r="F38" i="110"/>
  <c r="F62" i="110" s="1"/>
  <c r="H38" i="110"/>
  <c r="H62" i="110" s="1"/>
  <c r="D39" i="110"/>
  <c r="D63" i="110" s="1"/>
  <c r="F39" i="110"/>
  <c r="F63" i="110" s="1"/>
  <c r="H39" i="110"/>
  <c r="H63" i="110" s="1"/>
  <c r="J39" i="110"/>
  <c r="J63" i="110" s="1"/>
  <c r="D40" i="110"/>
  <c r="F40" i="110"/>
  <c r="H40" i="110"/>
  <c r="D43" i="110"/>
  <c r="F43" i="110"/>
  <c r="H43" i="110"/>
  <c r="J43" i="110"/>
  <c r="J67" i="110" s="1"/>
  <c r="D44" i="110"/>
  <c r="F44" i="110"/>
  <c r="H44" i="110"/>
  <c r="J44" i="110"/>
  <c r="I5" i="109"/>
  <c r="AC6" i="2" s="1"/>
  <c r="I7" i="109"/>
  <c r="AC8" i="2" s="1"/>
  <c r="I9" i="109"/>
  <c r="AC10" i="2" s="1"/>
  <c r="I14" i="109"/>
  <c r="AC14" i="2" s="1"/>
  <c r="I16" i="109"/>
  <c r="AC16" i="2" s="1"/>
  <c r="H18" i="109"/>
  <c r="I21" i="109"/>
  <c r="AC20" i="2" s="1"/>
  <c r="H23" i="109"/>
  <c r="C25" i="109"/>
  <c r="E25" i="109"/>
  <c r="X8" i="3" s="1"/>
  <c r="G25" i="109"/>
  <c r="X10" i="3" s="1"/>
  <c r="C32" i="109"/>
  <c r="E32" i="109"/>
  <c r="G32" i="109"/>
  <c r="D33" i="109"/>
  <c r="F33" i="109"/>
  <c r="C34" i="109"/>
  <c r="C61" i="109" s="1"/>
  <c r="E34" i="109"/>
  <c r="E61" i="109" s="1"/>
  <c r="G34" i="109"/>
  <c r="G61" i="109"/>
  <c r="D35" i="109"/>
  <c r="F35" i="109"/>
  <c r="C36" i="109"/>
  <c r="C63" i="109" s="1"/>
  <c r="E36" i="109"/>
  <c r="E63" i="109" s="1"/>
  <c r="G36" i="109"/>
  <c r="G63" i="109" s="1"/>
  <c r="D37" i="109"/>
  <c r="D64" i="109" s="1"/>
  <c r="F37" i="109"/>
  <c r="F64" i="109" s="1"/>
  <c r="B46" i="109"/>
  <c r="D41" i="109"/>
  <c r="F41" i="109"/>
  <c r="F68" i="109" s="1"/>
  <c r="C42" i="109"/>
  <c r="E42" i="109"/>
  <c r="G42" i="109"/>
  <c r="G43" i="109"/>
  <c r="E43" i="109"/>
  <c r="E70" i="109" s="1"/>
  <c r="C43" i="109"/>
  <c r="C70" i="109" s="1"/>
  <c r="F43" i="109"/>
  <c r="G45" i="109"/>
  <c r="E45" i="109"/>
  <c r="E72" i="109" s="1"/>
  <c r="C45" i="109"/>
  <c r="C72" i="109" s="1"/>
  <c r="F45" i="109"/>
  <c r="H10" i="109"/>
  <c r="D25" i="109"/>
  <c r="F25" i="109"/>
  <c r="X9" i="3" s="1"/>
  <c r="D32" i="109"/>
  <c r="F32" i="109"/>
  <c r="D34" i="109"/>
  <c r="D61" i="109" s="1"/>
  <c r="F34" i="109"/>
  <c r="F61" i="109" s="1"/>
  <c r="D36" i="109"/>
  <c r="D63" i="109" s="1"/>
  <c r="F36" i="109"/>
  <c r="F63" i="109" s="1"/>
  <c r="G64" i="109"/>
  <c r="D42" i="109"/>
  <c r="F42" i="109"/>
  <c r="D70" i="109"/>
  <c r="D44" i="109"/>
  <c r="D71" i="109" s="1"/>
  <c r="F44" i="109"/>
  <c r="C49" i="109"/>
  <c r="C76" i="109" s="1"/>
  <c r="E49" i="109"/>
  <c r="E76" i="109" s="1"/>
  <c r="G49" i="109"/>
  <c r="G76" i="109" s="1"/>
  <c r="D50" i="109"/>
  <c r="D77" i="109"/>
  <c r="F50" i="109"/>
  <c r="D49" i="109"/>
  <c r="D76" i="109" s="1"/>
  <c r="F49" i="109"/>
  <c r="F76" i="109" s="1"/>
  <c r="J64" i="87"/>
  <c r="D64" i="87"/>
  <c r="J64" i="88"/>
  <c r="G64" i="88"/>
  <c r="H60" i="88"/>
  <c r="E60" i="88"/>
  <c r="E59" i="86"/>
  <c r="D65" i="85"/>
  <c r="F72" i="4"/>
  <c r="D72" i="4"/>
  <c r="F64" i="88"/>
  <c r="E57" i="85"/>
  <c r="I58" i="98"/>
  <c r="C58" i="98"/>
  <c r="F41" i="21"/>
  <c r="K33" i="47"/>
  <c r="N10" i="17" s="1"/>
  <c r="D55" i="86"/>
  <c r="F52" i="97"/>
  <c r="I60" i="98"/>
  <c r="E73" i="77"/>
  <c r="I62" i="98"/>
  <c r="K62" i="98"/>
  <c r="D53" i="98"/>
  <c r="I53" i="98"/>
  <c r="G53" i="98"/>
  <c r="E53" i="98"/>
  <c r="C53" i="98"/>
  <c r="F53" i="98"/>
  <c r="J53" i="98"/>
  <c r="Y6" i="17"/>
  <c r="K53" i="98"/>
  <c r="X16" i="17"/>
  <c r="K63" i="89"/>
  <c r="W8" i="17"/>
  <c r="J55" i="88"/>
  <c r="K55" i="88"/>
  <c r="H58" i="84"/>
  <c r="G58" i="84"/>
  <c r="D58" i="84"/>
  <c r="F58" i="84"/>
  <c r="F58" i="78"/>
  <c r="F66" i="77"/>
  <c r="S20" i="2"/>
  <c r="C76" i="72"/>
  <c r="G76" i="72"/>
  <c r="D76" i="72"/>
  <c r="H76" i="72"/>
  <c r="D58" i="73"/>
  <c r="F76" i="72"/>
  <c r="D64" i="44"/>
  <c r="G64" i="44"/>
  <c r="C64" i="44"/>
  <c r="D52" i="18"/>
  <c r="I64" i="75"/>
  <c r="T17" i="17"/>
  <c r="C64" i="75"/>
  <c r="H64" i="75"/>
  <c r="J64" i="75"/>
  <c r="K64" i="75"/>
  <c r="B62" i="18"/>
  <c r="B112" i="18" s="1"/>
  <c r="B47" i="69"/>
  <c r="H47" i="69" s="1"/>
  <c r="E76" i="72"/>
  <c r="E60" i="69"/>
  <c r="G64" i="42"/>
  <c r="C64" i="42"/>
  <c r="D64" i="42"/>
  <c r="F64" i="42"/>
  <c r="E64" i="42"/>
  <c r="F60" i="13"/>
  <c r="D6" i="2"/>
  <c r="D16" i="2"/>
  <c r="D53" i="5"/>
  <c r="H38" i="4"/>
  <c r="M11" i="2" s="1"/>
  <c r="G38" i="4"/>
  <c r="C38" i="4"/>
  <c r="G64" i="75"/>
  <c r="H57" i="89"/>
  <c r="J63" i="89"/>
  <c r="I55" i="88"/>
  <c r="H55" i="88"/>
  <c r="C71" i="84"/>
  <c r="G71" i="84"/>
  <c r="G61" i="14"/>
  <c r="C60" i="13"/>
  <c r="E62" i="98"/>
  <c r="D64" i="75"/>
  <c r="D63" i="89"/>
  <c r="C55" i="88"/>
  <c r="F55" i="88"/>
  <c r="E60" i="13"/>
  <c r="E64" i="98"/>
  <c r="I57" i="89"/>
  <c r="I63" i="89"/>
  <c r="E58" i="84"/>
  <c r="C55" i="97"/>
  <c r="G70" i="93"/>
  <c r="G67" i="93"/>
  <c r="D71" i="13"/>
  <c r="G57" i="89"/>
  <c r="G63" i="89"/>
  <c r="C58" i="84"/>
  <c r="D63" i="77"/>
  <c r="D70" i="93"/>
  <c r="H52" i="110"/>
  <c r="E71" i="109"/>
  <c r="D51" i="109"/>
  <c r="C77" i="109"/>
  <c r="C71" i="109"/>
  <c r="H52" i="97"/>
  <c r="H63" i="40"/>
  <c r="G52" i="88"/>
  <c r="F59" i="86"/>
  <c r="E57" i="86"/>
  <c r="F57" i="86"/>
  <c r="G69" i="85"/>
  <c r="C69" i="85"/>
  <c r="F57" i="85"/>
  <c r="J56" i="75"/>
  <c r="H62" i="40"/>
  <c r="H69" i="48"/>
  <c r="H31" i="59"/>
  <c r="K36" i="60"/>
  <c r="P13" i="17" s="1"/>
  <c r="D64" i="88"/>
  <c r="C57" i="85"/>
  <c r="C65" i="85"/>
  <c r="C68" i="67"/>
  <c r="G70" i="67"/>
  <c r="D70" i="67"/>
  <c r="E60" i="67"/>
  <c r="D60" i="67"/>
  <c r="C60" i="67"/>
  <c r="C56" i="44"/>
  <c r="H39" i="59"/>
  <c r="H47" i="59"/>
  <c r="G55" i="86"/>
  <c r="K34" i="32"/>
  <c r="B11" i="17" s="1"/>
  <c r="H77" i="59"/>
  <c r="J69" i="68"/>
  <c r="I69" i="68"/>
  <c r="G62" i="78"/>
  <c r="J52" i="97"/>
  <c r="H61" i="33"/>
  <c r="H77" i="48"/>
  <c r="H66" i="42"/>
  <c r="H55" i="40"/>
  <c r="H57" i="40"/>
  <c r="E72" i="4"/>
  <c r="D77" i="4"/>
  <c r="G76" i="56"/>
  <c r="E62" i="78"/>
  <c r="D71" i="106"/>
  <c r="F73" i="77"/>
  <c r="C64" i="98"/>
  <c r="I64" i="98"/>
  <c r="J64" i="98"/>
  <c r="Z15" i="17"/>
  <c r="I62" i="97"/>
  <c r="G62" i="97"/>
  <c r="C62" i="97"/>
  <c r="F62" i="97"/>
  <c r="J62" i="97"/>
  <c r="K62" i="97"/>
  <c r="H66" i="77"/>
  <c r="D66" i="77"/>
  <c r="E47" i="106"/>
  <c r="E73" i="106" s="1"/>
  <c r="D55" i="98"/>
  <c r="K55" i="98"/>
  <c r="K41" i="96"/>
  <c r="K23" i="96"/>
  <c r="K47" i="96" s="1"/>
  <c r="K71" i="96" s="1"/>
  <c r="H66" i="93"/>
  <c r="E66" i="93"/>
  <c r="F66" i="93"/>
  <c r="G66" i="93"/>
  <c r="H63" i="85"/>
  <c r="G63" i="85"/>
  <c r="C63" i="85"/>
  <c r="E63" i="85"/>
  <c r="D54" i="84"/>
  <c r="F54" i="84"/>
  <c r="E58" i="78"/>
  <c r="H55" i="77"/>
  <c r="G55" i="77"/>
  <c r="E55" i="77"/>
  <c r="S9" i="2"/>
  <c r="E63" i="72"/>
  <c r="C63" i="72"/>
  <c r="H58" i="60"/>
  <c r="D58" i="60"/>
  <c r="E58" i="60"/>
  <c r="I58" i="60"/>
  <c r="C58" i="60"/>
  <c r="G58" i="60"/>
  <c r="K58" i="60"/>
  <c r="B46" i="18"/>
  <c r="F62" i="44"/>
  <c r="E62" i="44"/>
  <c r="D70" i="42"/>
  <c r="H70" i="42" s="1"/>
  <c r="C70" i="42"/>
  <c r="G70" i="42"/>
  <c r="E70" i="42"/>
  <c r="F70" i="42"/>
  <c r="F42" i="44"/>
  <c r="G42" i="44"/>
  <c r="E42" i="44"/>
  <c r="E67" i="44" s="1"/>
  <c r="C42" i="44"/>
  <c r="H42" i="44"/>
  <c r="D67" i="44" s="1"/>
  <c r="G71" i="14"/>
  <c r="H51" i="61"/>
  <c r="P22" i="2" s="1"/>
  <c r="D57" i="89"/>
  <c r="F63" i="89"/>
  <c r="E55" i="88"/>
  <c r="D55" i="88"/>
  <c r="D63" i="85"/>
  <c r="G60" i="13"/>
  <c r="F62" i="98"/>
  <c r="E51" i="61"/>
  <c r="E78" i="61" s="1"/>
  <c r="C51" i="61"/>
  <c r="G51" i="61"/>
  <c r="F64" i="75"/>
  <c r="E64" i="75"/>
  <c r="F57" i="89"/>
  <c r="H63" i="89"/>
  <c r="G55" i="88"/>
  <c r="F63" i="85"/>
  <c r="F64" i="98"/>
  <c r="E57" i="89"/>
  <c r="E63" i="89"/>
  <c r="E54" i="84"/>
  <c r="E66" i="77"/>
  <c r="J55" i="97"/>
  <c r="H67" i="93"/>
  <c r="E67" i="93"/>
  <c r="D66" i="93"/>
  <c r="F67" i="93"/>
  <c r="G47" i="106"/>
  <c r="I65" i="96"/>
  <c r="G64" i="15"/>
  <c r="G58" i="73"/>
  <c r="I55" i="97"/>
  <c r="C57" i="89"/>
  <c r="C63" i="89"/>
  <c r="C54" i="84"/>
  <c r="C64" i="56"/>
  <c r="C66" i="77"/>
  <c r="E55" i="97"/>
  <c r="E64" i="15"/>
  <c r="E58" i="73"/>
  <c r="G73" i="93"/>
  <c r="E51" i="109"/>
  <c r="G77" i="109"/>
  <c r="F72" i="109"/>
  <c r="D72" i="109"/>
  <c r="F38" i="109"/>
  <c r="H34" i="110"/>
  <c r="I34" i="110"/>
  <c r="D34" i="110"/>
  <c r="X7" i="3"/>
  <c r="X6" i="3"/>
  <c r="K52" i="110"/>
  <c r="AC5" i="17"/>
  <c r="E38" i="109"/>
  <c r="Z13" i="17"/>
  <c r="D60" i="97"/>
  <c r="K60" i="97"/>
  <c r="H60" i="97"/>
  <c r="J34" i="89"/>
  <c r="J58" i="89" s="1"/>
  <c r="F34" i="89"/>
  <c r="E34" i="89"/>
  <c r="I34" i="89"/>
  <c r="D34" i="89"/>
  <c r="G34" i="89"/>
  <c r="C34" i="89"/>
  <c r="H34" i="89"/>
  <c r="K54" i="88"/>
  <c r="H64" i="77"/>
  <c r="E64" i="77"/>
  <c r="K54" i="75"/>
  <c r="T7" i="17"/>
  <c r="J54" i="75"/>
  <c r="F54" i="75"/>
  <c r="H54" i="75"/>
  <c r="D54" i="75"/>
  <c r="G54" i="75"/>
  <c r="C54" i="75"/>
  <c r="H61" i="71"/>
  <c r="S14" i="17"/>
  <c r="J61" i="71"/>
  <c r="K61" i="71"/>
  <c r="I61" i="71"/>
  <c r="D52" i="68"/>
  <c r="I52" i="68"/>
  <c r="K52" i="68"/>
  <c r="R5" i="17"/>
  <c r="E59" i="18"/>
  <c r="E151" i="18" s="1"/>
  <c r="D20" i="18"/>
  <c r="C66" i="55"/>
  <c r="G66" i="55"/>
  <c r="K66" i="55"/>
  <c r="I66" i="55"/>
  <c r="D66" i="55"/>
  <c r="H66" i="55"/>
  <c r="J66" i="55"/>
  <c r="E66" i="55"/>
  <c r="F66" i="55"/>
  <c r="T8" i="3"/>
  <c r="G64" i="77"/>
  <c r="D64" i="77"/>
  <c r="K63" i="75"/>
  <c r="G63" i="75"/>
  <c r="C63" i="75"/>
  <c r="K63" i="71"/>
  <c r="S16" i="17"/>
  <c r="H63" i="71"/>
  <c r="R14" i="17"/>
  <c r="K61" i="68"/>
  <c r="G63" i="18"/>
  <c r="C58" i="55"/>
  <c r="E58" i="55"/>
  <c r="G58" i="55"/>
  <c r="I58" i="55"/>
  <c r="K58" i="55"/>
  <c r="J58" i="55"/>
  <c r="H71" i="69"/>
  <c r="D71" i="69"/>
  <c r="E71" i="69"/>
  <c r="P7" i="3"/>
  <c r="F65" i="42"/>
  <c r="C65" i="42"/>
  <c r="E65" i="42"/>
  <c r="D65" i="42"/>
  <c r="H57" i="18"/>
  <c r="D44" i="33"/>
  <c r="E44" i="33"/>
  <c r="C44" i="33"/>
  <c r="H32" i="54"/>
  <c r="J66" i="31"/>
  <c r="G66" i="31"/>
  <c r="E66" i="31"/>
  <c r="C66" i="30"/>
  <c r="G66" i="30"/>
  <c r="K66" i="30"/>
  <c r="I66" i="30"/>
  <c r="E66" i="30"/>
  <c r="L17" i="30"/>
  <c r="J66" i="30"/>
  <c r="H54" i="93"/>
  <c r="C54" i="93"/>
  <c r="G54" i="93"/>
  <c r="E54" i="93"/>
  <c r="D54" i="93"/>
  <c r="F41" i="87"/>
  <c r="I41" i="87"/>
  <c r="C41" i="87"/>
  <c r="J41" i="87"/>
  <c r="J65" i="87" s="1"/>
  <c r="E41" i="87"/>
  <c r="D41" i="87"/>
  <c r="B47" i="87"/>
  <c r="G41" i="87"/>
  <c r="G65" i="87" s="1"/>
  <c r="H41" i="87"/>
  <c r="K34" i="89"/>
  <c r="J45" i="88"/>
  <c r="F45" i="88"/>
  <c r="F69" i="88" s="1"/>
  <c r="C45" i="88"/>
  <c r="H45" i="88"/>
  <c r="I45" i="88"/>
  <c r="E45" i="88"/>
  <c r="G45" i="88"/>
  <c r="D45" i="88"/>
  <c r="K56" i="88"/>
  <c r="W9" i="17"/>
  <c r="C34" i="88"/>
  <c r="D34" i="88"/>
  <c r="F34" i="88"/>
  <c r="C63" i="86"/>
  <c r="D63" i="86"/>
  <c r="H41" i="85"/>
  <c r="H23" i="85"/>
  <c r="H47" i="85" s="1"/>
  <c r="F73" i="85" s="1"/>
  <c r="I62" i="83"/>
  <c r="G62" i="83"/>
  <c r="H62" i="83"/>
  <c r="D62" i="83"/>
  <c r="V8" i="2"/>
  <c r="F62" i="83"/>
  <c r="E62" i="83"/>
  <c r="C62" i="83"/>
  <c r="G59" i="83"/>
  <c r="I59" i="83"/>
  <c r="C59" i="83"/>
  <c r="F59" i="83"/>
  <c r="D59" i="83"/>
  <c r="V5" i="2"/>
  <c r="E59" i="83"/>
  <c r="I69" i="79"/>
  <c r="D69" i="79"/>
  <c r="T14" i="2"/>
  <c r="F69" i="79"/>
  <c r="T6" i="2"/>
  <c r="I60" i="79"/>
  <c r="D60" i="79"/>
  <c r="I18" i="42"/>
  <c r="H42" i="42"/>
  <c r="F42" i="42"/>
  <c r="D42" i="42"/>
  <c r="E42" i="42"/>
  <c r="C42" i="42"/>
  <c r="C67" i="42" s="1"/>
  <c r="G42" i="42"/>
  <c r="G67" i="42" s="1"/>
  <c r="F58" i="18"/>
  <c r="D58" i="18"/>
  <c r="H32" i="48"/>
  <c r="H43" i="48"/>
  <c r="H71" i="59"/>
  <c r="C41" i="30"/>
  <c r="E41" i="30"/>
  <c r="K40" i="30"/>
  <c r="D17" i="17" s="1"/>
  <c r="C8" i="2"/>
  <c r="D68" i="13"/>
  <c r="D13" i="2"/>
  <c r="E68" i="13"/>
  <c r="F68" i="49"/>
  <c r="N13" i="2"/>
  <c r="C68" i="49"/>
  <c r="G68" i="49"/>
  <c r="N15" i="2"/>
  <c r="E70" i="49"/>
  <c r="N17" i="2"/>
  <c r="O7" i="3"/>
  <c r="I10" i="61"/>
  <c r="H38" i="61"/>
  <c r="E65" i="61" s="1"/>
  <c r="J19" i="3"/>
  <c r="J25" i="3"/>
  <c r="J21" i="3"/>
  <c r="J22" i="3"/>
  <c r="E65" i="78"/>
  <c r="I78" i="83"/>
  <c r="V22" i="2"/>
  <c r="F78" i="83"/>
  <c r="I56" i="88"/>
  <c r="C62" i="72"/>
  <c r="G62" i="72"/>
  <c r="E62" i="72"/>
  <c r="D62" i="72"/>
  <c r="H62" i="72"/>
  <c r="S8" i="2"/>
  <c r="F62" i="72"/>
  <c r="F78" i="72"/>
  <c r="H78" i="72"/>
  <c r="G78" i="72"/>
  <c r="D78" i="72"/>
  <c r="S22" i="2"/>
  <c r="E46" i="67"/>
  <c r="E73" i="67" s="1"/>
  <c r="F46" i="67"/>
  <c r="D46" i="67"/>
  <c r="C46" i="67"/>
  <c r="C73" i="67" s="1"/>
  <c r="H46" i="67"/>
  <c r="G46" i="67"/>
  <c r="R10" i="2"/>
  <c r="H64" i="67"/>
  <c r="D60" i="18"/>
  <c r="D152" i="18" s="1"/>
  <c r="D35" i="44"/>
  <c r="B48" i="44"/>
  <c r="G35" i="44"/>
  <c r="F35" i="44"/>
  <c r="E48" i="18"/>
  <c r="H31" i="48"/>
  <c r="H61" i="59"/>
  <c r="C24" i="16"/>
  <c r="B5" i="18"/>
  <c r="E5" i="18"/>
  <c r="E34" i="31"/>
  <c r="I34" i="31"/>
  <c r="B47" i="31"/>
  <c r="D47" i="31" s="1"/>
  <c r="J34" i="31"/>
  <c r="F34" i="31"/>
  <c r="D34" i="31"/>
  <c r="C34" i="31"/>
  <c r="H34" i="31"/>
  <c r="G34" i="31"/>
  <c r="I41" i="31"/>
  <c r="E41" i="31"/>
  <c r="J41" i="31"/>
  <c r="D41" i="31"/>
  <c r="G41" i="31"/>
  <c r="C41" i="31"/>
  <c r="F41" i="31"/>
  <c r="H41" i="31"/>
  <c r="E147" i="22"/>
  <c r="I147" i="22"/>
  <c r="C147" i="22"/>
  <c r="K23" i="22"/>
  <c r="I58" i="22"/>
  <c r="E58" i="22"/>
  <c r="L10" i="22"/>
  <c r="K58" i="22"/>
  <c r="G58" i="22"/>
  <c r="C58" i="22"/>
  <c r="F58" i="22"/>
  <c r="G147" i="22"/>
  <c r="F147" i="22"/>
  <c r="B14" i="18"/>
  <c r="J106" i="18" s="1"/>
  <c r="D58" i="22"/>
  <c r="G14" i="18"/>
  <c r="H58" i="22"/>
  <c r="C71" i="22"/>
  <c r="K71" i="22"/>
  <c r="G160" i="22"/>
  <c r="G71" i="22"/>
  <c r="D160" i="22"/>
  <c r="L21" i="22"/>
  <c r="J71" i="22"/>
  <c r="I71" i="22"/>
  <c r="F71" i="22"/>
  <c r="K33" i="22"/>
  <c r="L10" i="17" s="1"/>
  <c r="K29" i="60"/>
  <c r="P6" i="17" s="1"/>
  <c r="F63" i="15"/>
  <c r="C9" i="3"/>
  <c r="H25" i="9"/>
  <c r="I19" i="9"/>
  <c r="M7" i="2"/>
  <c r="F61" i="4"/>
  <c r="D61" i="4"/>
  <c r="M9" i="2"/>
  <c r="D63" i="4"/>
  <c r="C63" i="4"/>
  <c r="E63" i="4"/>
  <c r="H63" i="4" s="1"/>
  <c r="G63" i="4"/>
  <c r="I23" i="4"/>
  <c r="H51" i="4"/>
  <c r="M22" i="2" s="1"/>
  <c r="N9" i="3"/>
  <c r="G38" i="49"/>
  <c r="C38" i="49"/>
  <c r="E38" i="49"/>
  <c r="N8" i="2"/>
  <c r="F62" i="49"/>
  <c r="G62" i="49"/>
  <c r="C62" i="49"/>
  <c r="E68" i="49"/>
  <c r="O9" i="3"/>
  <c r="C51" i="56"/>
  <c r="G51" i="56"/>
  <c r="F51" i="56"/>
  <c r="I25" i="3"/>
  <c r="I18" i="3"/>
  <c r="I22" i="3"/>
  <c r="K45" i="88"/>
  <c r="F15" i="18"/>
  <c r="D38" i="61"/>
  <c r="D65" i="61" s="1"/>
  <c r="G38" i="61"/>
  <c r="F38" i="61"/>
  <c r="C38" i="61"/>
  <c r="C65" i="61" s="1"/>
  <c r="G61" i="61"/>
  <c r="N21" i="2"/>
  <c r="D77" i="49"/>
  <c r="C77" i="49"/>
  <c r="E61" i="4"/>
  <c r="G68" i="14"/>
  <c r="I10" i="14"/>
  <c r="C72" i="15"/>
  <c r="I10" i="33"/>
  <c r="D64" i="33"/>
  <c r="G64" i="33"/>
  <c r="E64" i="33"/>
  <c r="H64" i="33" s="1"/>
  <c r="C64" i="33"/>
  <c r="D64" i="67"/>
  <c r="F62" i="67"/>
  <c r="E60" i="77"/>
  <c r="H60" i="77"/>
  <c r="C60" i="77"/>
  <c r="F64" i="33"/>
  <c r="H73" i="84"/>
  <c r="K41" i="87"/>
  <c r="I60" i="97"/>
  <c r="F60" i="97"/>
  <c r="C47" i="97"/>
  <c r="H47" i="97"/>
  <c r="G47" i="97"/>
  <c r="F47" i="97"/>
  <c r="F41" i="98"/>
  <c r="H41" i="98"/>
  <c r="J41" i="98"/>
  <c r="D41" i="98"/>
  <c r="D65" i="98" s="1"/>
  <c r="C41" i="98"/>
  <c r="C65" i="98" s="1"/>
  <c r="H73" i="106"/>
  <c r="Y21" i="2"/>
  <c r="E77" i="99"/>
  <c r="G77" i="99"/>
  <c r="I77" i="99"/>
  <c r="V11" i="3"/>
  <c r="V7" i="3"/>
  <c r="V15" i="3"/>
  <c r="K45" i="98"/>
  <c r="K23" i="98"/>
  <c r="I41" i="98"/>
  <c r="I65" i="98" s="1"/>
  <c r="G41" i="98"/>
  <c r="K41" i="98"/>
  <c r="H34" i="78"/>
  <c r="H23" i="78"/>
  <c r="G63" i="71"/>
  <c r="I11" i="40"/>
  <c r="H35" i="40"/>
  <c r="D60" i="40"/>
  <c r="H24" i="40"/>
  <c r="G60" i="40"/>
  <c r="H59" i="33"/>
  <c r="F72" i="33"/>
  <c r="H72" i="33" s="1"/>
  <c r="D72" i="33"/>
  <c r="E72" i="33"/>
  <c r="C72" i="33"/>
  <c r="I18" i="33"/>
  <c r="D36" i="33"/>
  <c r="G36" i="33"/>
  <c r="E36" i="33"/>
  <c r="B51" i="33"/>
  <c r="G51" i="33" s="1"/>
  <c r="H43" i="33"/>
  <c r="D49" i="48"/>
  <c r="F49" i="48"/>
  <c r="C49" i="48"/>
  <c r="H47" i="48"/>
  <c r="G6" i="18"/>
  <c r="H66" i="30"/>
  <c r="K6" i="18"/>
  <c r="D147" i="22"/>
  <c r="F160" i="22"/>
  <c r="J160" i="22"/>
  <c r="G15" i="18"/>
  <c r="K44" i="21"/>
  <c r="M21" i="17" s="1"/>
  <c r="F45" i="21"/>
  <c r="K45" i="21" s="1"/>
  <c r="M22" i="17" s="1"/>
  <c r="D45" i="21"/>
  <c r="I45" i="21"/>
  <c r="H45" i="21"/>
  <c r="J45" i="21"/>
  <c r="G45" i="55"/>
  <c r="K43" i="55"/>
  <c r="O20" i="17"/>
  <c r="H46" i="15"/>
  <c r="B18" i="2" s="1"/>
  <c r="H25" i="15"/>
  <c r="I18" i="15"/>
  <c r="G60" i="15"/>
  <c r="C60" i="15"/>
  <c r="D63" i="15"/>
  <c r="D69" i="15"/>
  <c r="G69" i="15"/>
  <c r="F68" i="14"/>
  <c r="F69" i="13"/>
  <c r="F51" i="4"/>
  <c r="E51" i="4"/>
  <c r="B53" i="4"/>
  <c r="D51" i="4"/>
  <c r="D78" i="4" s="1"/>
  <c r="C51" i="4"/>
  <c r="G51" i="4"/>
  <c r="G78" i="4" s="1"/>
  <c r="I23" i="49"/>
  <c r="E72" i="49"/>
  <c r="H38" i="56"/>
  <c r="O11" i="2" s="1"/>
  <c r="I10" i="56"/>
  <c r="H25" i="61"/>
  <c r="F63" i="61"/>
  <c r="H80" i="66"/>
  <c r="G80" i="66"/>
  <c r="F80" i="66"/>
  <c r="D80" i="66"/>
  <c r="G65" i="78"/>
  <c r="E63" i="15"/>
  <c r="G47" i="32"/>
  <c r="H56" i="42"/>
  <c r="E61" i="61"/>
  <c r="C61" i="4"/>
  <c r="E68" i="14"/>
  <c r="E72" i="15"/>
  <c r="H64" i="43"/>
  <c r="M25" i="99"/>
  <c r="F77" i="99"/>
  <c r="G60" i="97"/>
  <c r="J60" i="97"/>
  <c r="F65" i="78"/>
  <c r="G65" i="42"/>
  <c r="F77" i="109"/>
  <c r="F71" i="109"/>
  <c r="D46" i="109"/>
  <c r="D68" i="109"/>
  <c r="C38" i="109"/>
  <c r="J52" i="110"/>
  <c r="F52" i="110"/>
  <c r="I52" i="110"/>
  <c r="G52" i="110"/>
  <c r="J34" i="110"/>
  <c r="F34" i="110"/>
  <c r="E34" i="110"/>
  <c r="D38" i="109"/>
  <c r="D65" i="109" s="1"/>
  <c r="G51" i="109"/>
  <c r="G38" i="109"/>
  <c r="Z5" i="17"/>
  <c r="D52" i="97"/>
  <c r="K52" i="97"/>
  <c r="H64" i="93"/>
  <c r="F64" i="93"/>
  <c r="C64" i="93"/>
  <c r="E64" i="93"/>
  <c r="G64" i="93"/>
  <c r="W17" i="17"/>
  <c r="K64" i="88"/>
  <c r="K64" i="87"/>
  <c r="V17" i="17"/>
  <c r="C60" i="83"/>
  <c r="G60" i="83"/>
  <c r="E60" i="83"/>
  <c r="V6" i="2"/>
  <c r="I60" i="83"/>
  <c r="D65" i="78"/>
  <c r="H62" i="77"/>
  <c r="F62" i="77"/>
  <c r="I54" i="75"/>
  <c r="E54" i="75"/>
  <c r="D53" i="72"/>
  <c r="E53" i="72"/>
  <c r="E34" i="68"/>
  <c r="E58" i="68" s="1"/>
  <c r="I34" i="68"/>
  <c r="K34" i="68"/>
  <c r="C34" i="68"/>
  <c r="H34" i="68"/>
  <c r="H58" i="68" s="1"/>
  <c r="G34" i="68"/>
  <c r="G58" i="68" s="1"/>
  <c r="D34" i="68"/>
  <c r="D58" i="68" s="1"/>
  <c r="H60" i="18"/>
  <c r="B47" i="73"/>
  <c r="F47" i="73" s="1"/>
  <c r="B63" i="18"/>
  <c r="B155" i="18" s="1"/>
  <c r="X8" i="17"/>
  <c r="K55" i="89"/>
  <c r="I55" i="89"/>
  <c r="W13" i="17"/>
  <c r="F60" i="88"/>
  <c r="C60" i="88"/>
  <c r="K60" i="88"/>
  <c r="T6" i="3"/>
  <c r="D62" i="78"/>
  <c r="F64" i="77"/>
  <c r="C64" i="77"/>
  <c r="T9" i="17"/>
  <c r="K56" i="75"/>
  <c r="G56" i="75"/>
  <c r="C56" i="75"/>
  <c r="I63" i="75"/>
  <c r="E63" i="75"/>
  <c r="S9" i="3"/>
  <c r="F53" i="72"/>
  <c r="F63" i="71"/>
  <c r="C63" i="71"/>
  <c r="I61" i="68"/>
  <c r="G61" i="68"/>
  <c r="E61" i="68"/>
  <c r="C61" i="68"/>
  <c r="B18" i="18"/>
  <c r="P24" i="16"/>
  <c r="J34" i="68"/>
  <c r="J58" i="68" s="1"/>
  <c r="E63" i="69"/>
  <c r="H63" i="69"/>
  <c r="F71" i="69"/>
  <c r="C57" i="44"/>
  <c r="H57" i="44" s="1"/>
  <c r="E57" i="44"/>
  <c r="D57" i="44"/>
  <c r="G57" i="44"/>
  <c r="D57" i="43"/>
  <c r="F57" i="43"/>
  <c r="C57" i="43"/>
  <c r="G57" i="43"/>
  <c r="D65" i="43"/>
  <c r="E65" i="43"/>
  <c r="F65" i="43"/>
  <c r="C65" i="43"/>
  <c r="G65" i="43"/>
  <c r="F59" i="42"/>
  <c r="D59" i="42"/>
  <c r="G59" i="42"/>
  <c r="E59" i="42"/>
  <c r="C59" i="42"/>
  <c r="F60" i="40"/>
  <c r="H58" i="34"/>
  <c r="H62" i="34"/>
  <c r="E51" i="34"/>
  <c r="F44" i="33"/>
  <c r="K30" i="30"/>
  <c r="D7" i="17" s="1"/>
  <c r="F54" i="93"/>
  <c r="F64" i="87"/>
  <c r="H64" i="87"/>
  <c r="C64" i="87"/>
  <c r="X7" i="17"/>
  <c r="F54" i="89"/>
  <c r="H54" i="89"/>
  <c r="K54" i="89"/>
  <c r="H64" i="88"/>
  <c r="E64" i="88"/>
  <c r="W15" i="17"/>
  <c r="K62" i="88"/>
  <c r="J60" i="88"/>
  <c r="G60" i="88"/>
  <c r="J56" i="88"/>
  <c r="K52" i="88"/>
  <c r="W5" i="17"/>
  <c r="C52" i="88"/>
  <c r="E63" i="86"/>
  <c r="F63" i="86"/>
  <c r="G63" i="86"/>
  <c r="H57" i="86"/>
  <c r="C57" i="86"/>
  <c r="G45" i="86"/>
  <c r="G71" i="86" s="1"/>
  <c r="C45" i="86"/>
  <c r="F45" i="86"/>
  <c r="D45" i="86"/>
  <c r="H45" i="86"/>
  <c r="H71" i="86" s="1"/>
  <c r="E45" i="86"/>
  <c r="E71" i="86" s="1"/>
  <c r="E67" i="85"/>
  <c r="H65" i="85"/>
  <c r="G65" i="85"/>
  <c r="K10" i="83"/>
  <c r="J38" i="83"/>
  <c r="J25" i="83"/>
  <c r="D71" i="79"/>
  <c r="F71" i="79"/>
  <c r="I71" i="79"/>
  <c r="C71" i="79"/>
  <c r="G71" i="79"/>
  <c r="T16" i="2"/>
  <c r="E71" i="79"/>
  <c r="E60" i="79"/>
  <c r="G60" i="79"/>
  <c r="C60" i="79"/>
  <c r="F63" i="75"/>
  <c r="C55" i="43"/>
  <c r="F55" i="43"/>
  <c r="D55" i="43"/>
  <c r="E55" i="43"/>
  <c r="G55" i="43"/>
  <c r="C63" i="42"/>
  <c r="F63" i="42"/>
  <c r="H63" i="42" s="1"/>
  <c r="D63" i="42"/>
  <c r="G63" i="42"/>
  <c r="I18" i="40"/>
  <c r="H42" i="40"/>
  <c r="D67" i="40"/>
  <c r="G67" i="40"/>
  <c r="E67" i="40"/>
  <c r="C67" i="40"/>
  <c r="H67" i="40" s="1"/>
  <c r="H30" i="33"/>
  <c r="H42" i="33"/>
  <c r="H71" i="48"/>
  <c r="H40" i="54"/>
  <c r="H76" i="59"/>
  <c r="B58" i="32"/>
  <c r="K40" i="31"/>
  <c r="C17" i="17" s="1"/>
  <c r="K33" i="30"/>
  <c r="D10" i="17" s="1"/>
  <c r="E10" i="18"/>
  <c r="F38" i="15"/>
  <c r="E38" i="15"/>
  <c r="E65" i="15" s="1"/>
  <c r="D38" i="15"/>
  <c r="D62" i="14"/>
  <c r="D7" i="2"/>
  <c r="C61" i="13"/>
  <c r="F68" i="13"/>
  <c r="C68" i="13"/>
  <c r="M10" i="2"/>
  <c r="F64" i="4"/>
  <c r="M13" i="2"/>
  <c r="G68" i="4"/>
  <c r="F68" i="4"/>
  <c r="E68" i="4"/>
  <c r="C64" i="4"/>
  <c r="D51" i="56"/>
  <c r="G77" i="61"/>
  <c r="G18" i="3"/>
  <c r="G19" i="3"/>
  <c r="G21" i="3"/>
  <c r="G25" i="3"/>
  <c r="J17" i="3"/>
  <c r="J18" i="3"/>
  <c r="G22" i="3"/>
  <c r="F60" i="83"/>
  <c r="I60" i="88"/>
  <c r="H54" i="88"/>
  <c r="H62" i="88"/>
  <c r="E55" i="86"/>
  <c r="D57" i="86"/>
  <c r="G57" i="85"/>
  <c r="D57" i="85"/>
  <c r="D60" i="72"/>
  <c r="H60" i="72"/>
  <c r="C60" i="72"/>
  <c r="E60" i="72"/>
  <c r="F60" i="72"/>
  <c r="G60" i="72"/>
  <c r="S6" i="2"/>
  <c r="R13" i="2"/>
  <c r="H68" i="67"/>
  <c r="H70" i="67"/>
  <c r="R15" i="2"/>
  <c r="F70" i="67"/>
  <c r="E70" i="67"/>
  <c r="R6" i="2"/>
  <c r="H60" i="67"/>
  <c r="G64" i="67"/>
  <c r="S24" i="16"/>
  <c r="B21" i="18"/>
  <c r="G64" i="59"/>
  <c r="E64" i="59"/>
  <c r="D64" i="59"/>
  <c r="F64" i="59"/>
  <c r="P8" i="3"/>
  <c r="F68" i="67"/>
  <c r="E35" i="44"/>
  <c r="G48" i="44"/>
  <c r="H46" i="18"/>
  <c r="G56" i="44"/>
  <c r="D56" i="44"/>
  <c r="E56" i="44"/>
  <c r="F57" i="44"/>
  <c r="E35" i="43"/>
  <c r="F35" i="43"/>
  <c r="C35" i="43"/>
  <c r="G35" i="43"/>
  <c r="D35" i="43"/>
  <c r="C58" i="43"/>
  <c r="F58" i="43"/>
  <c r="E58" i="43"/>
  <c r="G58" i="43"/>
  <c r="I11" i="42"/>
  <c r="H24" i="42"/>
  <c r="H35" i="42"/>
  <c r="H60" i="42" s="1"/>
  <c r="E71" i="42"/>
  <c r="D35" i="42"/>
  <c r="F35" i="42"/>
  <c r="E35" i="42"/>
  <c r="G35" i="42"/>
  <c r="C35" i="42"/>
  <c r="B48" i="42"/>
  <c r="G54" i="42"/>
  <c r="E54" i="42"/>
  <c r="F54" i="42"/>
  <c r="C54" i="42"/>
  <c r="F36" i="48"/>
  <c r="E36" i="48"/>
  <c r="G36" i="48"/>
  <c r="C36" i="48"/>
  <c r="D36" i="48"/>
  <c r="H48" i="54"/>
  <c r="H63" i="59"/>
  <c r="E44" i="59"/>
  <c r="D44" i="59"/>
  <c r="G44" i="59"/>
  <c r="C44" i="59"/>
  <c r="F44" i="59"/>
  <c r="H41" i="59"/>
  <c r="K29" i="31"/>
  <c r="C6" i="17" s="1"/>
  <c r="K36" i="31"/>
  <c r="C13" i="17" s="1"/>
  <c r="D41" i="30"/>
  <c r="C45" i="30"/>
  <c r="G45" i="30"/>
  <c r="E45" i="30"/>
  <c r="I45" i="30"/>
  <c r="H45" i="30"/>
  <c r="D45" i="30"/>
  <c r="F45" i="30"/>
  <c r="J45" i="30"/>
  <c r="I14" i="18"/>
  <c r="J58" i="22"/>
  <c r="K14" i="18"/>
  <c r="E41" i="21"/>
  <c r="I41" i="21"/>
  <c r="G41" i="21"/>
  <c r="B47" i="21"/>
  <c r="D47" i="21" s="1"/>
  <c r="C41" i="21"/>
  <c r="D41" i="21"/>
  <c r="K38" i="47"/>
  <c r="N15" i="17" s="1"/>
  <c r="F34" i="55"/>
  <c r="J34" i="55"/>
  <c r="G34" i="55"/>
  <c r="I34" i="55"/>
  <c r="D34" i="55"/>
  <c r="E34" i="55"/>
  <c r="H34" i="55"/>
  <c r="K34" i="55" s="1"/>
  <c r="O11" i="17" s="1"/>
  <c r="C34" i="55"/>
  <c r="C41" i="55"/>
  <c r="E41" i="55"/>
  <c r="G41" i="55"/>
  <c r="I41" i="55"/>
  <c r="F41" i="55"/>
  <c r="J41" i="55"/>
  <c r="H41" i="55"/>
  <c r="D41" i="55"/>
  <c r="K40" i="60"/>
  <c r="P17" i="17" s="1"/>
  <c r="F60" i="15"/>
  <c r="D72" i="15"/>
  <c r="G46" i="4"/>
  <c r="C46" i="4"/>
  <c r="D46" i="4"/>
  <c r="E46" i="4"/>
  <c r="G72" i="4"/>
  <c r="C72" i="4"/>
  <c r="D62" i="49"/>
  <c r="E62" i="49"/>
  <c r="C70" i="49"/>
  <c r="O8" i="3"/>
  <c r="D77" i="56"/>
  <c r="E77" i="56"/>
  <c r="F61" i="61"/>
  <c r="I17" i="3"/>
  <c r="H71" i="79"/>
  <c r="C64" i="88"/>
  <c r="F54" i="88"/>
  <c r="D60" i="88"/>
  <c r="J62" i="88"/>
  <c r="C55" i="86"/>
  <c r="G59" i="86"/>
  <c r="F65" i="85"/>
  <c r="H15" i="18"/>
  <c r="D15" i="18"/>
  <c r="I6" i="18"/>
  <c r="C61" i="61"/>
  <c r="D71" i="49"/>
  <c r="E71" i="49"/>
  <c r="G71" i="49"/>
  <c r="N16" i="2"/>
  <c r="H25" i="14"/>
  <c r="I18" i="14"/>
  <c r="G72" i="15"/>
  <c r="E45" i="47"/>
  <c r="I45" i="47"/>
  <c r="J45" i="47"/>
  <c r="H45" i="47"/>
  <c r="C45" i="47"/>
  <c r="F45" i="47"/>
  <c r="G45" i="47"/>
  <c r="D45" i="47"/>
  <c r="K36" i="47"/>
  <c r="N13" i="17" s="1"/>
  <c r="E64" i="67"/>
  <c r="J147" i="22"/>
  <c r="F66" i="30"/>
  <c r="K69" i="68"/>
  <c r="D69" i="68"/>
  <c r="R22" i="17"/>
  <c r="E69" i="68"/>
  <c r="C69" i="68"/>
  <c r="G71" i="69"/>
  <c r="E62" i="77"/>
  <c r="H73" i="77"/>
  <c r="D73" i="77"/>
  <c r="C62" i="78"/>
  <c r="G64" i="87"/>
  <c r="G53" i="72"/>
  <c r="D47" i="71"/>
  <c r="G47" i="71"/>
  <c r="C47" i="71"/>
  <c r="E47" i="71"/>
  <c r="J47" i="71"/>
  <c r="I47" i="71"/>
  <c r="F36" i="33"/>
  <c r="G51" i="34"/>
  <c r="Y7" i="2"/>
  <c r="G61" i="99"/>
  <c r="C61" i="99"/>
  <c r="I61" i="99"/>
  <c r="Y14" i="2"/>
  <c r="C69" i="99"/>
  <c r="G69" i="99"/>
  <c r="D69" i="99"/>
  <c r="F69" i="99"/>
  <c r="H69" i="99"/>
  <c r="I69" i="99"/>
  <c r="H61" i="99"/>
  <c r="C51" i="99"/>
  <c r="L51" i="99"/>
  <c r="AA22" i="2" s="1"/>
  <c r="K51" i="99"/>
  <c r="Z22" i="2" s="1"/>
  <c r="H51" i="99"/>
  <c r="H78" i="99" s="1"/>
  <c r="F51" i="99"/>
  <c r="E51" i="99"/>
  <c r="I51" i="99"/>
  <c r="D51" i="99"/>
  <c r="G51" i="99"/>
  <c r="B53" i="99"/>
  <c r="E53" i="99" s="1"/>
  <c r="D77" i="99"/>
  <c r="J47" i="97"/>
  <c r="E60" i="97"/>
  <c r="C52" i="97"/>
  <c r="K58" i="98"/>
  <c r="Y11" i="17"/>
  <c r="E45" i="98"/>
  <c r="E69" i="98" s="1"/>
  <c r="B47" i="98"/>
  <c r="J47" i="98" s="1"/>
  <c r="G45" i="98"/>
  <c r="G69" i="98" s="1"/>
  <c r="H45" i="98"/>
  <c r="H69" i="98" s="1"/>
  <c r="F45" i="98"/>
  <c r="F69" i="98" s="1"/>
  <c r="I45" i="98"/>
  <c r="I69" i="98" s="1"/>
  <c r="D45" i="98"/>
  <c r="D69" i="98" s="1"/>
  <c r="C45" i="98"/>
  <c r="C69" i="98" s="1"/>
  <c r="G67" i="94"/>
  <c r="C67" i="94"/>
  <c r="E41" i="98"/>
  <c r="E65" i="98" s="1"/>
  <c r="V14" i="3"/>
  <c r="F69" i="15"/>
  <c r="K45" i="22"/>
  <c r="L22" i="17" s="1"/>
  <c r="F77" i="34"/>
  <c r="C77" i="34"/>
  <c r="H77" i="34" s="1"/>
  <c r="I23" i="34"/>
  <c r="E77" i="34"/>
  <c r="G77" i="34"/>
  <c r="D77" i="34"/>
  <c r="K34" i="60"/>
  <c r="P11" i="17" s="1"/>
  <c r="E47" i="60"/>
  <c r="I47" i="60"/>
  <c r="D47" i="60"/>
  <c r="F47" i="60"/>
  <c r="G47" i="60"/>
  <c r="H47" i="60"/>
  <c r="J47" i="60"/>
  <c r="C77" i="99"/>
  <c r="Y20" i="2"/>
  <c r="I76" i="99"/>
  <c r="K23" i="99"/>
  <c r="J51" i="99"/>
  <c r="E78" i="99" s="1"/>
  <c r="G71" i="99"/>
  <c r="Y16" i="2"/>
  <c r="C71" i="99"/>
  <c r="I71" i="99"/>
  <c r="K10" i="99"/>
  <c r="J38" i="99"/>
  <c r="D65" i="99" s="1"/>
  <c r="J25" i="99"/>
  <c r="V13" i="3" s="1"/>
  <c r="Y16" i="17"/>
  <c r="K63" i="98"/>
  <c r="Y20" i="17"/>
  <c r="K67" i="98"/>
  <c r="J60" i="98"/>
  <c r="Y13" i="17"/>
  <c r="K60" i="98"/>
  <c r="F60" i="98"/>
  <c r="H60" i="98"/>
  <c r="E58" i="98"/>
  <c r="F60" i="79"/>
  <c r="H56" i="78"/>
  <c r="J63" i="71"/>
  <c r="H59" i="40"/>
  <c r="H69" i="40"/>
  <c r="C71" i="40"/>
  <c r="H46" i="40"/>
  <c r="G71" i="40"/>
  <c r="I22" i="40"/>
  <c r="E71" i="40"/>
  <c r="D71" i="40"/>
  <c r="H76" i="34"/>
  <c r="D57" i="18"/>
  <c r="G44" i="33"/>
  <c r="H31" i="33"/>
  <c r="D24" i="16"/>
  <c r="B6" i="18"/>
  <c r="D66" i="30"/>
  <c r="F41" i="30"/>
  <c r="H41" i="30"/>
  <c r="K43" i="30"/>
  <c r="D20" i="17" s="1"/>
  <c r="K147" i="22"/>
  <c r="H147" i="22"/>
  <c r="C160" i="22"/>
  <c r="H160" i="22"/>
  <c r="H41" i="21"/>
  <c r="C45" i="21"/>
  <c r="G45" i="21"/>
  <c r="F34" i="47"/>
  <c r="E34" i="47"/>
  <c r="I34" i="47"/>
  <c r="D34" i="47"/>
  <c r="C34" i="47"/>
  <c r="H34" i="47"/>
  <c r="G34" i="47"/>
  <c r="E45" i="60"/>
  <c r="I45" i="60"/>
  <c r="J45" i="60"/>
  <c r="H45" i="60"/>
  <c r="C45" i="60"/>
  <c r="F45" i="60"/>
  <c r="G45" i="60"/>
  <c r="D45" i="60"/>
  <c r="H38" i="15"/>
  <c r="B11" i="2" s="1"/>
  <c r="I10" i="15"/>
  <c r="B10" i="3"/>
  <c r="D60" i="15"/>
  <c r="E60" i="15"/>
  <c r="G63" i="15"/>
  <c r="C63" i="15"/>
  <c r="E46" i="15"/>
  <c r="E73" i="15" s="1"/>
  <c r="C46" i="15"/>
  <c r="G46" i="15"/>
  <c r="G73" i="15"/>
  <c r="B53" i="15"/>
  <c r="G53" i="15" s="1"/>
  <c r="F46" i="15"/>
  <c r="E69" i="15"/>
  <c r="C69" i="15"/>
  <c r="C64" i="13"/>
  <c r="C46" i="13"/>
  <c r="G46" i="13"/>
  <c r="E46" i="13"/>
  <c r="D46" i="13"/>
  <c r="F46" i="13"/>
  <c r="G69" i="13"/>
  <c r="D69" i="13"/>
  <c r="F63" i="4"/>
  <c r="F77" i="4"/>
  <c r="G77" i="4"/>
  <c r="C77" i="4"/>
  <c r="D38" i="49"/>
  <c r="G72" i="49"/>
  <c r="C38" i="56"/>
  <c r="C65" i="56" s="1"/>
  <c r="E38" i="56"/>
  <c r="E65" i="56" s="1"/>
  <c r="G38" i="56"/>
  <c r="G65" i="56"/>
  <c r="F38" i="56"/>
  <c r="F65" i="56" s="1"/>
  <c r="D38" i="56"/>
  <c r="D65" i="56" s="1"/>
  <c r="H63" i="56"/>
  <c r="P6" i="2"/>
  <c r="F62" i="61"/>
  <c r="P8" i="2"/>
  <c r="D62" i="61"/>
  <c r="P14" i="2"/>
  <c r="E63" i="61"/>
  <c r="C80" i="66"/>
  <c r="K69" i="76"/>
  <c r="U22" i="17"/>
  <c r="E69" i="76"/>
  <c r="I69" i="76"/>
  <c r="G53" i="83"/>
  <c r="F53" i="83"/>
  <c r="E53" i="83"/>
  <c r="K53" i="83"/>
  <c r="W24" i="2" s="1"/>
  <c r="I53" i="83"/>
  <c r="C53" i="83"/>
  <c r="C80" i="83" s="1"/>
  <c r="L53" i="83"/>
  <c r="X24" i="2" s="1"/>
  <c r="D60" i="83"/>
  <c r="H53" i="83"/>
  <c r="H59" i="83"/>
  <c r="D59" i="86"/>
  <c r="H59" i="61"/>
  <c r="C76" i="56"/>
  <c r="G61" i="4"/>
  <c r="F59" i="14"/>
  <c r="E62" i="15"/>
  <c r="C51" i="34"/>
  <c r="H72" i="54"/>
  <c r="F64" i="67"/>
  <c r="H44" i="54"/>
  <c r="H64" i="54"/>
  <c r="C71" i="69"/>
  <c r="G62" i="77"/>
  <c r="I64" i="87"/>
  <c r="E71" i="99"/>
  <c r="L25" i="99"/>
  <c r="F61" i="99"/>
  <c r="H71" i="99"/>
  <c r="C47" i="96"/>
  <c r="H47" i="96"/>
  <c r="D46" i="104" s="1"/>
  <c r="I47" i="96"/>
  <c r="C31" i="104" s="1"/>
  <c r="E47" i="96"/>
  <c r="D47" i="96"/>
  <c r="J47" i="96"/>
  <c r="C60" i="97"/>
  <c r="D47" i="97"/>
  <c r="E52" i="97"/>
  <c r="F58" i="98"/>
  <c r="I47" i="97"/>
  <c r="E67" i="98"/>
  <c r="E60" i="98"/>
  <c r="G63" i="98"/>
  <c r="J63" i="98"/>
  <c r="D58" i="98"/>
  <c r="F71" i="106"/>
  <c r="E71" i="106"/>
  <c r="C63" i="69"/>
  <c r="F77" i="56"/>
  <c r="F47" i="96"/>
  <c r="D64" i="4"/>
  <c r="C64" i="67"/>
  <c r="F38" i="49"/>
  <c r="E73" i="84"/>
  <c r="G73" i="77"/>
  <c r="E47" i="97"/>
  <c r="G73" i="106"/>
  <c r="C65" i="78"/>
  <c r="H23" i="111"/>
  <c r="H47" i="111" s="1"/>
  <c r="H73" i="111" s="1"/>
  <c r="E41" i="111"/>
  <c r="F41" i="111"/>
  <c r="E45" i="111"/>
  <c r="G41" i="111"/>
  <c r="C41" i="111"/>
  <c r="G45" i="111"/>
  <c r="K45" i="110"/>
  <c r="AC22" i="17" s="1"/>
  <c r="C52" i="110"/>
  <c r="H38" i="109"/>
  <c r="H25" i="109"/>
  <c r="I10" i="109"/>
  <c r="AC11" i="2" s="1"/>
  <c r="H51" i="109"/>
  <c r="I23" i="109"/>
  <c r="AC22" i="2" s="1"/>
  <c r="G46" i="109"/>
  <c r="H46" i="109"/>
  <c r="I18" i="109"/>
  <c r="AC18" i="2" s="1"/>
  <c r="C46" i="109"/>
  <c r="D71" i="86"/>
  <c r="C71" i="86"/>
  <c r="H65" i="98"/>
  <c r="E67" i="42"/>
  <c r="F67" i="42"/>
  <c r="C78" i="61"/>
  <c r="G65" i="4"/>
  <c r="H36" i="33"/>
  <c r="AA18" i="17"/>
  <c r="K65" i="96"/>
  <c r="D78" i="61"/>
  <c r="G65" i="96"/>
  <c r="C47" i="69"/>
  <c r="G47" i="69"/>
  <c r="F78" i="61"/>
  <c r="F65" i="4"/>
  <c r="J8" i="103"/>
  <c r="I71" i="96"/>
  <c r="I78" i="99"/>
  <c r="C78" i="99"/>
  <c r="C13" i="3"/>
  <c r="C19" i="3" s="1"/>
  <c r="F51" i="59"/>
  <c r="E51" i="59"/>
  <c r="F48" i="42"/>
  <c r="U13" i="3"/>
  <c r="K25" i="83"/>
  <c r="J53" i="83"/>
  <c r="G51" i="59"/>
  <c r="G53" i="4"/>
  <c r="B13" i="3"/>
  <c r="I25" i="15"/>
  <c r="F51" i="33"/>
  <c r="I50" i="18"/>
  <c r="G41" i="103"/>
  <c r="G5" i="103"/>
  <c r="V18" i="17"/>
  <c r="K65" i="87"/>
  <c r="K69" i="88"/>
  <c r="W22" i="17"/>
  <c r="E162" i="22"/>
  <c r="K73" i="22"/>
  <c r="D48" i="42"/>
  <c r="H73" i="67"/>
  <c r="H67" i="85"/>
  <c r="F67" i="85"/>
  <c r="G69" i="88"/>
  <c r="H69" i="88"/>
  <c r="K58" i="89"/>
  <c r="X11" i="17"/>
  <c r="D65" i="87"/>
  <c r="I65" i="87"/>
  <c r="D60" i="78"/>
  <c r="H58" i="89"/>
  <c r="G58" i="89"/>
  <c r="I58" i="89"/>
  <c r="F58" i="89"/>
  <c r="C16" i="103"/>
  <c r="C31" i="103"/>
  <c r="J29" i="104"/>
  <c r="C16" i="104"/>
  <c r="G80" i="83"/>
  <c r="E53" i="15"/>
  <c r="C51" i="33"/>
  <c r="Y11" i="2"/>
  <c r="I65" i="99"/>
  <c r="G65" i="99"/>
  <c r="C65" i="99"/>
  <c r="F65" i="99"/>
  <c r="H65" i="99"/>
  <c r="D47" i="98"/>
  <c r="J29" i="103"/>
  <c r="D78" i="99"/>
  <c r="K45" i="47"/>
  <c r="N22" i="17" s="1"/>
  <c r="J47" i="21"/>
  <c r="J73" i="22"/>
  <c r="E60" i="42"/>
  <c r="D60" i="42"/>
  <c r="I24" i="42"/>
  <c r="I48" i="18"/>
  <c r="H48" i="42"/>
  <c r="H73" i="42" s="1"/>
  <c r="D65" i="15"/>
  <c r="F65" i="15"/>
  <c r="V11" i="2"/>
  <c r="I65" i="83"/>
  <c r="H65" i="83"/>
  <c r="C65" i="83"/>
  <c r="E65" i="83"/>
  <c r="F65" i="83"/>
  <c r="G65" i="83"/>
  <c r="D65" i="83"/>
  <c r="G67" i="85"/>
  <c r="F71" i="86"/>
  <c r="E47" i="73"/>
  <c r="R11" i="17"/>
  <c r="K58" i="68"/>
  <c r="F47" i="21"/>
  <c r="Y18" i="17"/>
  <c r="K65" i="98"/>
  <c r="Y22" i="17"/>
  <c r="K69" i="98"/>
  <c r="F65" i="98"/>
  <c r="J38" i="103"/>
  <c r="D46" i="103"/>
  <c r="F162" i="22"/>
  <c r="E47" i="21"/>
  <c r="H47" i="31"/>
  <c r="G47" i="31"/>
  <c r="C47" i="31"/>
  <c r="E47" i="31"/>
  <c r="J47" i="31"/>
  <c r="I47" i="31"/>
  <c r="C48" i="44"/>
  <c r="D48" i="44"/>
  <c r="E48" i="44"/>
  <c r="C51" i="59"/>
  <c r="C67" i="85"/>
  <c r="D69" i="88"/>
  <c r="E69" i="88"/>
  <c r="I69" i="88"/>
  <c r="C69" i="88"/>
  <c r="H65" i="87"/>
  <c r="E47" i="87"/>
  <c r="C47" i="87"/>
  <c r="I47" i="87"/>
  <c r="D47" i="87"/>
  <c r="G47" i="87"/>
  <c r="H47" i="87"/>
  <c r="F47" i="87"/>
  <c r="E65" i="87"/>
  <c r="F65" i="87"/>
  <c r="H44" i="33"/>
  <c r="P13" i="3"/>
  <c r="P21" i="3" s="1"/>
  <c r="E60" i="78"/>
  <c r="C58" i="89"/>
  <c r="D58" i="89"/>
  <c r="E58" i="89"/>
  <c r="K69" i="110"/>
  <c r="E65" i="109"/>
  <c r="F65" i="109"/>
  <c r="G65" i="109"/>
  <c r="C65" i="109"/>
  <c r="D73" i="109"/>
  <c r="G73" i="109"/>
  <c r="E78" i="109"/>
  <c r="P25" i="3"/>
  <c r="D73" i="42"/>
  <c r="B25" i="3"/>
  <c r="B17" i="3"/>
  <c r="I80" i="83"/>
  <c r="V24" i="2"/>
  <c r="D80" i="83"/>
  <c r="U17" i="3"/>
  <c r="U19" i="3"/>
  <c r="U21" i="3"/>
  <c r="U22" i="3"/>
  <c r="U23" i="3"/>
  <c r="U18" i="3"/>
  <c r="F24" i="103"/>
  <c r="E80" i="83"/>
  <c r="F73" i="42"/>
  <c r="I141" i="18" l="1"/>
  <c r="E113" i="18"/>
  <c r="C117" i="18"/>
  <c r="C51" i="18"/>
  <c r="D141" i="18"/>
  <c r="C141" i="18" s="1"/>
  <c r="H141" i="18"/>
  <c r="G141" i="18"/>
  <c r="C160" i="18"/>
  <c r="F141" i="18"/>
  <c r="C159" i="18"/>
  <c r="C118" i="18"/>
  <c r="B166" i="18"/>
  <c r="B124" i="18"/>
  <c r="G166" i="18"/>
  <c r="H166" i="18"/>
  <c r="F166" i="18"/>
  <c r="E140" i="18"/>
  <c r="G149" i="18"/>
  <c r="G101" i="18"/>
  <c r="K113" i="18"/>
  <c r="D149" i="18"/>
  <c r="E101" i="18"/>
  <c r="E138" i="18"/>
  <c r="L105" i="18"/>
  <c r="C114" i="18"/>
  <c r="C123" i="18"/>
  <c r="I105" i="18"/>
  <c r="F147" i="18"/>
  <c r="C54" i="18"/>
  <c r="D145" i="18"/>
  <c r="E98" i="18"/>
  <c r="D106" i="18"/>
  <c r="G105" i="18"/>
  <c r="H105" i="18"/>
  <c r="C13" i="18"/>
  <c r="F105" i="18"/>
  <c r="E99" i="18"/>
  <c r="H110" i="18"/>
  <c r="G110" i="18"/>
  <c r="F101" i="18"/>
  <c r="C9" i="18"/>
  <c r="I101" i="18"/>
  <c r="C34" i="18"/>
  <c r="K100" i="18"/>
  <c r="C8" i="18"/>
  <c r="J110" i="18"/>
  <c r="J101" i="18"/>
  <c r="I110" i="18"/>
  <c r="H100" i="18"/>
  <c r="I104" i="18"/>
  <c r="K104" i="18"/>
  <c r="C12" i="18"/>
  <c r="C49" i="18"/>
  <c r="G154" i="18"/>
  <c r="E104" i="18"/>
  <c r="D101" i="18"/>
  <c r="I154" i="18"/>
  <c r="C154" i="18" s="1"/>
  <c r="L101" i="18"/>
  <c r="K101" i="18"/>
  <c r="F110" i="18"/>
  <c r="B154" i="18"/>
  <c r="E147" i="18"/>
  <c r="F143" i="18"/>
  <c r="I147" i="18"/>
  <c r="H101" i="18"/>
  <c r="V17" i="3"/>
  <c r="V18" i="3"/>
  <c r="V19" i="3"/>
  <c r="V21" i="3"/>
  <c r="V22" i="3"/>
  <c r="F73" i="22"/>
  <c r="H162" i="22"/>
  <c r="G71" i="42"/>
  <c r="C71" i="42"/>
  <c r="F41" i="106"/>
  <c r="G41" i="106"/>
  <c r="H41" i="106"/>
  <c r="C41" i="106"/>
  <c r="C53" i="99"/>
  <c r="C53" i="15"/>
  <c r="J162" i="22"/>
  <c r="L14" i="18"/>
  <c r="C14" i="18" s="1"/>
  <c r="Y22" i="2"/>
  <c r="E47" i="69"/>
  <c r="G69" i="4"/>
  <c r="H78" i="61"/>
  <c r="T14" i="3"/>
  <c r="K25" i="79"/>
  <c r="D68" i="68"/>
  <c r="F58" i="55"/>
  <c r="D58" i="55"/>
  <c r="H58" i="55"/>
  <c r="B47" i="30"/>
  <c r="G41" i="30"/>
  <c r="I41" i="30"/>
  <c r="J41" i="30"/>
  <c r="G38" i="15"/>
  <c r="C38" i="15"/>
  <c r="C65" i="15" s="1"/>
  <c r="C13" i="2"/>
  <c r="D68" i="14"/>
  <c r="J69" i="98"/>
  <c r="I47" i="32"/>
  <c r="C47" i="32"/>
  <c r="E47" i="32"/>
  <c r="J47" i="32"/>
  <c r="G73" i="84"/>
  <c r="I51" i="108"/>
  <c r="D78" i="108" s="1"/>
  <c r="J23" i="108"/>
  <c r="AB22" i="2" s="1"/>
  <c r="H53" i="99"/>
  <c r="C47" i="73"/>
  <c r="L23" i="22"/>
  <c r="I73" i="22"/>
  <c r="H53" i="15"/>
  <c r="K25" i="99"/>
  <c r="O6" i="2"/>
  <c r="H63" i="15"/>
  <c r="F71" i="42"/>
  <c r="H71" i="49"/>
  <c r="B47" i="55"/>
  <c r="F60" i="42"/>
  <c r="C78" i="4"/>
  <c r="J54" i="88"/>
  <c r="P21" i="2"/>
  <c r="C77" i="61"/>
  <c r="D77" i="61"/>
  <c r="H62" i="67"/>
  <c r="C62" i="67"/>
  <c r="R8" i="2"/>
  <c r="D62" i="67"/>
  <c r="E62" i="67"/>
  <c r="D71" i="99"/>
  <c r="F71" i="99"/>
  <c r="E49" i="48"/>
  <c r="G49" i="48"/>
  <c r="C162" i="22"/>
  <c r="G47" i="73"/>
  <c r="E71" i="96"/>
  <c r="G162" i="22"/>
  <c r="H71" i="96"/>
  <c r="F73" i="15"/>
  <c r="H60" i="15"/>
  <c r="I20" i="3"/>
  <c r="C47" i="21"/>
  <c r="G47" i="21"/>
  <c r="H56" i="44"/>
  <c r="F45" i="55"/>
  <c r="F46" i="109"/>
  <c r="B53" i="109"/>
  <c r="E46" i="109"/>
  <c r="E73" i="109" s="1"/>
  <c r="I54" i="88"/>
  <c r="G54" i="88"/>
  <c r="C54" i="88"/>
  <c r="E54" i="88"/>
  <c r="D66" i="31"/>
  <c r="I66" i="31"/>
  <c r="C66" i="31"/>
  <c r="L17" i="31"/>
  <c r="B65" i="88"/>
  <c r="I34" i="88"/>
  <c r="E34" i="88"/>
  <c r="G34" i="88"/>
  <c r="H70" i="78"/>
  <c r="D70" i="78"/>
  <c r="D47" i="73"/>
  <c r="H47" i="98"/>
  <c r="H71" i="98" s="1"/>
  <c r="C73" i="22"/>
  <c r="D47" i="69"/>
  <c r="D73" i="69" s="1"/>
  <c r="D73" i="15"/>
  <c r="H71" i="42"/>
  <c r="C45" i="55"/>
  <c r="K30" i="60"/>
  <c r="P7" i="17" s="1"/>
  <c r="P19" i="3"/>
  <c r="F78" i="99"/>
  <c r="AA24" i="17"/>
  <c r="F47" i="69"/>
  <c r="F73" i="69" s="1"/>
  <c r="F65" i="61"/>
  <c r="D54" i="88"/>
  <c r="H34" i="88"/>
  <c r="K66" i="31"/>
  <c r="K36" i="55"/>
  <c r="O13" i="17" s="1"/>
  <c r="F63" i="72"/>
  <c r="D63" i="72"/>
  <c r="H63" i="72"/>
  <c r="G63" i="72"/>
  <c r="J45" i="55"/>
  <c r="H45" i="55"/>
  <c r="D45" i="55"/>
  <c r="D68" i="72"/>
  <c r="F68" i="72"/>
  <c r="S13" i="2"/>
  <c r="E68" i="72"/>
  <c r="C68" i="72"/>
  <c r="H68" i="72"/>
  <c r="R21" i="17"/>
  <c r="I68" i="68"/>
  <c r="G68" i="68"/>
  <c r="J68" i="68"/>
  <c r="F68" i="68"/>
  <c r="C68" i="68"/>
  <c r="E73" i="22"/>
  <c r="P18" i="3"/>
  <c r="H73" i="22"/>
  <c r="G73" i="22"/>
  <c r="I162" i="22"/>
  <c r="C73" i="15"/>
  <c r="H51" i="56"/>
  <c r="E78" i="56" s="1"/>
  <c r="C60" i="42"/>
  <c r="E45" i="55"/>
  <c r="K41" i="31"/>
  <c r="C18" i="17" s="1"/>
  <c r="J34" i="88"/>
  <c r="F66" i="31"/>
  <c r="G78" i="61"/>
  <c r="F67" i="44"/>
  <c r="D71" i="42"/>
  <c r="C65" i="4"/>
  <c r="J68" i="110"/>
  <c r="H71" i="22"/>
  <c r="I160" i="22"/>
  <c r="E160" i="22"/>
  <c r="D71" i="22"/>
  <c r="E71" i="22"/>
  <c r="K43" i="60"/>
  <c r="P20" i="17" s="1"/>
  <c r="F67" i="94"/>
  <c r="D67" i="94"/>
  <c r="H67" i="94"/>
  <c r="H72" i="15"/>
  <c r="F51" i="34"/>
  <c r="H63" i="75"/>
  <c r="F79" i="54"/>
  <c r="E80" i="66"/>
  <c r="E78" i="4"/>
  <c r="C60" i="40"/>
  <c r="H60" i="40" s="1"/>
  <c r="I19" i="3"/>
  <c r="J63" i="75"/>
  <c r="H25" i="54"/>
  <c r="D55" i="77"/>
  <c r="K55" i="97"/>
  <c r="F67" i="110"/>
  <c r="D61" i="110"/>
  <c r="H58" i="98"/>
  <c r="D58" i="105"/>
  <c r="AB11" i="17"/>
  <c r="K58" i="105"/>
  <c r="H47" i="94"/>
  <c r="H73" i="94" s="1"/>
  <c r="F67" i="86"/>
  <c r="D67" i="86"/>
  <c r="C46" i="49"/>
  <c r="D46" i="49"/>
  <c r="E46" i="49"/>
  <c r="F46" i="49"/>
  <c r="H59" i="42"/>
  <c r="I58" i="68"/>
  <c r="F78" i="4"/>
  <c r="T16" i="17"/>
  <c r="F55" i="77"/>
  <c r="D67" i="110"/>
  <c r="G70" i="78"/>
  <c r="M25" i="83"/>
  <c r="U15" i="3"/>
  <c r="C58" i="77"/>
  <c r="E58" i="77"/>
  <c r="G58" i="77"/>
  <c r="G62" i="44"/>
  <c r="C62" i="44"/>
  <c r="H62" i="44" s="1"/>
  <c r="K62" i="96"/>
  <c r="AA15" i="17"/>
  <c r="K58" i="87"/>
  <c r="D58" i="87"/>
  <c r="E58" i="87"/>
  <c r="V11" i="17"/>
  <c r="F62" i="85"/>
  <c r="D62" i="85"/>
  <c r="H56" i="77"/>
  <c r="E56" i="77"/>
  <c r="C56" i="77"/>
  <c r="F56" i="77"/>
  <c r="E72" i="59"/>
  <c r="F72" i="59"/>
  <c r="G72" i="59"/>
  <c r="C72" i="59"/>
  <c r="H72" i="59" s="1"/>
  <c r="F56" i="43"/>
  <c r="G56" i="43"/>
  <c r="E56" i="43"/>
  <c r="C56" i="43"/>
  <c r="K67" i="110"/>
  <c r="AC20" i="17"/>
  <c r="G67" i="110"/>
  <c r="Z8" i="17"/>
  <c r="H55" i="97"/>
  <c r="D55" i="97"/>
  <c r="B69" i="98"/>
  <c r="AB15" i="17"/>
  <c r="K62" i="105"/>
  <c r="G62" i="105"/>
  <c r="I62" i="105"/>
  <c r="E68" i="110"/>
  <c r="F66" i="73"/>
  <c r="I58" i="87"/>
  <c r="H58" i="93"/>
  <c r="F58" i="93"/>
  <c r="G55" i="97"/>
  <c r="H65" i="96"/>
  <c r="F61" i="110"/>
  <c r="I67" i="110"/>
  <c r="G58" i="98"/>
  <c r="J58" i="98"/>
  <c r="P9" i="2"/>
  <c r="C63" i="61"/>
  <c r="C68" i="110"/>
  <c r="H64" i="111"/>
  <c r="E64" i="111"/>
  <c r="C62" i="98"/>
  <c r="Y15" i="17"/>
  <c r="H62" i="98"/>
  <c r="G58" i="87"/>
  <c r="F51" i="108"/>
  <c r="F78" i="108" s="1"/>
  <c r="E51" i="108"/>
  <c r="E78" i="108" s="1"/>
  <c r="G51" i="108"/>
  <c r="G78" i="108" s="1"/>
  <c r="J51" i="108"/>
  <c r="H51" i="108"/>
  <c r="H78" i="108" s="1"/>
  <c r="B53" i="108"/>
  <c r="C51" i="108"/>
  <c r="C78" i="108" s="1"/>
  <c r="D58" i="93"/>
  <c r="D53" i="76"/>
  <c r="F38" i="119"/>
  <c r="F64" i="119" s="1"/>
  <c r="C38" i="119"/>
  <c r="E38" i="119"/>
  <c r="E64" i="119" s="1"/>
  <c r="G38" i="119"/>
  <c r="G64" i="119" s="1"/>
  <c r="D38" i="119"/>
  <c r="D64" i="119" s="1"/>
  <c r="H38" i="119"/>
  <c r="H64" i="119" s="1"/>
  <c r="E67" i="110"/>
  <c r="I61" i="110"/>
  <c r="C70" i="78"/>
  <c r="F64" i="56"/>
  <c r="F58" i="87"/>
  <c r="K44" i="47"/>
  <c r="N21" i="17" s="1"/>
  <c r="I58" i="105"/>
  <c r="F76" i="99"/>
  <c r="H49" i="33"/>
  <c r="K37" i="60"/>
  <c r="P14" i="17" s="1"/>
  <c r="F73" i="93"/>
  <c r="C71" i="78"/>
  <c r="G59" i="15"/>
  <c r="C38" i="108"/>
  <c r="I60" i="105"/>
  <c r="C45" i="106"/>
  <c r="C71" i="106" s="1"/>
  <c r="F69" i="108"/>
  <c r="D57" i="105"/>
  <c r="F155" i="22"/>
  <c r="C53" i="76"/>
  <c r="H53" i="76"/>
  <c r="F34" i="15"/>
  <c r="F61" i="15" s="1"/>
  <c r="H34" i="15"/>
  <c r="B7" i="2" s="1"/>
  <c r="D64" i="111"/>
  <c r="C70" i="111"/>
  <c r="I63" i="71"/>
  <c r="H35" i="48"/>
  <c r="C73" i="84"/>
  <c r="D64" i="56"/>
  <c r="H36" i="59"/>
  <c r="J58" i="87"/>
  <c r="J58" i="105"/>
  <c r="G71" i="106"/>
  <c r="H25" i="72"/>
  <c r="F70" i="13"/>
  <c r="C17" i="3"/>
  <c r="F59" i="15"/>
  <c r="D69" i="108"/>
  <c r="D30" i="94"/>
  <c r="D56" i="94" s="1"/>
  <c r="E30" i="94"/>
  <c r="E56" i="94" s="1"/>
  <c r="G66" i="22"/>
  <c r="H66" i="22"/>
  <c r="D42" i="4"/>
  <c r="D69" i="4" s="1"/>
  <c r="F42" i="4"/>
  <c r="F69" i="4" s="1"/>
  <c r="C42" i="4"/>
  <c r="C69" i="4" s="1"/>
  <c r="E42" i="4"/>
  <c r="E69" i="4" s="1"/>
  <c r="C76" i="5"/>
  <c r="E76" i="5"/>
  <c r="C44" i="13"/>
  <c r="C71" i="13" s="1"/>
  <c r="G44" i="13"/>
  <c r="G71" i="13" s="1"/>
  <c r="F44" i="13"/>
  <c r="F71" i="13" s="1"/>
  <c r="E44" i="13"/>
  <c r="E71" i="13" s="1"/>
  <c r="F34" i="13"/>
  <c r="F61" i="13" s="1"/>
  <c r="B38" i="13"/>
  <c r="I30" i="22"/>
  <c r="F30" i="22"/>
  <c r="F70" i="109"/>
  <c r="E70" i="111"/>
  <c r="D64" i="93"/>
  <c r="H67" i="48"/>
  <c r="F76" i="56"/>
  <c r="H76" i="56" s="1"/>
  <c r="G77" i="56"/>
  <c r="H58" i="87"/>
  <c r="C60" i="98"/>
  <c r="H67" i="98"/>
  <c r="G58" i="105"/>
  <c r="D58" i="44"/>
  <c r="H58" i="44" s="1"/>
  <c r="D47" i="106"/>
  <c r="D73" i="106" s="1"/>
  <c r="C70" i="13"/>
  <c r="E62" i="96"/>
  <c r="L17" i="22"/>
  <c r="J121" i="22"/>
  <c r="D121" i="22"/>
  <c r="H121" i="22"/>
  <c r="C121" i="22"/>
  <c r="F121" i="22"/>
  <c r="E121" i="22"/>
  <c r="G121" i="22"/>
  <c r="I121" i="22"/>
  <c r="K110" i="22"/>
  <c r="K158" i="22"/>
  <c r="G68" i="72"/>
  <c r="D41" i="113"/>
  <c r="C41" i="113"/>
  <c r="G41" i="113"/>
  <c r="E41" i="113"/>
  <c r="F41" i="113"/>
  <c r="F23" i="114"/>
  <c r="AD16" i="17"/>
  <c r="K63" i="115"/>
  <c r="H39" i="47"/>
  <c r="D39" i="47"/>
  <c r="F30" i="94"/>
  <c r="F56" i="94" s="1"/>
  <c r="C30" i="94"/>
  <c r="C56" i="94" s="1"/>
  <c r="C66" i="73"/>
  <c r="H39" i="48"/>
  <c r="H61" i="34"/>
  <c r="E67" i="86"/>
  <c r="E58" i="105"/>
  <c r="B41" i="47"/>
  <c r="C63" i="77"/>
  <c r="K36" i="21"/>
  <c r="M13" i="17" s="1"/>
  <c r="B19" i="3"/>
  <c r="G70" i="108"/>
  <c r="E76" i="108"/>
  <c r="I62" i="96"/>
  <c r="G57" i="105"/>
  <c r="C64" i="106"/>
  <c r="J61" i="98"/>
  <c r="F68" i="97"/>
  <c r="E155" i="22"/>
  <c r="B4" i="18"/>
  <c r="J96" i="18" s="1"/>
  <c r="D61" i="76"/>
  <c r="I34" i="71"/>
  <c r="D34" i="71"/>
  <c r="E154" i="18"/>
  <c r="C63" i="79"/>
  <c r="I63" i="79"/>
  <c r="G67" i="86"/>
  <c r="B71" i="94"/>
  <c r="B23" i="94"/>
  <c r="B47" i="94" s="1"/>
  <c r="B45" i="94"/>
  <c r="G70" i="109"/>
  <c r="H67" i="110"/>
  <c r="H61" i="110"/>
  <c r="E52" i="110"/>
  <c r="F59" i="77"/>
  <c r="F56" i="75"/>
  <c r="E61" i="13"/>
  <c r="E73" i="86"/>
  <c r="C62" i="15"/>
  <c r="H62" i="15" s="1"/>
  <c r="H72" i="14"/>
  <c r="H62" i="13"/>
  <c r="D62" i="4"/>
  <c r="D57" i="78"/>
  <c r="G60" i="105"/>
  <c r="D62" i="105"/>
  <c r="F64" i="106"/>
  <c r="D62" i="108"/>
  <c r="G58" i="93"/>
  <c r="E58" i="93"/>
  <c r="G62" i="95"/>
  <c r="C68" i="97"/>
  <c r="Y14" i="17"/>
  <c r="D61" i="98"/>
  <c r="B61" i="88"/>
  <c r="D37" i="88"/>
  <c r="D61" i="88" s="1"/>
  <c r="F37" i="88"/>
  <c r="E37" i="88"/>
  <c r="E61" i="88" s="1"/>
  <c r="B41" i="88"/>
  <c r="G37" i="88"/>
  <c r="G61" i="88" s="1"/>
  <c r="I37" i="88"/>
  <c r="C37" i="88"/>
  <c r="H37" i="88"/>
  <c r="J37" i="88"/>
  <c r="J61" i="88" s="1"/>
  <c r="C31" i="89"/>
  <c r="C55" i="89" s="1"/>
  <c r="E31" i="89"/>
  <c r="E55" i="89" s="1"/>
  <c r="D31" i="89"/>
  <c r="D55" i="89" s="1"/>
  <c r="F31" i="89"/>
  <c r="F55" i="89" s="1"/>
  <c r="H31" i="89"/>
  <c r="H55" i="89" s="1"/>
  <c r="G31" i="89"/>
  <c r="G55" i="89" s="1"/>
  <c r="G33" i="93"/>
  <c r="F33" i="93"/>
  <c r="F59" i="93" s="1"/>
  <c r="E33" i="93"/>
  <c r="E59" i="93" s="1"/>
  <c r="E44" i="93"/>
  <c r="E70" i="93" s="1"/>
  <c r="C44" i="93"/>
  <c r="C70" i="93" s="1"/>
  <c r="F44" i="93"/>
  <c r="F70" i="93" s="1"/>
  <c r="F34" i="94"/>
  <c r="F60" i="94" s="1"/>
  <c r="F23" i="94"/>
  <c r="D59" i="77"/>
  <c r="H68" i="68"/>
  <c r="G73" i="86"/>
  <c r="G64" i="13"/>
  <c r="H64" i="13" s="1"/>
  <c r="J46" i="83"/>
  <c r="D73" i="83" s="1"/>
  <c r="H34" i="59"/>
  <c r="C62" i="105"/>
  <c r="F62" i="105"/>
  <c r="C70" i="108"/>
  <c r="H57" i="105"/>
  <c r="F62" i="96"/>
  <c r="C58" i="93"/>
  <c r="H55" i="93"/>
  <c r="G55" i="93"/>
  <c r="C62" i="95"/>
  <c r="Z21" i="17"/>
  <c r="H68" i="97"/>
  <c r="G34" i="30"/>
  <c r="I34" i="30"/>
  <c r="F34" i="30"/>
  <c r="H34" i="30"/>
  <c r="D34" i="30"/>
  <c r="K34" i="30" s="1"/>
  <c r="D11" i="17" s="1"/>
  <c r="H155" i="18"/>
  <c r="J66" i="22"/>
  <c r="D155" i="22"/>
  <c r="H155" i="22"/>
  <c r="F66" i="22"/>
  <c r="G155" i="22"/>
  <c r="J155" i="22"/>
  <c r="I155" i="22"/>
  <c r="C66" i="22"/>
  <c r="D66" i="22"/>
  <c r="E66" i="22"/>
  <c r="K66" i="22"/>
  <c r="G56" i="77"/>
  <c r="I7" i="5"/>
  <c r="H35" i="5"/>
  <c r="F56" i="63"/>
  <c r="H56" i="63"/>
  <c r="C65" i="40"/>
  <c r="H40" i="40"/>
  <c r="E65" i="40"/>
  <c r="G65" i="40"/>
  <c r="C69" i="42"/>
  <c r="D69" i="42"/>
  <c r="G58" i="42"/>
  <c r="D58" i="42"/>
  <c r="D63" i="44"/>
  <c r="H38" i="44"/>
  <c r="D59" i="67"/>
  <c r="C72" i="108"/>
  <c r="H62" i="96"/>
  <c r="D52" i="96"/>
  <c r="E70" i="106"/>
  <c r="D64" i="106"/>
  <c r="D63" i="94"/>
  <c r="E62" i="93"/>
  <c r="E55" i="93"/>
  <c r="B73" i="94"/>
  <c r="E69" i="93"/>
  <c r="D65" i="93"/>
  <c r="I68" i="97"/>
  <c r="D61" i="97"/>
  <c r="E70" i="99"/>
  <c r="G56" i="85"/>
  <c r="C61" i="76"/>
  <c r="D60" i="68"/>
  <c r="G42" i="49"/>
  <c r="G69" i="49" s="1"/>
  <c r="F54" i="85"/>
  <c r="G52" i="32"/>
  <c r="G32" i="49"/>
  <c r="I4" i="15"/>
  <c r="C59" i="15"/>
  <c r="F37" i="60"/>
  <c r="C37" i="60"/>
  <c r="E62" i="32"/>
  <c r="G60" i="63"/>
  <c r="D34" i="85"/>
  <c r="F34" i="85"/>
  <c r="E34" i="85"/>
  <c r="G34" i="85"/>
  <c r="G60" i="87"/>
  <c r="H60" i="87"/>
  <c r="F60" i="87"/>
  <c r="J60" i="87"/>
  <c r="J45" i="87"/>
  <c r="J23" i="87"/>
  <c r="J47" i="87" s="1"/>
  <c r="K37" i="88"/>
  <c r="D28" i="88"/>
  <c r="D52" i="88" s="1"/>
  <c r="J28" i="88"/>
  <c r="J52" i="88" s="1"/>
  <c r="E28" i="88"/>
  <c r="E52" i="88" s="1"/>
  <c r="I28" i="88"/>
  <c r="I52" i="88" s="1"/>
  <c r="B61" i="110"/>
  <c r="B65" i="110" s="1"/>
  <c r="B71" i="110" s="1"/>
  <c r="C37" i="110"/>
  <c r="C61" i="110" s="1"/>
  <c r="J62" i="96"/>
  <c r="J64" i="96"/>
  <c r="C70" i="106"/>
  <c r="G63" i="106"/>
  <c r="H58" i="97"/>
  <c r="C57" i="95"/>
  <c r="C62" i="93"/>
  <c r="I61" i="98"/>
  <c r="D68" i="97"/>
  <c r="I64" i="99"/>
  <c r="G55" i="73"/>
  <c r="D66" i="44"/>
  <c r="H66" i="44" s="1"/>
  <c r="F45" i="71"/>
  <c r="K55" i="75"/>
  <c r="F34" i="48"/>
  <c r="D70" i="73"/>
  <c r="K117" i="22"/>
  <c r="K40" i="21"/>
  <c r="M17" i="17" s="1"/>
  <c r="C41" i="14"/>
  <c r="C68" i="14" s="1"/>
  <c r="H68" i="14" s="1"/>
  <c r="E42" i="49"/>
  <c r="E69" i="49" s="1"/>
  <c r="H51" i="83"/>
  <c r="H78" i="83" s="1"/>
  <c r="G66" i="85"/>
  <c r="E52" i="32"/>
  <c r="D33" i="14"/>
  <c r="H65" i="21"/>
  <c r="J65" i="21"/>
  <c r="D65" i="21"/>
  <c r="F65" i="21"/>
  <c r="D55" i="21"/>
  <c r="J55" i="21"/>
  <c r="F55" i="21"/>
  <c r="D61" i="30"/>
  <c r="E61" i="30"/>
  <c r="H61" i="30"/>
  <c r="I61" i="30"/>
  <c r="J61" i="30"/>
  <c r="C61" i="30"/>
  <c r="K61" i="30"/>
  <c r="I17" i="33"/>
  <c r="C71" i="33"/>
  <c r="H71" i="33" s="1"/>
  <c r="E71" i="33"/>
  <c r="G71" i="33"/>
  <c r="G32" i="113"/>
  <c r="E32" i="113"/>
  <c r="F61" i="117"/>
  <c r="C62" i="96"/>
  <c r="E62" i="94"/>
  <c r="F60" i="99"/>
  <c r="H55" i="75"/>
  <c r="D45" i="71"/>
  <c r="E70" i="72"/>
  <c r="D34" i="48"/>
  <c r="K55" i="31"/>
  <c r="C42" i="49"/>
  <c r="C69" i="49" s="1"/>
  <c r="H69" i="49" s="1"/>
  <c r="G54" i="85"/>
  <c r="C52" i="32"/>
  <c r="F55" i="69"/>
  <c r="D42" i="14"/>
  <c r="D69" i="14" s="1"/>
  <c r="E42" i="14"/>
  <c r="E69" i="14" s="1"/>
  <c r="J29" i="21"/>
  <c r="F29" i="21"/>
  <c r="B53" i="21"/>
  <c r="I29" i="21"/>
  <c r="J64" i="21"/>
  <c r="L15" i="21"/>
  <c r="F64" i="21"/>
  <c r="L6" i="21"/>
  <c r="E54" i="21"/>
  <c r="F54" i="21"/>
  <c r="I54" i="21"/>
  <c r="J54" i="21"/>
  <c r="C54" i="21"/>
  <c r="K54" i="21"/>
  <c r="D54" i="21"/>
  <c r="G61" i="30"/>
  <c r="E70" i="30"/>
  <c r="G70" i="30"/>
  <c r="I70" i="30"/>
  <c r="K70" i="30"/>
  <c r="F67" i="59"/>
  <c r="E67" i="59"/>
  <c r="I29" i="76"/>
  <c r="I53" i="76" s="1"/>
  <c r="B34" i="76"/>
  <c r="K29" i="76"/>
  <c r="F53" i="75"/>
  <c r="I55" i="31"/>
  <c r="G62" i="85"/>
  <c r="K10" i="32"/>
  <c r="H55" i="69"/>
  <c r="G55" i="69"/>
  <c r="F25" i="9"/>
  <c r="H9" i="3" s="1"/>
  <c r="D61" i="47"/>
  <c r="E61" i="47"/>
  <c r="L12" i="47"/>
  <c r="H61" i="47"/>
  <c r="I61" i="47"/>
  <c r="J61" i="47"/>
  <c r="C61" i="47"/>
  <c r="K61" i="47"/>
  <c r="B71" i="21"/>
  <c r="C159" i="22"/>
  <c r="G159" i="22"/>
  <c r="D40" i="59"/>
  <c r="H40" i="59" s="1"/>
  <c r="F40" i="59"/>
  <c r="D69" i="55"/>
  <c r="E69" i="55"/>
  <c r="H69" i="55"/>
  <c r="I69" i="55"/>
  <c r="J69" i="55"/>
  <c r="C69" i="55"/>
  <c r="K69" i="55"/>
  <c r="E55" i="55"/>
  <c r="F55" i="55"/>
  <c r="I55" i="55"/>
  <c r="J55" i="55"/>
  <c r="C55" i="55"/>
  <c r="K55" i="55"/>
  <c r="D55" i="55"/>
  <c r="I64" i="60"/>
  <c r="J64" i="60"/>
  <c r="E64" i="60"/>
  <c r="F64" i="60"/>
  <c r="G64" i="60"/>
  <c r="H64" i="60"/>
  <c r="G53" i="60"/>
  <c r="H53" i="60"/>
  <c r="C53" i="60"/>
  <c r="K53" i="60"/>
  <c r="D53" i="60"/>
  <c r="E53" i="60"/>
  <c r="F53" i="60"/>
  <c r="H39" i="127"/>
  <c r="H65" i="127" s="1"/>
  <c r="F39" i="127"/>
  <c r="L13" i="32"/>
  <c r="J62" i="32"/>
  <c r="C62" i="32"/>
  <c r="K62" i="32"/>
  <c r="F62" i="32"/>
  <c r="G62" i="32"/>
  <c r="H62" i="32"/>
  <c r="I62" i="32"/>
  <c r="E48" i="48"/>
  <c r="H48" i="48" s="1"/>
  <c r="B76" i="48"/>
  <c r="E63" i="121"/>
  <c r="E60" i="99"/>
  <c r="F53" i="76"/>
  <c r="G55" i="75"/>
  <c r="E55" i="31"/>
  <c r="K155" i="22"/>
  <c r="B23" i="47"/>
  <c r="D54" i="85"/>
  <c r="F52" i="32"/>
  <c r="G44" i="56"/>
  <c r="G71" i="56" s="1"/>
  <c r="C44" i="56"/>
  <c r="C71" i="56" s="1"/>
  <c r="D44" i="56"/>
  <c r="D71" i="56" s="1"/>
  <c r="E44" i="56"/>
  <c r="E71" i="56" s="1"/>
  <c r="F44" i="56"/>
  <c r="F71" i="56" s="1"/>
  <c r="I6" i="5"/>
  <c r="H34" i="5"/>
  <c r="H69" i="47"/>
  <c r="J69" i="47"/>
  <c r="D69" i="47"/>
  <c r="F69" i="47"/>
  <c r="E36" i="21"/>
  <c r="I36" i="21"/>
  <c r="B55" i="30"/>
  <c r="F31" i="30"/>
  <c r="F28" i="32"/>
  <c r="J28" i="32"/>
  <c r="L12" i="32"/>
  <c r="D61" i="32"/>
  <c r="E61" i="32"/>
  <c r="H61" i="32"/>
  <c r="I61" i="32"/>
  <c r="J61" i="32"/>
  <c r="C61" i="32"/>
  <c r="K61" i="32"/>
  <c r="D62" i="96"/>
  <c r="E65" i="106"/>
  <c r="D62" i="95"/>
  <c r="D60" i="93"/>
  <c r="C61" i="98"/>
  <c r="E68" i="97"/>
  <c r="H62" i="99"/>
  <c r="C60" i="99"/>
  <c r="G63" i="99"/>
  <c r="C59" i="99"/>
  <c r="H47" i="86"/>
  <c r="H73" i="86" s="1"/>
  <c r="I45" i="71"/>
  <c r="J53" i="76"/>
  <c r="J61" i="76"/>
  <c r="E55" i="75"/>
  <c r="E54" i="85"/>
  <c r="K52" i="32"/>
  <c r="G36" i="21"/>
  <c r="K68" i="87"/>
  <c r="D68" i="87"/>
  <c r="V21" i="17"/>
  <c r="K53" i="71"/>
  <c r="F53" i="71"/>
  <c r="K64" i="60"/>
  <c r="J53" i="60"/>
  <c r="G55" i="55"/>
  <c r="C32" i="55"/>
  <c r="B56" i="55"/>
  <c r="D122" i="22"/>
  <c r="J122" i="22"/>
  <c r="K159" i="22"/>
  <c r="H70" i="22"/>
  <c r="F38" i="30"/>
  <c r="J38" i="30"/>
  <c r="D32" i="31"/>
  <c r="B56" i="31"/>
  <c r="I7" i="54"/>
  <c r="D61" i="54"/>
  <c r="F61" i="54"/>
  <c r="G61" i="54"/>
  <c r="C61" i="54"/>
  <c r="E61" i="54"/>
  <c r="J30" i="89"/>
  <c r="J54" i="89" s="1"/>
  <c r="D30" i="89"/>
  <c r="D54" i="89" s="1"/>
  <c r="C30" i="89"/>
  <c r="C54" i="89" s="1"/>
  <c r="E30" i="89"/>
  <c r="E54" i="89" s="1"/>
  <c r="G30" i="89"/>
  <c r="G54" i="89" s="1"/>
  <c r="I30" i="89"/>
  <c r="I54" i="89" s="1"/>
  <c r="B64" i="89"/>
  <c r="B65" i="89" s="1"/>
  <c r="I40" i="89"/>
  <c r="J40" i="89"/>
  <c r="B41" i="89"/>
  <c r="C40" i="89"/>
  <c r="D40" i="89"/>
  <c r="E40" i="89"/>
  <c r="F40" i="89"/>
  <c r="G40" i="89"/>
  <c r="H40" i="89"/>
  <c r="J36" i="115"/>
  <c r="C36" i="115"/>
  <c r="G36" i="115"/>
  <c r="G60" i="115" s="1"/>
  <c r="D36" i="115"/>
  <c r="H36" i="115"/>
  <c r="K36" i="115"/>
  <c r="K60" i="115" s="1"/>
  <c r="B60" i="115"/>
  <c r="E36" i="115"/>
  <c r="F36" i="115"/>
  <c r="B23" i="119"/>
  <c r="B47" i="119" s="1"/>
  <c r="B71" i="119"/>
  <c r="F30" i="119"/>
  <c r="F56" i="119" s="1"/>
  <c r="G30" i="119"/>
  <c r="G56" i="119" s="1"/>
  <c r="H35" i="117"/>
  <c r="I7" i="117"/>
  <c r="AE8" i="2" s="1"/>
  <c r="J32" i="122"/>
  <c r="I32" i="122"/>
  <c r="H32" i="122"/>
  <c r="G37" i="122"/>
  <c r="F37" i="122"/>
  <c r="E37" i="122"/>
  <c r="E69" i="83"/>
  <c r="E64" i="76"/>
  <c r="F78" i="66"/>
  <c r="D77" i="66"/>
  <c r="D71" i="66"/>
  <c r="F68" i="66"/>
  <c r="D65" i="66"/>
  <c r="D61" i="66"/>
  <c r="D34" i="61"/>
  <c r="D61" i="61" s="1"/>
  <c r="H61" i="61" s="1"/>
  <c r="C32" i="13"/>
  <c r="D45" i="14"/>
  <c r="D72" i="14" s="1"/>
  <c r="D37" i="15"/>
  <c r="D64" i="15" s="1"/>
  <c r="E145" i="18"/>
  <c r="E105" i="18"/>
  <c r="J36" i="55"/>
  <c r="I29" i="55"/>
  <c r="D29" i="22"/>
  <c r="F29" i="30"/>
  <c r="F37" i="31"/>
  <c r="G63" i="32"/>
  <c r="D65" i="63"/>
  <c r="B24" i="38"/>
  <c r="B52" i="18" s="1"/>
  <c r="C41" i="73"/>
  <c r="C67" i="73" s="1"/>
  <c r="F41" i="73"/>
  <c r="F67" i="73" s="1"/>
  <c r="C31" i="71"/>
  <c r="C55" i="71" s="1"/>
  <c r="G31" i="71"/>
  <c r="G55" i="71" s="1"/>
  <c r="H37" i="72"/>
  <c r="I9" i="72"/>
  <c r="G28" i="95"/>
  <c r="F28" i="95"/>
  <c r="I40" i="115"/>
  <c r="B64" i="115"/>
  <c r="D40" i="115"/>
  <c r="F35" i="117"/>
  <c r="E35" i="117"/>
  <c r="C37" i="121"/>
  <c r="C64" i="121" s="1"/>
  <c r="G37" i="121"/>
  <c r="G64" i="121" s="1"/>
  <c r="C43" i="121"/>
  <c r="G43" i="121"/>
  <c r="H43" i="121"/>
  <c r="E25" i="121"/>
  <c r="AF16" i="17"/>
  <c r="K63" i="118"/>
  <c r="J37" i="118"/>
  <c r="J61" i="118" s="1"/>
  <c r="D37" i="118"/>
  <c r="I37" i="118"/>
  <c r="H37" i="118"/>
  <c r="B61" i="118"/>
  <c r="H34" i="85"/>
  <c r="H69" i="83"/>
  <c r="C69" i="83"/>
  <c r="H62" i="79"/>
  <c r="C77" i="66"/>
  <c r="C71" i="66"/>
  <c r="C65" i="66"/>
  <c r="C61" i="66"/>
  <c r="B25" i="5"/>
  <c r="F45" i="13"/>
  <c r="D105" i="18"/>
  <c r="F104" i="18"/>
  <c r="F29" i="55"/>
  <c r="D37" i="31"/>
  <c r="K37" i="31" s="1"/>
  <c r="C14" i="17" s="1"/>
  <c r="D65" i="32"/>
  <c r="F63" i="32"/>
  <c r="C65" i="63"/>
  <c r="C70" i="54"/>
  <c r="G67" i="34"/>
  <c r="H67" i="34" s="1"/>
  <c r="G76" i="67"/>
  <c r="G34" i="67"/>
  <c r="G61" i="67" s="1"/>
  <c r="H34" i="67"/>
  <c r="C34" i="67"/>
  <c r="C61" i="67" s="1"/>
  <c r="D50" i="67"/>
  <c r="D77" i="67" s="1"/>
  <c r="F50" i="67"/>
  <c r="F77" i="67" s="1"/>
  <c r="G50" i="67"/>
  <c r="G77" i="67" s="1"/>
  <c r="C64" i="114"/>
  <c r="F40" i="114"/>
  <c r="F66" i="114" s="1"/>
  <c r="E40" i="114"/>
  <c r="H43" i="115"/>
  <c r="B67" i="115"/>
  <c r="G43" i="115"/>
  <c r="I43" i="115"/>
  <c r="F43" i="115"/>
  <c r="J43" i="115"/>
  <c r="J67" i="115" s="1"/>
  <c r="F55" i="119"/>
  <c r="F53" i="118"/>
  <c r="D43" i="121"/>
  <c r="G36" i="121"/>
  <c r="G63" i="121" s="1"/>
  <c r="F36" i="121"/>
  <c r="F69" i="83"/>
  <c r="I52" i="76"/>
  <c r="D25" i="15"/>
  <c r="F39" i="55"/>
  <c r="E29" i="55"/>
  <c r="I23" i="21"/>
  <c r="D23" i="22"/>
  <c r="E63" i="32"/>
  <c r="L14" i="32"/>
  <c r="F32" i="59"/>
  <c r="E32" i="59"/>
  <c r="C69" i="59"/>
  <c r="E69" i="59"/>
  <c r="I14" i="34"/>
  <c r="C68" i="34"/>
  <c r="E68" i="34"/>
  <c r="G68" i="34"/>
  <c r="H41" i="43"/>
  <c r="H37" i="43"/>
  <c r="C76" i="67"/>
  <c r="C153" i="18"/>
  <c r="J29" i="68"/>
  <c r="F29" i="68"/>
  <c r="H29" i="68"/>
  <c r="I29" i="68"/>
  <c r="I29" i="71"/>
  <c r="I53" i="71" s="1"/>
  <c r="H29" i="71"/>
  <c r="H53" i="71" s="1"/>
  <c r="C29" i="71"/>
  <c r="C53" i="71" s="1"/>
  <c r="J43" i="71"/>
  <c r="D43" i="71"/>
  <c r="F43" i="71"/>
  <c r="I35" i="79"/>
  <c r="D35" i="79"/>
  <c r="H40" i="95"/>
  <c r="C163" i="18"/>
  <c r="C157" i="18"/>
  <c r="K37" i="110"/>
  <c r="E61" i="110" s="1"/>
  <c r="G40" i="114"/>
  <c r="G50" i="113"/>
  <c r="D50" i="113"/>
  <c r="C50" i="113"/>
  <c r="F31" i="114"/>
  <c r="F57" i="114" s="1"/>
  <c r="E31" i="114"/>
  <c r="E57" i="114" s="1"/>
  <c r="D31" i="114"/>
  <c r="D57" i="114" s="1"/>
  <c r="C43" i="115"/>
  <c r="B63" i="115"/>
  <c r="C36" i="121"/>
  <c r="E43" i="121"/>
  <c r="D63" i="122"/>
  <c r="C64" i="122"/>
  <c r="H38" i="123"/>
  <c r="H64" i="123" s="1"/>
  <c r="F40" i="123"/>
  <c r="H53" i="88"/>
  <c r="H45" i="13"/>
  <c r="I9" i="48"/>
  <c r="E63" i="48"/>
  <c r="H63" i="48" s="1"/>
  <c r="G63" i="48"/>
  <c r="I13" i="34"/>
  <c r="E67" i="34"/>
  <c r="C28" i="68"/>
  <c r="C52" i="68" s="1"/>
  <c r="E28" i="68"/>
  <c r="E52" i="68" s="1"/>
  <c r="F28" i="68"/>
  <c r="F52" i="68" s="1"/>
  <c r="G28" i="68"/>
  <c r="G52" i="68" s="1"/>
  <c r="C28" i="71"/>
  <c r="G28" i="71"/>
  <c r="I28" i="71"/>
  <c r="C32" i="67"/>
  <c r="C59" i="67" s="1"/>
  <c r="F32" i="67"/>
  <c r="H32" i="67"/>
  <c r="G32" i="67"/>
  <c r="G59" i="67" s="1"/>
  <c r="F29" i="94"/>
  <c r="H29" i="94"/>
  <c r="F37" i="113"/>
  <c r="E37" i="113"/>
  <c r="G32" i="114"/>
  <c r="G58" i="114" s="1"/>
  <c r="C32" i="114"/>
  <c r="C58" i="114" s="1"/>
  <c r="D32" i="114"/>
  <c r="E32" i="114"/>
  <c r="E58" i="114" s="1"/>
  <c r="F32" i="114"/>
  <c r="F58" i="114" s="1"/>
  <c r="E43" i="115"/>
  <c r="C53" i="118"/>
  <c r="E55" i="119"/>
  <c r="D36" i="121"/>
  <c r="F43" i="121"/>
  <c r="E36" i="125"/>
  <c r="D36" i="125"/>
  <c r="C36" i="125"/>
  <c r="C63" i="125" s="1"/>
  <c r="D44" i="127"/>
  <c r="E44" i="127"/>
  <c r="E53" i="88"/>
  <c r="G57" i="87"/>
  <c r="F77" i="66"/>
  <c r="F71" i="66"/>
  <c r="F65" i="66"/>
  <c r="F61" i="66"/>
  <c r="G35" i="61"/>
  <c r="G62" i="61" s="1"/>
  <c r="D41" i="49"/>
  <c r="D68" i="49" s="1"/>
  <c r="H68" i="49" s="1"/>
  <c r="I5" i="5"/>
  <c r="K26" i="17"/>
  <c r="J37" i="47"/>
  <c r="F33" i="21"/>
  <c r="D28" i="21"/>
  <c r="K28" i="21" s="1"/>
  <c r="M5" i="17" s="1"/>
  <c r="J29" i="22"/>
  <c r="J36" i="30"/>
  <c r="K36" i="30" s="1"/>
  <c r="D13" i="17" s="1"/>
  <c r="I63" i="32"/>
  <c r="F32" i="32"/>
  <c r="G71" i="63"/>
  <c r="G69" i="59"/>
  <c r="F48" i="59"/>
  <c r="D48" i="59"/>
  <c r="H48" i="59" s="1"/>
  <c r="I6" i="54"/>
  <c r="D60" i="54"/>
  <c r="H60" i="54" s="1"/>
  <c r="E60" i="54"/>
  <c r="F60" i="54"/>
  <c r="E39" i="33"/>
  <c r="H39" i="33" s="1"/>
  <c r="E34" i="67"/>
  <c r="E61" i="67" s="1"/>
  <c r="J28" i="68"/>
  <c r="J52" i="68" s="1"/>
  <c r="I43" i="71"/>
  <c r="H40" i="86"/>
  <c r="I5" i="113"/>
  <c r="AD6" i="2" s="1"/>
  <c r="H33" i="113"/>
  <c r="E37" i="121"/>
  <c r="E64" i="121" s="1"/>
  <c r="G25" i="121"/>
  <c r="AA10" i="3" s="1"/>
  <c r="I9" i="121"/>
  <c r="AF10" i="2" s="1"/>
  <c r="H37" i="121"/>
  <c r="D64" i="121" s="1"/>
  <c r="E42" i="125"/>
  <c r="H29" i="126"/>
  <c r="G29" i="126"/>
  <c r="F29" i="126"/>
  <c r="D36" i="127"/>
  <c r="E36" i="127"/>
  <c r="G69" i="83"/>
  <c r="E66" i="73"/>
  <c r="F103" i="18"/>
  <c r="D100" i="18"/>
  <c r="J29" i="55"/>
  <c r="L15" i="47"/>
  <c r="E60" i="63"/>
  <c r="F69" i="59"/>
  <c r="I16" i="54"/>
  <c r="D70" i="54"/>
  <c r="I5" i="54"/>
  <c r="C59" i="54"/>
  <c r="H59" i="54" s="1"/>
  <c r="D59" i="54"/>
  <c r="D61" i="67"/>
  <c r="C36" i="67"/>
  <c r="G36" i="67"/>
  <c r="H42" i="67"/>
  <c r="C42" i="67"/>
  <c r="H34" i="113"/>
  <c r="I6" i="113"/>
  <c r="AD7" i="2" s="1"/>
  <c r="F33" i="113"/>
  <c r="F60" i="113" s="1"/>
  <c r="C33" i="113"/>
  <c r="C60" i="113" s="1"/>
  <c r="E33" i="113"/>
  <c r="E60" i="113" s="1"/>
  <c r="D33" i="113"/>
  <c r="D60" i="113" s="1"/>
  <c r="G64" i="114"/>
  <c r="D55" i="115"/>
  <c r="D39" i="115"/>
  <c r="I39" i="115"/>
  <c r="J39" i="115"/>
  <c r="J63" i="115" s="1"/>
  <c r="E39" i="115"/>
  <c r="F39" i="115"/>
  <c r="G39" i="115"/>
  <c r="G63" i="115" s="1"/>
  <c r="E34" i="117"/>
  <c r="E61" i="117" s="1"/>
  <c r="D34" i="117"/>
  <c r="D61" i="117" s="1"/>
  <c r="C34" i="117"/>
  <c r="F34" i="117"/>
  <c r="F64" i="121"/>
  <c r="I8" i="121"/>
  <c r="AF9" i="2" s="1"/>
  <c r="H36" i="121"/>
  <c r="J44" i="122"/>
  <c r="J68" i="122" s="1"/>
  <c r="I44" i="122"/>
  <c r="H44" i="122"/>
  <c r="H68" i="122" s="1"/>
  <c r="C44" i="123"/>
  <c r="F44" i="123"/>
  <c r="E44" i="123"/>
  <c r="D44" i="123"/>
  <c r="C23" i="123"/>
  <c r="H38" i="118"/>
  <c r="H62" i="118" s="1"/>
  <c r="C38" i="118"/>
  <c r="B62" i="118"/>
  <c r="B65" i="118" s="1"/>
  <c r="F38" i="118"/>
  <c r="D38" i="118"/>
  <c r="J28" i="118"/>
  <c r="C28" i="118"/>
  <c r="H28" i="118"/>
  <c r="I28" i="118"/>
  <c r="G28" i="118"/>
  <c r="E27" i="126"/>
  <c r="E51" i="126"/>
  <c r="D49" i="34"/>
  <c r="H49" i="34" s="1"/>
  <c r="H40" i="44"/>
  <c r="G69" i="72"/>
  <c r="K23" i="68"/>
  <c r="L20" i="18" s="1"/>
  <c r="E51" i="72"/>
  <c r="E78" i="72" s="1"/>
  <c r="R18" i="3"/>
  <c r="B41" i="77"/>
  <c r="E36" i="87"/>
  <c r="E60" i="87" s="1"/>
  <c r="H36" i="95"/>
  <c r="E62" i="95" s="1"/>
  <c r="B23" i="105"/>
  <c r="D38" i="114"/>
  <c r="D64" i="114" s="1"/>
  <c r="B45" i="114"/>
  <c r="G61" i="113"/>
  <c r="F29" i="115"/>
  <c r="H56" i="115"/>
  <c r="K31" i="115"/>
  <c r="I55" i="115" s="1"/>
  <c r="K40" i="115"/>
  <c r="B61" i="115"/>
  <c r="H41" i="117"/>
  <c r="C68" i="117" s="1"/>
  <c r="E40" i="119"/>
  <c r="E25" i="117"/>
  <c r="E67" i="118"/>
  <c r="E57" i="119"/>
  <c r="G47" i="119"/>
  <c r="F52" i="122"/>
  <c r="E63" i="122"/>
  <c r="D64" i="122"/>
  <c r="F32" i="123"/>
  <c r="K37" i="118"/>
  <c r="AC21" i="3"/>
  <c r="AC25" i="3" s="1"/>
  <c r="C23" i="89"/>
  <c r="E23" i="89"/>
  <c r="B23" i="89"/>
  <c r="U24" i="16" s="1"/>
  <c r="D36" i="87"/>
  <c r="D60" i="87" s="1"/>
  <c r="H33" i="95"/>
  <c r="D59" i="95" s="1"/>
  <c r="H31" i="95"/>
  <c r="H57" i="95" s="1"/>
  <c r="K39" i="96"/>
  <c r="K37" i="105"/>
  <c r="F64" i="114"/>
  <c r="F64" i="118"/>
  <c r="H34" i="121"/>
  <c r="F61" i="121" s="1"/>
  <c r="G52" i="122"/>
  <c r="F63" i="122"/>
  <c r="E30" i="123"/>
  <c r="H44" i="123"/>
  <c r="F24" i="40"/>
  <c r="C24" i="43"/>
  <c r="D47" i="18" s="1"/>
  <c r="D139" i="18" s="1"/>
  <c r="F24" i="44"/>
  <c r="C51" i="72"/>
  <c r="C78" i="72" s="1"/>
  <c r="H42" i="72"/>
  <c r="D69" i="72" s="1"/>
  <c r="C36" i="87"/>
  <c r="C60" i="87" s="1"/>
  <c r="H37" i="106"/>
  <c r="I32" i="108"/>
  <c r="H33" i="109"/>
  <c r="K33" i="110"/>
  <c r="E61" i="113"/>
  <c r="F36" i="113"/>
  <c r="E56" i="114"/>
  <c r="H37" i="113"/>
  <c r="E25" i="113"/>
  <c r="Y8" i="3" s="1"/>
  <c r="H40" i="114"/>
  <c r="B62" i="115"/>
  <c r="B65" i="115" s="1"/>
  <c r="E31" i="115"/>
  <c r="E55" i="115" s="1"/>
  <c r="I23" i="115"/>
  <c r="C23" i="115"/>
  <c r="D53" i="118"/>
  <c r="I64" i="118"/>
  <c r="E41" i="117"/>
  <c r="D63" i="118"/>
  <c r="C40" i="119"/>
  <c r="C66" i="119" s="1"/>
  <c r="F41" i="117"/>
  <c r="H44" i="121"/>
  <c r="H32" i="123"/>
  <c r="D23" i="118"/>
  <c r="K18" i="79"/>
  <c r="K10" i="79"/>
  <c r="K38" i="89"/>
  <c r="K32" i="96"/>
  <c r="K29" i="97"/>
  <c r="K30" i="105"/>
  <c r="G54" i="105" s="1"/>
  <c r="K33" i="105"/>
  <c r="F57" i="105" s="1"/>
  <c r="K44" i="110"/>
  <c r="H68" i="110" s="1"/>
  <c r="D56" i="114"/>
  <c r="G56" i="114"/>
  <c r="C55" i="115"/>
  <c r="H63" i="118"/>
  <c r="E64" i="118"/>
  <c r="E77" i="121"/>
  <c r="AC18" i="3"/>
  <c r="AC20" i="3" s="1"/>
  <c r="AC22" i="3"/>
  <c r="H40" i="73"/>
  <c r="H66" i="73" s="1"/>
  <c r="H28" i="85"/>
  <c r="H54" i="85" s="1"/>
  <c r="H43" i="86"/>
  <c r="H28" i="95"/>
  <c r="H39" i="106"/>
  <c r="C158" i="18"/>
  <c r="C56" i="114"/>
  <c r="D38" i="115"/>
  <c r="D62" i="115" s="1"/>
  <c r="J38" i="115"/>
  <c r="G53" i="118"/>
  <c r="E63" i="118"/>
  <c r="B23" i="118"/>
  <c r="E53" i="118"/>
  <c r="F77" i="121"/>
  <c r="H64" i="122"/>
  <c r="K21" i="118"/>
  <c r="D143" i="18"/>
  <c r="C55" i="18"/>
  <c r="E146" i="18"/>
  <c r="L100" i="18"/>
  <c r="G145" i="18"/>
  <c r="F145" i="18"/>
  <c r="I145" i="18"/>
  <c r="H145" i="18"/>
  <c r="L103" i="18"/>
  <c r="I97" i="18"/>
  <c r="H97" i="18"/>
  <c r="F154" i="18"/>
  <c r="J113" i="18"/>
  <c r="H143" i="18"/>
  <c r="H103" i="18"/>
  <c r="J97" i="18"/>
  <c r="C53" i="18"/>
  <c r="I103" i="18"/>
  <c r="D103" i="18"/>
  <c r="C161" i="18"/>
  <c r="F138" i="18"/>
  <c r="I98" i="18"/>
  <c r="C11" i="18"/>
  <c r="H138" i="18"/>
  <c r="G103" i="18"/>
  <c r="E150" i="18"/>
  <c r="E143" i="18"/>
  <c r="E103" i="18"/>
  <c r="D138" i="18"/>
  <c r="K103" i="18"/>
  <c r="G143" i="18"/>
  <c r="H113" i="18"/>
  <c r="I143" i="18"/>
  <c r="C143" i="18" s="1"/>
  <c r="F150" i="18"/>
  <c r="D146" i="18"/>
  <c r="I102" i="18"/>
  <c r="D147" i="18"/>
  <c r="K97" i="18"/>
  <c r="E102" i="18"/>
  <c r="I146" i="18"/>
  <c r="G98" i="18"/>
  <c r="H149" i="18"/>
  <c r="E110" i="18"/>
  <c r="H154" i="18"/>
  <c r="K110" i="18"/>
  <c r="G146" i="18"/>
  <c r="G99" i="18"/>
  <c r="G102" i="18"/>
  <c r="F146" i="18"/>
  <c r="H146" i="18"/>
  <c r="D97" i="18"/>
  <c r="E97" i="18"/>
  <c r="K102" i="18"/>
  <c r="F97" i="18"/>
  <c r="D98" i="18"/>
  <c r="D150" i="18"/>
  <c r="L106" i="18"/>
  <c r="K106" i="18"/>
  <c r="F98" i="18"/>
  <c r="B113" i="18"/>
  <c r="D99" i="18"/>
  <c r="G155" i="18"/>
  <c r="E155" i="18"/>
  <c r="L99" i="18"/>
  <c r="I99" i="18"/>
  <c r="H99" i="18"/>
  <c r="I106" i="18"/>
  <c r="F106" i="18"/>
  <c r="F155" i="18"/>
  <c r="C7" i="18"/>
  <c r="F99" i="18"/>
  <c r="H106" i="18"/>
  <c r="G106" i="18"/>
  <c r="K99" i="18"/>
  <c r="D73" i="129"/>
  <c r="F53" i="129"/>
  <c r="E53" i="129"/>
  <c r="H53" i="129"/>
  <c r="G80" i="129" s="1"/>
  <c r="E78" i="129"/>
  <c r="D78" i="129"/>
  <c r="F78" i="129"/>
  <c r="G78" i="129"/>
  <c r="D53" i="129"/>
  <c r="C53" i="129"/>
  <c r="E73" i="129"/>
  <c r="F73" i="129"/>
  <c r="G73" i="129"/>
  <c r="C78" i="129"/>
  <c r="S21" i="3"/>
  <c r="S13" i="3"/>
  <c r="H53" i="72"/>
  <c r="I140" i="18"/>
  <c r="G140" i="18"/>
  <c r="H36" i="48"/>
  <c r="D63" i="71"/>
  <c r="D61" i="68"/>
  <c r="I67" i="98"/>
  <c r="H57" i="106"/>
  <c r="F57" i="106"/>
  <c r="K45" i="30"/>
  <c r="D22" i="17" s="1"/>
  <c r="G67" i="44"/>
  <c r="F51" i="109"/>
  <c r="H63" i="98"/>
  <c r="C78" i="109"/>
  <c r="H54" i="42"/>
  <c r="D78" i="56"/>
  <c r="D73" i="95"/>
  <c r="F64" i="13"/>
  <c r="C63" i="78"/>
  <c r="G60" i="108"/>
  <c r="E71" i="111"/>
  <c r="B22" i="3"/>
  <c r="G78" i="99"/>
  <c r="H55" i="43"/>
  <c r="J69" i="88"/>
  <c r="C65" i="87"/>
  <c r="H65" i="42"/>
  <c r="F62" i="78"/>
  <c r="H60" i="79"/>
  <c r="D63" i="98"/>
  <c r="F60" i="95"/>
  <c r="E60" i="95"/>
  <c r="H60" i="95"/>
  <c r="D60" i="95"/>
  <c r="H57" i="43"/>
  <c r="H61" i="4"/>
  <c r="V23" i="3"/>
  <c r="V25" i="3" s="1"/>
  <c r="J65" i="98"/>
  <c r="H61" i="68"/>
  <c r="H63" i="34"/>
  <c r="G68" i="67"/>
  <c r="G62" i="67"/>
  <c r="C77" i="56"/>
  <c r="E69" i="13"/>
  <c r="H57" i="78"/>
  <c r="D71" i="4"/>
  <c r="C71" i="4"/>
  <c r="D47" i="94"/>
  <c r="C47" i="94"/>
  <c r="G47" i="94"/>
  <c r="H80" i="83"/>
  <c r="F80" i="83"/>
  <c r="K98" i="18"/>
  <c r="H49" i="48"/>
  <c r="C76" i="99"/>
  <c r="H71" i="40"/>
  <c r="H62" i="49"/>
  <c r="J20" i="3"/>
  <c r="H60" i="108"/>
  <c r="C60" i="108"/>
  <c r="H69" i="13"/>
  <c r="H58" i="43"/>
  <c r="H65" i="43"/>
  <c r="C67" i="44"/>
  <c r="F73" i="83"/>
  <c r="F63" i="73"/>
  <c r="E57" i="77"/>
  <c r="G57" i="77"/>
  <c r="H57" i="77"/>
  <c r="D62" i="71"/>
  <c r="F38" i="79"/>
  <c r="H70" i="73"/>
  <c r="D63" i="49"/>
  <c r="E55" i="73"/>
  <c r="F49" i="61"/>
  <c r="F76" i="61" s="1"/>
  <c r="D49" i="61"/>
  <c r="H26" i="17"/>
  <c r="L13" i="47"/>
  <c r="E62" i="47"/>
  <c r="F62" i="47"/>
  <c r="G62" i="47"/>
  <c r="H62" i="47"/>
  <c r="I62" i="47"/>
  <c r="D62" i="47"/>
  <c r="F30" i="21"/>
  <c r="K30" i="21" s="1"/>
  <c r="M7" i="17" s="1"/>
  <c r="L20" i="21"/>
  <c r="F70" i="21"/>
  <c r="G70" i="21"/>
  <c r="H70" i="21"/>
  <c r="I70" i="21"/>
  <c r="D70" i="21"/>
  <c r="E70" i="21"/>
  <c r="J70" i="21"/>
  <c r="K70" i="21"/>
  <c r="C70" i="21"/>
  <c r="B23" i="21"/>
  <c r="M11" i="16"/>
  <c r="L16" i="30"/>
  <c r="J65" i="30"/>
  <c r="C65" i="30"/>
  <c r="K65" i="30"/>
  <c r="D65" i="30"/>
  <c r="E65" i="30"/>
  <c r="F65" i="30"/>
  <c r="G65" i="30"/>
  <c r="H65" i="30"/>
  <c r="I65" i="30"/>
  <c r="C55" i="30"/>
  <c r="E55" i="30"/>
  <c r="G55" i="30"/>
  <c r="I55" i="30"/>
  <c r="K55" i="30"/>
  <c r="C63" i="63"/>
  <c r="H63" i="63"/>
  <c r="E58" i="63"/>
  <c r="H58" i="63"/>
  <c r="B60" i="75"/>
  <c r="J36" i="75"/>
  <c r="J60" i="75" s="1"/>
  <c r="F36" i="75"/>
  <c r="F60" i="75" s="1"/>
  <c r="D32" i="88"/>
  <c r="D56" i="88" s="1"/>
  <c r="C32" i="88"/>
  <c r="C56" i="88" s="1"/>
  <c r="F32" i="88"/>
  <c r="F56" i="88" s="1"/>
  <c r="E32" i="88"/>
  <c r="E56" i="88" s="1"/>
  <c r="H32" i="88"/>
  <c r="H56" i="88" s="1"/>
  <c r="G32" i="88"/>
  <c r="G56" i="88" s="1"/>
  <c r="B67" i="88"/>
  <c r="B69" i="88" s="1"/>
  <c r="F43" i="88"/>
  <c r="H43" i="88"/>
  <c r="C43" i="88"/>
  <c r="J43" i="88"/>
  <c r="E43" i="88"/>
  <c r="G43" i="88"/>
  <c r="D43" i="88"/>
  <c r="J23" i="89"/>
  <c r="J45" i="89"/>
  <c r="F41" i="88"/>
  <c r="V7" i="2"/>
  <c r="C61" i="83"/>
  <c r="E61" i="83"/>
  <c r="E42" i="56"/>
  <c r="F42" i="56"/>
  <c r="G42" i="56"/>
  <c r="D42" i="56"/>
  <c r="I4" i="4"/>
  <c r="C59" i="4"/>
  <c r="H59" i="4" s="1"/>
  <c r="C39" i="47"/>
  <c r="E39" i="47"/>
  <c r="F32" i="47"/>
  <c r="C32" i="47"/>
  <c r="E32" i="47"/>
  <c r="J70" i="47"/>
  <c r="C70" i="47"/>
  <c r="E70" i="47"/>
  <c r="F70" i="47"/>
  <c r="G70" i="47"/>
  <c r="I70" i="47"/>
  <c r="K70" i="47"/>
  <c r="L20" i="47"/>
  <c r="F52" i="47"/>
  <c r="J52" i="47"/>
  <c r="K54" i="30"/>
  <c r="F54" i="30"/>
  <c r="H54" i="30"/>
  <c r="J54" i="30"/>
  <c r="E54" i="30"/>
  <c r="I54" i="30"/>
  <c r="C54" i="30"/>
  <c r="D54" i="30"/>
  <c r="I22" i="54"/>
  <c r="G76" i="54"/>
  <c r="F76" i="54"/>
  <c r="E76" i="54"/>
  <c r="I8" i="54"/>
  <c r="C62" i="54"/>
  <c r="D62" i="54"/>
  <c r="E62" i="54"/>
  <c r="H57" i="84"/>
  <c r="G57" i="84"/>
  <c r="F57" i="84"/>
  <c r="H49" i="59"/>
  <c r="H69" i="34"/>
  <c r="F59" i="4"/>
  <c r="E62" i="105"/>
  <c r="D76" i="108"/>
  <c r="K52" i="96"/>
  <c r="D70" i="106"/>
  <c r="C41" i="93"/>
  <c r="C67" i="93" s="1"/>
  <c r="E60" i="93"/>
  <c r="G66" i="94"/>
  <c r="G63" i="94"/>
  <c r="H59" i="99"/>
  <c r="L17" i="21"/>
  <c r="G38" i="79"/>
  <c r="J41" i="32"/>
  <c r="E45" i="71"/>
  <c r="E54" i="77"/>
  <c r="I60" i="75"/>
  <c r="E60" i="68"/>
  <c r="G45" i="68"/>
  <c r="G69" i="68" s="1"/>
  <c r="C49" i="61"/>
  <c r="C76" i="61" s="1"/>
  <c r="D61" i="83"/>
  <c r="G61" i="83"/>
  <c r="G52" i="76"/>
  <c r="D68" i="76"/>
  <c r="D33" i="13"/>
  <c r="D60" i="13" s="1"/>
  <c r="H60" i="13" s="1"/>
  <c r="F44" i="15"/>
  <c r="F71" i="15" s="1"/>
  <c r="D44" i="15"/>
  <c r="D71" i="15" s="1"/>
  <c r="F37" i="55"/>
  <c r="H37" i="55"/>
  <c r="J37" i="55"/>
  <c r="D37" i="55"/>
  <c r="J62" i="47"/>
  <c r="C71" i="108"/>
  <c r="J53" i="96"/>
  <c r="E47" i="94"/>
  <c r="E73" i="94" s="1"/>
  <c r="C65" i="93"/>
  <c r="G64" i="48"/>
  <c r="E38" i="79"/>
  <c r="F41" i="32"/>
  <c r="H52" i="75"/>
  <c r="D52" i="75"/>
  <c r="C41" i="32"/>
  <c r="G70" i="73"/>
  <c r="D56" i="76"/>
  <c r="K56" i="76"/>
  <c r="I56" i="76"/>
  <c r="D34" i="15"/>
  <c r="D61" i="15" s="1"/>
  <c r="G34" i="15"/>
  <c r="G61" i="15" s="1"/>
  <c r="E34" i="15"/>
  <c r="E61" i="15" s="1"/>
  <c r="C34" i="15"/>
  <c r="C61" i="15" s="1"/>
  <c r="F31" i="60"/>
  <c r="B55" i="60"/>
  <c r="B58" i="60" s="1"/>
  <c r="J31" i="60"/>
  <c r="C62" i="47"/>
  <c r="D76" i="54"/>
  <c r="G62" i="54"/>
  <c r="K41" i="105"/>
  <c r="AB18" i="17" s="1"/>
  <c r="F62" i="108"/>
  <c r="E60" i="108"/>
  <c r="F34" i="105"/>
  <c r="F58" i="105" s="1"/>
  <c r="D41" i="93"/>
  <c r="D67" i="93" s="1"/>
  <c r="F65" i="97"/>
  <c r="I67" i="97"/>
  <c r="F60" i="96"/>
  <c r="F70" i="99"/>
  <c r="D59" i="99"/>
  <c r="E64" i="48"/>
  <c r="J66" i="60"/>
  <c r="E60" i="75"/>
  <c r="G64" i="78"/>
  <c r="H55" i="71"/>
  <c r="F55" i="73"/>
  <c r="E70" i="73"/>
  <c r="G65" i="77"/>
  <c r="F36" i="49"/>
  <c r="F63" i="49" s="1"/>
  <c r="C36" i="49"/>
  <c r="C63" i="49" s="1"/>
  <c r="E36" i="49"/>
  <c r="E63" i="49" s="1"/>
  <c r="H30" i="22"/>
  <c r="B54" i="22"/>
  <c r="C30" i="22"/>
  <c r="E30" i="22"/>
  <c r="D30" i="22"/>
  <c r="C76" i="54"/>
  <c r="H76" i="54" s="1"/>
  <c r="F62" i="54"/>
  <c r="G72" i="108"/>
  <c r="C77" i="108"/>
  <c r="G57" i="106"/>
  <c r="F47" i="94"/>
  <c r="G65" i="93"/>
  <c r="F57" i="93"/>
  <c r="C64" i="48"/>
  <c r="H64" i="48" s="1"/>
  <c r="H38" i="79"/>
  <c r="H65" i="79" s="1"/>
  <c r="I38" i="79"/>
  <c r="E41" i="32"/>
  <c r="H47" i="54"/>
  <c r="I39" i="47"/>
  <c r="K45" i="89"/>
  <c r="E45" i="89"/>
  <c r="F45" i="89"/>
  <c r="G45" i="89"/>
  <c r="C45" i="89"/>
  <c r="C25" i="49"/>
  <c r="N6" i="3" s="1"/>
  <c r="H44" i="5"/>
  <c r="E71" i="5" s="1"/>
  <c r="I16" i="5"/>
  <c r="F49" i="13"/>
  <c r="C49" i="13"/>
  <c r="E49" i="13"/>
  <c r="F33" i="55"/>
  <c r="H33" i="55"/>
  <c r="J33" i="55"/>
  <c r="D33" i="55"/>
  <c r="E61" i="75"/>
  <c r="F60" i="105"/>
  <c r="H70" i="108"/>
  <c r="E62" i="108"/>
  <c r="E57" i="106"/>
  <c r="G53" i="96"/>
  <c r="D57" i="93"/>
  <c r="C63" i="94"/>
  <c r="H45" i="68"/>
  <c r="H69" i="68" s="1"/>
  <c r="D38" i="79"/>
  <c r="D65" i="79" s="1"/>
  <c r="G54" i="77"/>
  <c r="C64" i="78"/>
  <c r="D55" i="73"/>
  <c r="E66" i="85"/>
  <c r="G39" i="47"/>
  <c r="I15" i="5"/>
  <c r="H43" i="5"/>
  <c r="D36" i="14"/>
  <c r="G36" i="14"/>
  <c r="E36" i="14"/>
  <c r="E63" i="14" s="1"/>
  <c r="C36" i="14"/>
  <c r="C134" i="22"/>
  <c r="E134" i="22"/>
  <c r="J119" i="22"/>
  <c r="I119" i="22"/>
  <c r="B143" i="22"/>
  <c r="B147" i="22" s="1"/>
  <c r="B162" i="22" s="1"/>
  <c r="D119" i="22"/>
  <c r="H119" i="22"/>
  <c r="G119" i="22"/>
  <c r="C42" i="59"/>
  <c r="F42" i="59"/>
  <c r="C59" i="77"/>
  <c r="H58" i="59"/>
  <c r="H76" i="108"/>
  <c r="F70" i="108"/>
  <c r="G62" i="108"/>
  <c r="D41" i="105"/>
  <c r="C57" i="106"/>
  <c r="H41" i="95"/>
  <c r="H67" i="95" s="1"/>
  <c r="E57" i="93"/>
  <c r="D47" i="93"/>
  <c r="D73" i="93" s="1"/>
  <c r="F55" i="93"/>
  <c r="G57" i="93"/>
  <c r="E65" i="94"/>
  <c r="H45" i="71"/>
  <c r="B60" i="18"/>
  <c r="G152" i="18" s="1"/>
  <c r="J55" i="71"/>
  <c r="H60" i="68"/>
  <c r="H41" i="48"/>
  <c r="C45" i="75"/>
  <c r="H45" i="75"/>
  <c r="C62" i="85"/>
  <c r="F66" i="85"/>
  <c r="I32" i="47"/>
  <c r="E56" i="76"/>
  <c r="K36" i="89"/>
  <c r="D60" i="89" s="1"/>
  <c r="K17" i="89"/>
  <c r="U22" i="16"/>
  <c r="I45" i="89"/>
  <c r="I69" i="89" s="1"/>
  <c r="I23" i="89"/>
  <c r="B67" i="89"/>
  <c r="B69" i="89" s="1"/>
  <c r="J43" i="89"/>
  <c r="C43" i="89"/>
  <c r="I43" i="89"/>
  <c r="H43" i="89"/>
  <c r="F43" i="114"/>
  <c r="E43" i="114"/>
  <c r="G43" i="114"/>
  <c r="G69" i="114" s="1"/>
  <c r="D43" i="114"/>
  <c r="C43" i="114"/>
  <c r="F60" i="89"/>
  <c r="E56" i="89"/>
  <c r="G52" i="89"/>
  <c r="F61" i="83"/>
  <c r="D55" i="69"/>
  <c r="G64" i="76"/>
  <c r="G68" i="76"/>
  <c r="F13" i="3"/>
  <c r="D78" i="66"/>
  <c r="L104" i="18"/>
  <c r="B66" i="60"/>
  <c r="B71" i="55"/>
  <c r="H38" i="55"/>
  <c r="H64" i="47"/>
  <c r="G24" i="26"/>
  <c r="H10" i="18" s="1"/>
  <c r="H102" i="18" s="1"/>
  <c r="I24" i="26"/>
  <c r="J10" i="18" s="1"/>
  <c r="J102" i="18" s="1"/>
  <c r="H53" i="31"/>
  <c r="F65" i="32"/>
  <c r="B66" i="32"/>
  <c r="B73" i="32" s="1"/>
  <c r="I14" i="33"/>
  <c r="E68" i="33"/>
  <c r="G68" i="33"/>
  <c r="E54" i="40"/>
  <c r="H54" i="40" s="1"/>
  <c r="G54" i="40"/>
  <c r="D24" i="43"/>
  <c r="E47" i="18" s="1"/>
  <c r="E139" i="18" s="1"/>
  <c r="C33" i="71"/>
  <c r="C57" i="71" s="1"/>
  <c r="D61" i="72"/>
  <c r="H54" i="68"/>
  <c r="D41" i="79"/>
  <c r="D68" i="79" s="1"/>
  <c r="F41" i="79"/>
  <c r="F68" i="79" s="1"/>
  <c r="H25" i="79"/>
  <c r="T11" i="3" s="1"/>
  <c r="K32" i="89"/>
  <c r="F56" i="89" s="1"/>
  <c r="J32" i="89"/>
  <c r="J56" i="89" s="1"/>
  <c r="B34" i="118"/>
  <c r="D33" i="118"/>
  <c r="F33" i="118"/>
  <c r="J33" i="118"/>
  <c r="E33" i="118"/>
  <c r="G33" i="118"/>
  <c r="I33" i="118"/>
  <c r="H33" i="118"/>
  <c r="H34" i="118"/>
  <c r="F40" i="127"/>
  <c r="E40" i="127"/>
  <c r="C40" i="127"/>
  <c r="K33" i="21"/>
  <c r="M10" i="17" s="1"/>
  <c r="E45" i="84"/>
  <c r="E71" i="84" s="1"/>
  <c r="F45" i="84"/>
  <c r="F71" i="84" s="1"/>
  <c r="D59" i="85"/>
  <c r="E61" i="89"/>
  <c r="I57" i="87"/>
  <c r="E25" i="49"/>
  <c r="N8" i="3" s="1"/>
  <c r="D51" i="5"/>
  <c r="F59" i="5"/>
  <c r="H59" i="5" s="1"/>
  <c r="I9" i="5"/>
  <c r="C42" i="14"/>
  <c r="C69" i="14" s="1"/>
  <c r="F25" i="15"/>
  <c r="F26" i="17"/>
  <c r="H104" i="18"/>
  <c r="F100" i="18"/>
  <c r="B55" i="55"/>
  <c r="B58" i="55" s="1"/>
  <c r="C38" i="55"/>
  <c r="K38" i="55" s="1"/>
  <c r="O15" i="17" s="1"/>
  <c r="L8" i="21"/>
  <c r="H56" i="21"/>
  <c r="I56" i="21"/>
  <c r="J56" i="21"/>
  <c r="C56" i="21"/>
  <c r="K56" i="21"/>
  <c r="F37" i="30"/>
  <c r="J31" i="30"/>
  <c r="K31" i="30" s="1"/>
  <c r="D8" i="17" s="1"/>
  <c r="H29" i="30"/>
  <c r="I29" i="30"/>
  <c r="J29" i="30"/>
  <c r="B53" i="30"/>
  <c r="L14" i="30"/>
  <c r="F63" i="30"/>
  <c r="G63" i="30"/>
  <c r="H63" i="30"/>
  <c r="I63" i="30"/>
  <c r="C53" i="30"/>
  <c r="E53" i="30"/>
  <c r="D65" i="31"/>
  <c r="F65" i="31"/>
  <c r="H65" i="31"/>
  <c r="J65" i="31"/>
  <c r="D55" i="31"/>
  <c r="F55" i="31"/>
  <c r="H55" i="31"/>
  <c r="J55" i="31"/>
  <c r="F38" i="32"/>
  <c r="K38" i="32" s="1"/>
  <c r="B15" i="17" s="1"/>
  <c r="H59" i="63"/>
  <c r="D69" i="63"/>
  <c r="F69" i="63"/>
  <c r="G67" i="63"/>
  <c r="G63" i="63"/>
  <c r="G58" i="63"/>
  <c r="I6" i="48"/>
  <c r="C60" i="48"/>
  <c r="D60" i="48"/>
  <c r="D56" i="69"/>
  <c r="H50" i="72"/>
  <c r="I22" i="72"/>
  <c r="E36" i="114"/>
  <c r="C36" i="114"/>
  <c r="D36" i="114"/>
  <c r="G36" i="114"/>
  <c r="I166" i="18"/>
  <c r="C166" i="18" s="1"/>
  <c r="C74" i="18"/>
  <c r="K33" i="118"/>
  <c r="C33" i="118"/>
  <c r="K56" i="118"/>
  <c r="AF9" i="17"/>
  <c r="G23" i="123"/>
  <c r="E34" i="118"/>
  <c r="B45" i="118"/>
  <c r="G44" i="118"/>
  <c r="D44" i="118"/>
  <c r="E44" i="118"/>
  <c r="E68" i="118" s="1"/>
  <c r="C44" i="118"/>
  <c r="B68" i="118"/>
  <c r="B69" i="118" s="1"/>
  <c r="J44" i="118"/>
  <c r="I44" i="118"/>
  <c r="F44" i="118"/>
  <c r="K44" i="118"/>
  <c r="H44" i="118"/>
  <c r="H68" i="118" s="1"/>
  <c r="I32" i="118"/>
  <c r="I56" i="118" s="1"/>
  <c r="H32" i="118"/>
  <c r="H56" i="118" s="1"/>
  <c r="G32" i="118"/>
  <c r="G56" i="118" s="1"/>
  <c r="E32" i="118"/>
  <c r="E56" i="118" s="1"/>
  <c r="F32" i="118"/>
  <c r="F56" i="118" s="1"/>
  <c r="D32" i="118"/>
  <c r="D56" i="118" s="1"/>
  <c r="C32" i="118"/>
  <c r="C56" i="118" s="1"/>
  <c r="G59" i="85"/>
  <c r="C61" i="89"/>
  <c r="H63" i="83"/>
  <c r="E63" i="83"/>
  <c r="F51" i="5"/>
  <c r="C38" i="5"/>
  <c r="I31" i="55"/>
  <c r="F38" i="31"/>
  <c r="J38" i="31"/>
  <c r="F32" i="31"/>
  <c r="H32" i="31"/>
  <c r="D55" i="32"/>
  <c r="H65" i="32"/>
  <c r="I65" i="32"/>
  <c r="J65" i="32"/>
  <c r="C65" i="32"/>
  <c r="K65" i="32"/>
  <c r="H23" i="32"/>
  <c r="F67" i="63"/>
  <c r="G64" i="63"/>
  <c r="F63" i="63"/>
  <c r="F58" i="63"/>
  <c r="I5" i="48"/>
  <c r="F59" i="48"/>
  <c r="H59" i="48" s="1"/>
  <c r="I13" i="43"/>
  <c r="H18" i="43"/>
  <c r="I18" i="43" s="1"/>
  <c r="K39" i="68"/>
  <c r="K63" i="68" s="1"/>
  <c r="E39" i="68"/>
  <c r="B63" i="68"/>
  <c r="F39" i="68"/>
  <c r="F63" i="68" s="1"/>
  <c r="G39" i="68"/>
  <c r="H39" i="68"/>
  <c r="B63" i="71"/>
  <c r="B65" i="71" s="1"/>
  <c r="E39" i="71"/>
  <c r="E63" i="71" s="1"/>
  <c r="F36" i="114"/>
  <c r="E59" i="85"/>
  <c r="H56" i="89"/>
  <c r="F52" i="89"/>
  <c r="I60" i="89"/>
  <c r="F63" i="83"/>
  <c r="C63" i="83"/>
  <c r="D69" i="5"/>
  <c r="H69" i="5" s="1"/>
  <c r="C25" i="5"/>
  <c r="B25" i="14"/>
  <c r="I23" i="47"/>
  <c r="H37" i="30"/>
  <c r="J37" i="30"/>
  <c r="D63" i="31"/>
  <c r="F63" i="31"/>
  <c r="H63" i="31"/>
  <c r="E63" i="63"/>
  <c r="K32" i="68"/>
  <c r="C56" i="68" s="1"/>
  <c r="F32" i="68"/>
  <c r="G32" i="68"/>
  <c r="H32" i="68"/>
  <c r="I32" i="68"/>
  <c r="I56" i="68" s="1"/>
  <c r="J32" i="68"/>
  <c r="K38" i="68"/>
  <c r="E38" i="68"/>
  <c r="B62" i="68"/>
  <c r="F38" i="68"/>
  <c r="F62" i="68" s="1"/>
  <c r="G38" i="68"/>
  <c r="H38" i="68"/>
  <c r="H62" i="68" s="1"/>
  <c r="I38" i="68"/>
  <c r="I62" i="68" s="1"/>
  <c r="C38" i="71"/>
  <c r="C62" i="71" s="1"/>
  <c r="E38" i="71"/>
  <c r="G38" i="71"/>
  <c r="G62" i="71" s="1"/>
  <c r="I38" i="71"/>
  <c r="I62" i="71" s="1"/>
  <c r="S7" i="2"/>
  <c r="E61" i="72"/>
  <c r="H61" i="72"/>
  <c r="F43" i="87"/>
  <c r="F67" i="87" s="1"/>
  <c r="H43" i="87"/>
  <c r="H67" i="87" s="1"/>
  <c r="J43" i="87"/>
  <c r="D43" i="87"/>
  <c r="D67" i="87" s="1"/>
  <c r="H66" i="119"/>
  <c r="E32" i="121"/>
  <c r="D32" i="121"/>
  <c r="C32" i="121"/>
  <c r="G32" i="121"/>
  <c r="F32" i="121"/>
  <c r="C59" i="85"/>
  <c r="D52" i="89"/>
  <c r="G60" i="89"/>
  <c r="I56" i="89"/>
  <c r="G55" i="87"/>
  <c r="D63" i="83"/>
  <c r="E52" i="76"/>
  <c r="C25" i="56"/>
  <c r="O6" i="3" s="1"/>
  <c r="G25" i="49"/>
  <c r="N10" i="3" s="1"/>
  <c r="D25" i="4"/>
  <c r="G71" i="5"/>
  <c r="J32" i="60"/>
  <c r="K32" i="60" s="1"/>
  <c r="P9" i="17" s="1"/>
  <c r="B66" i="47"/>
  <c r="F64" i="22"/>
  <c r="H64" i="22"/>
  <c r="J64" i="22"/>
  <c r="C153" i="22"/>
  <c r="E153" i="22"/>
  <c r="F54" i="22"/>
  <c r="J54" i="22"/>
  <c r="B55" i="31"/>
  <c r="F23" i="32"/>
  <c r="I14" i="54"/>
  <c r="C68" i="54"/>
  <c r="D68" i="54"/>
  <c r="E68" i="54"/>
  <c r="F68" i="54"/>
  <c r="F76" i="48"/>
  <c r="I21" i="33"/>
  <c r="C75" i="33"/>
  <c r="E75" i="33"/>
  <c r="I16" i="33"/>
  <c r="D70" i="33"/>
  <c r="H70" i="33" s="1"/>
  <c r="I17" i="34"/>
  <c r="C71" i="34"/>
  <c r="H71" i="34" s="1"/>
  <c r="B25" i="72"/>
  <c r="D41" i="73"/>
  <c r="D67" i="73" s="1"/>
  <c r="F32" i="71"/>
  <c r="G32" i="71"/>
  <c r="H32" i="71"/>
  <c r="I32" i="71"/>
  <c r="J32" i="71"/>
  <c r="C37" i="71"/>
  <c r="C61" i="71" s="1"/>
  <c r="D37" i="71"/>
  <c r="D61" i="71" s="1"/>
  <c r="E37" i="71"/>
  <c r="E61" i="71" s="1"/>
  <c r="F37" i="71"/>
  <c r="F61" i="71" s="1"/>
  <c r="G37" i="71"/>
  <c r="G61" i="71" s="1"/>
  <c r="K21" i="71"/>
  <c r="H45" i="72"/>
  <c r="C72" i="72" s="1"/>
  <c r="D49" i="79"/>
  <c r="D76" i="79" s="1"/>
  <c r="F49" i="79"/>
  <c r="F76" i="79" s="1"/>
  <c r="I49" i="79"/>
  <c r="C115" i="18"/>
  <c r="H43" i="84"/>
  <c r="H30" i="86"/>
  <c r="G66" i="119"/>
  <c r="K54" i="118"/>
  <c r="G54" i="118"/>
  <c r="I54" i="118"/>
  <c r="D54" i="118"/>
  <c r="H54" i="118"/>
  <c r="AF7" i="17"/>
  <c r="D167" i="18"/>
  <c r="E167" i="18"/>
  <c r="G167" i="18"/>
  <c r="B167" i="18"/>
  <c r="E45" i="121"/>
  <c r="C45" i="121"/>
  <c r="G45" i="121"/>
  <c r="F45" i="121"/>
  <c r="F72" i="121" s="1"/>
  <c r="D45" i="121"/>
  <c r="H60" i="89"/>
  <c r="I52" i="89"/>
  <c r="H61" i="83"/>
  <c r="D60" i="66"/>
  <c r="G25" i="9"/>
  <c r="H10" i="3" s="1"/>
  <c r="I134" i="22"/>
  <c r="D142" i="22"/>
  <c r="F142" i="22"/>
  <c r="H142" i="22"/>
  <c r="C53" i="22"/>
  <c r="J142" i="22"/>
  <c r="J53" i="31"/>
  <c r="G65" i="32"/>
  <c r="I13" i="54"/>
  <c r="C67" i="54"/>
  <c r="H67" i="54" s="1"/>
  <c r="D67" i="54"/>
  <c r="D76" i="48"/>
  <c r="H76" i="48" s="1"/>
  <c r="G71" i="34"/>
  <c r="H34" i="43"/>
  <c r="J39" i="68"/>
  <c r="E32" i="68"/>
  <c r="E56" i="68" s="1"/>
  <c r="D40" i="69"/>
  <c r="H40" i="69"/>
  <c r="F66" i="69" s="1"/>
  <c r="F32" i="69"/>
  <c r="H32" i="69"/>
  <c r="F23" i="71"/>
  <c r="D39" i="87"/>
  <c r="D63" i="87" s="1"/>
  <c r="F39" i="87"/>
  <c r="F63" i="87" s="1"/>
  <c r="H39" i="87"/>
  <c r="H63" i="87" s="1"/>
  <c r="J39" i="87"/>
  <c r="J63" i="87" s="1"/>
  <c r="C39" i="87"/>
  <c r="C63" i="87" s="1"/>
  <c r="H39" i="86"/>
  <c r="H65" i="86" s="1"/>
  <c r="E62" i="117"/>
  <c r="E54" i="118"/>
  <c r="I17" i="121"/>
  <c r="AF17" i="2" s="1"/>
  <c r="H45" i="121"/>
  <c r="B25" i="121"/>
  <c r="AA24" i="16" s="1"/>
  <c r="G23" i="118"/>
  <c r="E50" i="125"/>
  <c r="F50" i="125"/>
  <c r="G24" i="42"/>
  <c r="F24" i="43"/>
  <c r="G47" i="18" s="1"/>
  <c r="G139" i="18" s="1"/>
  <c r="D54" i="68"/>
  <c r="F56" i="69"/>
  <c r="H44" i="84"/>
  <c r="C70" i="84" s="1"/>
  <c r="E35" i="113"/>
  <c r="E62" i="113" s="1"/>
  <c r="C35" i="113"/>
  <c r="D35" i="113"/>
  <c r="G35" i="113"/>
  <c r="H35" i="113"/>
  <c r="D44" i="113"/>
  <c r="F44" i="113"/>
  <c r="F71" i="113" s="1"/>
  <c r="G44" i="113"/>
  <c r="C44" i="113"/>
  <c r="C71" i="113" s="1"/>
  <c r="H17" i="114"/>
  <c r="C37" i="114"/>
  <c r="D37" i="114"/>
  <c r="E37" i="114"/>
  <c r="J56" i="115"/>
  <c r="I61" i="118"/>
  <c r="E44" i="117"/>
  <c r="D44" i="117"/>
  <c r="G44" i="117"/>
  <c r="H44" i="117"/>
  <c r="C71" i="117" s="1"/>
  <c r="K64" i="118"/>
  <c r="AF17" i="17"/>
  <c r="G43" i="119"/>
  <c r="C43" i="119"/>
  <c r="G70" i="121"/>
  <c r="G44" i="121"/>
  <c r="G71" i="121" s="1"/>
  <c r="F44" i="121"/>
  <c r="F71" i="121" s="1"/>
  <c r="E44" i="121"/>
  <c r="D44" i="121"/>
  <c r="H21" i="123"/>
  <c r="H118" i="22"/>
  <c r="G70" i="63"/>
  <c r="D67" i="63"/>
  <c r="F64" i="63"/>
  <c r="D63" i="63"/>
  <c r="D58" i="63"/>
  <c r="H32" i="42"/>
  <c r="E24" i="43"/>
  <c r="F47" i="18" s="1"/>
  <c r="F139" i="18" s="1"/>
  <c r="G42" i="67"/>
  <c r="J30" i="68"/>
  <c r="J54" i="68" s="1"/>
  <c r="E29" i="68"/>
  <c r="C29" i="69"/>
  <c r="C55" i="69" s="1"/>
  <c r="E43" i="71"/>
  <c r="D29" i="71"/>
  <c r="D53" i="71" s="1"/>
  <c r="F69" i="72"/>
  <c r="K29" i="68"/>
  <c r="J53" i="68" s="1"/>
  <c r="F46" i="72"/>
  <c r="F73" i="72" s="1"/>
  <c r="F44" i="75"/>
  <c r="F68" i="75" s="1"/>
  <c r="K21" i="75"/>
  <c r="J43" i="83"/>
  <c r="D70" i="83" s="1"/>
  <c r="K39" i="105"/>
  <c r="F63" i="105" s="1"/>
  <c r="H58" i="114"/>
  <c r="H45" i="113"/>
  <c r="G45" i="113"/>
  <c r="G72" i="113" s="1"/>
  <c r="D23" i="114"/>
  <c r="D34" i="114"/>
  <c r="F29" i="114"/>
  <c r="E29" i="114"/>
  <c r="C29" i="114"/>
  <c r="AD9" i="17"/>
  <c r="G56" i="115"/>
  <c r="K56" i="115"/>
  <c r="I56" i="115"/>
  <c r="B45" i="115"/>
  <c r="E44" i="115"/>
  <c r="C44" i="115"/>
  <c r="J62" i="118"/>
  <c r="G35" i="117"/>
  <c r="G62" i="117" s="1"/>
  <c r="C35" i="117"/>
  <c r="C62" i="117" s="1"/>
  <c r="D35" i="117"/>
  <c r="D62" i="117" s="1"/>
  <c r="F54" i="118"/>
  <c r="G28" i="119"/>
  <c r="C28" i="119"/>
  <c r="F28" i="119"/>
  <c r="D28" i="119"/>
  <c r="D36" i="119"/>
  <c r="G36" i="119"/>
  <c r="C44" i="121"/>
  <c r="F118" i="22"/>
  <c r="C67" i="63"/>
  <c r="E64" i="63"/>
  <c r="C58" i="63"/>
  <c r="F36" i="34"/>
  <c r="F46" i="40"/>
  <c r="F42" i="67"/>
  <c r="F69" i="67" s="1"/>
  <c r="E36" i="67"/>
  <c r="E63" i="67" s="1"/>
  <c r="H36" i="67"/>
  <c r="C63" i="67" s="1"/>
  <c r="I30" i="68"/>
  <c r="I54" i="68" s="1"/>
  <c r="C30" i="68"/>
  <c r="C54" i="68" s="1"/>
  <c r="D53" i="68"/>
  <c r="E69" i="72"/>
  <c r="J23" i="75"/>
  <c r="C156" i="18"/>
  <c r="H32" i="86"/>
  <c r="D58" i="86" s="1"/>
  <c r="K40" i="89"/>
  <c r="H30" i="95"/>
  <c r="C56" i="95" s="1"/>
  <c r="D58" i="114"/>
  <c r="H29" i="114"/>
  <c r="H55" i="114" s="1"/>
  <c r="G36" i="113"/>
  <c r="G63" i="113" s="1"/>
  <c r="D36" i="113"/>
  <c r="H36" i="113"/>
  <c r="E23" i="114"/>
  <c r="E34" i="114"/>
  <c r="K21" i="115"/>
  <c r="K43" i="115"/>
  <c r="G67" i="115" s="1"/>
  <c r="E37" i="115"/>
  <c r="J37" i="115"/>
  <c r="G37" i="115"/>
  <c r="C37" i="115"/>
  <c r="C61" i="115" s="1"/>
  <c r="D37" i="115"/>
  <c r="B41" i="115"/>
  <c r="K53" i="118"/>
  <c r="AF6" i="17"/>
  <c r="D64" i="118"/>
  <c r="I13" i="117"/>
  <c r="AE13" i="2" s="1"/>
  <c r="H18" i="117"/>
  <c r="C49" i="117"/>
  <c r="F49" i="117"/>
  <c r="G49" i="117"/>
  <c r="D49" i="117"/>
  <c r="B45" i="119"/>
  <c r="C45" i="119" s="1"/>
  <c r="G29" i="119"/>
  <c r="G55" i="119" s="1"/>
  <c r="D29" i="119"/>
  <c r="D55" i="119" s="1"/>
  <c r="C29" i="119"/>
  <c r="C55" i="119" s="1"/>
  <c r="E36" i="119"/>
  <c r="C33" i="18"/>
  <c r="I31" i="122"/>
  <c r="I64" i="122"/>
  <c r="G32" i="122"/>
  <c r="G56" i="122" s="1"/>
  <c r="F32" i="122"/>
  <c r="F56" i="122" s="1"/>
  <c r="E32" i="122"/>
  <c r="E56" i="122" s="1"/>
  <c r="D32" i="122"/>
  <c r="K32" i="122"/>
  <c r="AE9" i="17" s="1"/>
  <c r="C32" i="122"/>
  <c r="D37" i="122"/>
  <c r="C37" i="122"/>
  <c r="J37" i="122"/>
  <c r="B61" i="122"/>
  <c r="I37" i="122"/>
  <c r="I61" i="122" s="1"/>
  <c r="H37" i="122"/>
  <c r="D38" i="123"/>
  <c r="D64" i="123" s="1"/>
  <c r="I23" i="30"/>
  <c r="C73" i="63"/>
  <c r="E70" i="63"/>
  <c r="F65" i="63"/>
  <c r="G24" i="38"/>
  <c r="H52" i="18" s="1"/>
  <c r="E24" i="40"/>
  <c r="E42" i="67"/>
  <c r="D36" i="67"/>
  <c r="D63" i="67" s="1"/>
  <c r="C29" i="68"/>
  <c r="C53" i="68" s="1"/>
  <c r="B67" i="71"/>
  <c r="B69" i="71" s="1"/>
  <c r="C43" i="71"/>
  <c r="J29" i="71"/>
  <c r="J53" i="71" s="1"/>
  <c r="F61" i="72"/>
  <c r="I37" i="79"/>
  <c r="H64" i="79" s="1"/>
  <c r="H30" i="93"/>
  <c r="D56" i="93" s="1"/>
  <c r="H35" i="109"/>
  <c r="F62" i="109" s="1"/>
  <c r="F35" i="113"/>
  <c r="F44" i="115"/>
  <c r="I63" i="115"/>
  <c r="D63" i="115"/>
  <c r="E63" i="115"/>
  <c r="G44" i="115"/>
  <c r="K44" i="115"/>
  <c r="K68" i="115" s="1"/>
  <c r="E65" i="119"/>
  <c r="F44" i="117"/>
  <c r="F71" i="117" s="1"/>
  <c r="F69" i="117"/>
  <c r="G69" i="117"/>
  <c r="C64" i="118"/>
  <c r="C30" i="119"/>
  <c r="C56" i="119" s="1"/>
  <c r="E30" i="119"/>
  <c r="E56" i="119" s="1"/>
  <c r="D30" i="119"/>
  <c r="D56" i="119" s="1"/>
  <c r="G37" i="119"/>
  <c r="E37" i="119"/>
  <c r="F37" i="119"/>
  <c r="AE16" i="17"/>
  <c r="K63" i="122"/>
  <c r="J64" i="122"/>
  <c r="I36" i="122"/>
  <c r="J36" i="122"/>
  <c r="E36" i="122"/>
  <c r="AE5" i="17"/>
  <c r="K52" i="122"/>
  <c r="C52" i="122"/>
  <c r="G36" i="125"/>
  <c r="F36" i="125"/>
  <c r="G42" i="125"/>
  <c r="C42" i="125"/>
  <c r="H36" i="125"/>
  <c r="E29" i="126"/>
  <c r="D29" i="126"/>
  <c r="C29" i="126"/>
  <c r="J29" i="126"/>
  <c r="I29" i="126"/>
  <c r="G43" i="126"/>
  <c r="K43" i="126"/>
  <c r="D51" i="126"/>
  <c r="D27" i="126"/>
  <c r="K143" i="22"/>
  <c r="G23" i="30"/>
  <c r="C69" i="63"/>
  <c r="E65" i="63"/>
  <c r="C59" i="63"/>
  <c r="D42" i="40"/>
  <c r="D42" i="67"/>
  <c r="C23" i="60"/>
  <c r="D25" i="59"/>
  <c r="K32" i="71"/>
  <c r="K17" i="71"/>
  <c r="K41" i="71" s="1"/>
  <c r="B51" i="67"/>
  <c r="F37" i="79"/>
  <c r="H36" i="84"/>
  <c r="K32" i="87"/>
  <c r="K33" i="88"/>
  <c r="C57" i="88" s="1"/>
  <c r="K43" i="88"/>
  <c r="I67" i="88" s="1"/>
  <c r="H28" i="94"/>
  <c r="E54" i="94" s="1"/>
  <c r="H33" i="94"/>
  <c r="D59" i="94" s="1"/>
  <c r="H32" i="95"/>
  <c r="K37" i="96"/>
  <c r="C61" i="96" s="1"/>
  <c r="D29" i="114"/>
  <c r="D55" i="114" s="1"/>
  <c r="F45" i="114"/>
  <c r="D45" i="114"/>
  <c r="C45" i="114"/>
  <c r="E45" i="114"/>
  <c r="G45" i="114"/>
  <c r="AD13" i="17"/>
  <c r="D28" i="115"/>
  <c r="H63" i="115"/>
  <c r="E28" i="119"/>
  <c r="F43" i="119"/>
  <c r="F69" i="119" s="1"/>
  <c r="B58" i="122"/>
  <c r="G44" i="122"/>
  <c r="G68" i="122" s="1"/>
  <c r="F44" i="122"/>
  <c r="B68" i="122"/>
  <c r="B69" i="122" s="1"/>
  <c r="E44" i="122"/>
  <c r="D44" i="122"/>
  <c r="K44" i="122"/>
  <c r="C44" i="122"/>
  <c r="H23" i="118"/>
  <c r="H35" i="125"/>
  <c r="E62" i="125" s="1"/>
  <c r="I7" i="125"/>
  <c r="AG8" i="2" s="1"/>
  <c r="E28" i="126"/>
  <c r="D28" i="126"/>
  <c r="C28" i="126"/>
  <c r="J28" i="126"/>
  <c r="I28" i="126"/>
  <c r="F29" i="127"/>
  <c r="H32" i="106"/>
  <c r="D58" i="106" s="1"/>
  <c r="H29" i="111"/>
  <c r="F55" i="111" s="1"/>
  <c r="C70" i="113"/>
  <c r="H44" i="113"/>
  <c r="F60" i="115"/>
  <c r="G64" i="118"/>
  <c r="E61" i="118"/>
  <c r="C69" i="117"/>
  <c r="G57" i="119"/>
  <c r="H36" i="119"/>
  <c r="C61" i="121"/>
  <c r="H52" i="122"/>
  <c r="F53" i="122"/>
  <c r="G63" i="122"/>
  <c r="E64" i="122"/>
  <c r="B45" i="122"/>
  <c r="G44" i="123"/>
  <c r="E34" i="123"/>
  <c r="B51" i="125"/>
  <c r="B68" i="126"/>
  <c r="K31" i="96"/>
  <c r="G55" i="96" s="1"/>
  <c r="K33" i="97"/>
  <c r="F57" i="97" s="1"/>
  <c r="K28" i="105"/>
  <c r="E52" i="105" s="1"/>
  <c r="H33" i="106"/>
  <c r="D59" i="106" s="1"/>
  <c r="H36" i="106"/>
  <c r="G62" i="106" s="1"/>
  <c r="K30" i="110"/>
  <c r="F54" i="110" s="1"/>
  <c r="G60" i="113"/>
  <c r="C56" i="115"/>
  <c r="K37" i="115"/>
  <c r="F61" i="118"/>
  <c r="J64" i="118"/>
  <c r="E66" i="119"/>
  <c r="D61" i="121"/>
  <c r="D25" i="121"/>
  <c r="AA7" i="3" s="1"/>
  <c r="I52" i="122"/>
  <c r="H63" i="122"/>
  <c r="F64" i="122"/>
  <c r="D23" i="122"/>
  <c r="E58" i="125"/>
  <c r="K38" i="126"/>
  <c r="K30" i="126"/>
  <c r="K54" i="126" s="1"/>
  <c r="K29" i="105"/>
  <c r="H28" i="106"/>
  <c r="G54" i="106" s="1"/>
  <c r="F23" i="106"/>
  <c r="F47" i="106" s="1"/>
  <c r="F73" i="106" s="1"/>
  <c r="H36" i="114"/>
  <c r="C63" i="115"/>
  <c r="J53" i="118"/>
  <c r="H64" i="118"/>
  <c r="I53" i="118"/>
  <c r="G63" i="118"/>
  <c r="D66" i="119"/>
  <c r="H49" i="117"/>
  <c r="E70" i="121"/>
  <c r="J52" i="122"/>
  <c r="I63" i="122"/>
  <c r="G64" i="122"/>
  <c r="H42" i="125"/>
  <c r="C23" i="126"/>
  <c r="D32" i="127"/>
  <c r="D58" i="127" s="1"/>
  <c r="K32" i="98"/>
  <c r="E56" i="98" s="1"/>
  <c r="I18" i="108"/>
  <c r="H33" i="111"/>
  <c r="H59" i="111" s="1"/>
  <c r="C25" i="113"/>
  <c r="F63" i="115"/>
  <c r="H53" i="118"/>
  <c r="F58" i="119"/>
  <c r="F70" i="121"/>
  <c r="D49" i="121"/>
  <c r="J63" i="122"/>
  <c r="K31" i="122"/>
  <c r="J55" i="122" s="1"/>
  <c r="K36" i="122"/>
  <c r="J23" i="118"/>
  <c r="G30" i="125"/>
  <c r="F44" i="127"/>
  <c r="J41" i="99"/>
  <c r="H43" i="106"/>
  <c r="F69" i="106" s="1"/>
  <c r="H37" i="111"/>
  <c r="D70" i="113"/>
  <c r="F61" i="113"/>
  <c r="G70" i="113"/>
  <c r="J54" i="118"/>
  <c r="E68" i="117"/>
  <c r="H43" i="119"/>
  <c r="C77" i="121"/>
  <c r="D52" i="122"/>
  <c r="J53" i="122"/>
  <c r="C63" i="122"/>
  <c r="H23" i="122"/>
  <c r="H43" i="125"/>
  <c r="H73" i="69"/>
  <c r="C73" i="69"/>
  <c r="H69" i="15"/>
  <c r="C47" i="78"/>
  <c r="D47" i="78"/>
  <c r="F47" i="78"/>
  <c r="G47" i="78"/>
  <c r="C80" i="15"/>
  <c r="J38" i="104"/>
  <c r="F71" i="96"/>
  <c r="K45" i="60"/>
  <c r="P22" i="17" s="1"/>
  <c r="K34" i="47"/>
  <c r="N11" i="17" s="1"/>
  <c r="C47" i="55"/>
  <c r="H47" i="55"/>
  <c r="F47" i="55"/>
  <c r="K41" i="21"/>
  <c r="M18" i="17" s="1"/>
  <c r="K41" i="30"/>
  <c r="D18" i="17" s="1"/>
  <c r="G73" i="67"/>
  <c r="R18" i="2"/>
  <c r="F73" i="67"/>
  <c r="D73" i="67"/>
  <c r="E73" i="85"/>
  <c r="H73" i="85"/>
  <c r="D73" i="85"/>
  <c r="E80" i="99"/>
  <c r="X13" i="3"/>
  <c r="I25" i="109"/>
  <c r="AC24" i="2" s="1"/>
  <c r="K34" i="31"/>
  <c r="C11" i="17" s="1"/>
  <c r="G80" i="15"/>
  <c r="B24" i="2"/>
  <c r="H47" i="78"/>
  <c r="H73" i="78" s="1"/>
  <c r="D71" i="96"/>
  <c r="J8" i="104"/>
  <c r="E73" i="69"/>
  <c r="C21" i="3"/>
  <c r="C25" i="3"/>
  <c r="C22" i="3"/>
  <c r="H77" i="4"/>
  <c r="G47" i="98"/>
  <c r="F47" i="98"/>
  <c r="E47" i="98"/>
  <c r="C47" i="98"/>
  <c r="K47" i="98"/>
  <c r="D71" i="98" s="1"/>
  <c r="D53" i="99"/>
  <c r="D80" i="99" s="1"/>
  <c r="I53" i="99"/>
  <c r="L53" i="99"/>
  <c r="AA24" i="2" s="1"/>
  <c r="J53" i="99"/>
  <c r="H80" i="99" s="1"/>
  <c r="G53" i="99"/>
  <c r="K53" i="99"/>
  <c r="Z24" i="2" s="1"/>
  <c r="F53" i="99"/>
  <c r="F80" i="99" s="1"/>
  <c r="K41" i="55"/>
  <c r="O18" i="17" s="1"/>
  <c r="H60" i="78"/>
  <c r="G60" i="78"/>
  <c r="C60" i="78"/>
  <c r="F60" i="78"/>
  <c r="E80" i="15"/>
  <c r="H71" i="111"/>
  <c r="G78" i="109"/>
  <c r="F78" i="109"/>
  <c r="D78" i="109"/>
  <c r="U25" i="3"/>
  <c r="P17" i="3"/>
  <c r="P20" i="3" s="1"/>
  <c r="P22" i="3"/>
  <c r="G5" i="104"/>
  <c r="C71" i="96"/>
  <c r="G71" i="111"/>
  <c r="H72" i="4"/>
  <c r="G65" i="98"/>
  <c r="J71" i="96"/>
  <c r="F80" i="72"/>
  <c r="F113" i="18"/>
  <c r="D113" i="18"/>
  <c r="D162" i="22"/>
  <c r="G65" i="61"/>
  <c r="H65" i="61" s="1"/>
  <c r="P11" i="2"/>
  <c r="F73" i="109"/>
  <c r="H73" i="15"/>
  <c r="H67" i="44"/>
  <c r="C58" i="68"/>
  <c r="H44" i="59"/>
  <c r="H150" i="18"/>
  <c r="D67" i="42"/>
  <c r="H67" i="42" s="1"/>
  <c r="E65" i="4"/>
  <c r="H70" i="59"/>
  <c r="G57" i="86"/>
  <c r="H59" i="15"/>
  <c r="H59" i="14"/>
  <c r="G61" i="13"/>
  <c r="H61" i="13" s="1"/>
  <c r="D68" i="67"/>
  <c r="K44" i="60"/>
  <c r="P21" i="17" s="1"/>
  <c r="H71" i="14"/>
  <c r="H60" i="5"/>
  <c r="F67" i="98"/>
  <c r="F59" i="18"/>
  <c r="F151" i="18" s="1"/>
  <c r="G63" i="78"/>
  <c r="H63" i="78"/>
  <c r="F45" i="111"/>
  <c r="F71" i="111" s="1"/>
  <c r="K120" i="22"/>
  <c r="E76" i="99"/>
  <c r="G45" i="110"/>
  <c r="G69" i="110" s="1"/>
  <c r="I45" i="110"/>
  <c r="I69" i="110" s="1"/>
  <c r="D45" i="110"/>
  <c r="D69" i="110" s="1"/>
  <c r="D45" i="111"/>
  <c r="D71" i="111" s="1"/>
  <c r="E69" i="85"/>
  <c r="G20" i="3"/>
  <c r="K38" i="21"/>
  <c r="M15" i="17" s="1"/>
  <c r="G76" i="99"/>
  <c r="H64" i="44"/>
  <c r="X19" i="3"/>
  <c r="C71" i="111"/>
  <c r="F63" i="69"/>
  <c r="P20" i="2"/>
  <c r="D76" i="61"/>
  <c r="H76" i="61" s="1"/>
  <c r="H71" i="15"/>
  <c r="H70" i="15"/>
  <c r="D65" i="4"/>
  <c r="H65" i="4" s="1"/>
  <c r="H41" i="111"/>
  <c r="G67" i="111" s="1"/>
  <c r="D62" i="77"/>
  <c r="I56" i="75"/>
  <c r="D56" i="75"/>
  <c r="K32" i="32"/>
  <c r="B9" i="17" s="1"/>
  <c r="C73" i="85"/>
  <c r="H59" i="34"/>
  <c r="H70" i="4"/>
  <c r="D67" i="98"/>
  <c r="B10" i="2"/>
  <c r="H34" i="73"/>
  <c r="H23" i="73"/>
  <c r="B71" i="105"/>
  <c r="H64" i="42"/>
  <c r="E63" i="73"/>
  <c r="G63" i="73"/>
  <c r="H63" i="73"/>
  <c r="E47" i="78"/>
  <c r="D69" i="85"/>
  <c r="G65" i="15"/>
  <c r="H65" i="15" s="1"/>
  <c r="H64" i="59"/>
  <c r="H61" i="14"/>
  <c r="H76" i="99"/>
  <c r="E54" i="44"/>
  <c r="D54" i="44"/>
  <c r="C54" i="44"/>
  <c r="K65" i="105"/>
  <c r="D65" i="105"/>
  <c r="AA11" i="17"/>
  <c r="D58" i="96"/>
  <c r="F58" i="96"/>
  <c r="K58" i="96"/>
  <c r="I64" i="105"/>
  <c r="C46" i="99"/>
  <c r="C73" i="99" s="1"/>
  <c r="K46" i="99"/>
  <c r="Z18" i="2" s="1"/>
  <c r="E46" i="99"/>
  <c r="E73" i="99" s="1"/>
  <c r="G46" i="99"/>
  <c r="G73" i="99" s="1"/>
  <c r="L46" i="99"/>
  <c r="AA18" i="2" s="1"/>
  <c r="D46" i="99"/>
  <c r="D73" i="99" s="1"/>
  <c r="C64" i="105"/>
  <c r="D69" i="78"/>
  <c r="E69" i="78"/>
  <c r="J60" i="105"/>
  <c r="K45" i="105"/>
  <c r="D71" i="108"/>
  <c r="E71" i="108"/>
  <c r="E45" i="105"/>
  <c r="E60" i="96"/>
  <c r="J60" i="96"/>
  <c r="H46" i="99"/>
  <c r="H73" i="99" s="1"/>
  <c r="C70" i="94"/>
  <c r="F4" i="18"/>
  <c r="C45" i="76"/>
  <c r="C69" i="76" s="1"/>
  <c r="J45" i="76"/>
  <c r="J69" i="76" s="1"/>
  <c r="H45" i="76"/>
  <c r="H69" i="76" s="1"/>
  <c r="F45" i="76"/>
  <c r="F69" i="76" s="1"/>
  <c r="D45" i="76"/>
  <c r="D69" i="76" s="1"/>
  <c r="G45" i="76"/>
  <c r="G69" i="76" s="1"/>
  <c r="F43" i="14"/>
  <c r="C43" i="14"/>
  <c r="E43" i="14"/>
  <c r="G43" i="14"/>
  <c r="B46" i="14"/>
  <c r="D43" i="14"/>
  <c r="F35" i="14"/>
  <c r="F62" i="14" s="1"/>
  <c r="C35" i="14"/>
  <c r="C62" i="14" s="1"/>
  <c r="E35" i="14"/>
  <c r="E62" i="14" s="1"/>
  <c r="G35" i="14"/>
  <c r="G62" i="14" s="1"/>
  <c r="H69" i="67"/>
  <c r="F33" i="69"/>
  <c r="F59" i="69" s="1"/>
  <c r="H33" i="69"/>
  <c r="C33" i="69"/>
  <c r="E33" i="69"/>
  <c r="G33" i="69"/>
  <c r="F33" i="73"/>
  <c r="G33" i="73"/>
  <c r="E33" i="73"/>
  <c r="C33" i="73"/>
  <c r="D33" i="73"/>
  <c r="H33" i="73"/>
  <c r="H59" i="73" s="1"/>
  <c r="D56" i="71"/>
  <c r="C56" i="71"/>
  <c r="C37" i="75"/>
  <c r="C61" i="75" s="1"/>
  <c r="D37" i="75"/>
  <c r="F37" i="75"/>
  <c r="H37" i="75"/>
  <c r="H61" i="75" s="1"/>
  <c r="J37" i="75"/>
  <c r="J61" i="75" s="1"/>
  <c r="B61" i="75"/>
  <c r="B65" i="75" s="1"/>
  <c r="B71" i="75" s="1"/>
  <c r="B41" i="75"/>
  <c r="C63" i="73"/>
  <c r="I41" i="105"/>
  <c r="I65" i="105" s="1"/>
  <c r="C69" i="78"/>
  <c r="G69" i="78"/>
  <c r="E20" i="3"/>
  <c r="K62" i="71"/>
  <c r="H59" i="77"/>
  <c r="C56" i="73"/>
  <c r="J41" i="60"/>
  <c r="H60" i="105"/>
  <c r="I38" i="108"/>
  <c r="D65" i="108" s="1"/>
  <c r="D72" i="108"/>
  <c r="D70" i="108"/>
  <c r="C69" i="108"/>
  <c r="E66" i="94"/>
  <c r="H63" i="94"/>
  <c r="E63" i="94"/>
  <c r="G41" i="97"/>
  <c r="G65" i="97" s="1"/>
  <c r="J41" i="97"/>
  <c r="J65" i="97" s="1"/>
  <c r="D53" i="96"/>
  <c r="E71" i="77"/>
  <c r="D71" i="77"/>
  <c r="F34" i="49"/>
  <c r="F61" i="49" s="1"/>
  <c r="G34" i="49"/>
  <c r="G61" i="49" s="1"/>
  <c r="D34" i="49"/>
  <c r="D61" i="49" s="1"/>
  <c r="C34" i="49"/>
  <c r="C61" i="49" s="1"/>
  <c r="E34" i="49"/>
  <c r="E61" i="49" s="1"/>
  <c r="K64" i="105"/>
  <c r="G41" i="105"/>
  <c r="I53" i="96"/>
  <c r="C53" i="96"/>
  <c r="D43" i="56"/>
  <c r="C43" i="56"/>
  <c r="E43" i="56"/>
  <c r="F43" i="56"/>
  <c r="G37" i="56"/>
  <c r="G64" i="56" s="1"/>
  <c r="E37" i="56"/>
  <c r="E64" i="56" s="1"/>
  <c r="D68" i="108"/>
  <c r="D41" i="60"/>
  <c r="H62" i="71"/>
  <c r="K60" i="105"/>
  <c r="E41" i="105"/>
  <c r="E65" i="105" s="1"/>
  <c r="D45" i="105"/>
  <c r="H68" i="108"/>
  <c r="F77" i="108"/>
  <c r="I60" i="96"/>
  <c r="D65" i="94"/>
  <c r="C69" i="93"/>
  <c r="F69" i="93"/>
  <c r="K67" i="97"/>
  <c r="G67" i="97"/>
  <c r="I72" i="83"/>
  <c r="G72" i="83"/>
  <c r="V17" i="2"/>
  <c r="F45" i="56"/>
  <c r="C45" i="56"/>
  <c r="D45" i="56"/>
  <c r="E45" i="56"/>
  <c r="G45" i="56"/>
  <c r="C63" i="54"/>
  <c r="D63" i="54"/>
  <c r="E63" i="54"/>
  <c r="F63" i="54"/>
  <c r="G63" i="54"/>
  <c r="I9" i="54"/>
  <c r="I58" i="96"/>
  <c r="E59" i="77"/>
  <c r="F73" i="95"/>
  <c r="E41" i="94"/>
  <c r="E67" i="94" s="1"/>
  <c r="H41" i="105"/>
  <c r="H65" i="105" s="1"/>
  <c r="E41" i="60"/>
  <c r="C77" i="33"/>
  <c r="F62" i="71"/>
  <c r="G59" i="77"/>
  <c r="I61" i="75"/>
  <c r="C68" i="108"/>
  <c r="G42" i="61"/>
  <c r="G69" i="61" s="1"/>
  <c r="D42" i="61"/>
  <c r="D69" i="61" s="1"/>
  <c r="F42" i="61"/>
  <c r="F69" i="61" s="1"/>
  <c r="C42" i="61"/>
  <c r="C69" i="61" s="1"/>
  <c r="E42" i="61"/>
  <c r="E69" i="61" s="1"/>
  <c r="I16" i="61"/>
  <c r="H44" i="61"/>
  <c r="B36" i="54"/>
  <c r="C33" i="54"/>
  <c r="E33" i="54"/>
  <c r="G33" i="54"/>
  <c r="D33" i="54"/>
  <c r="F33" i="54"/>
  <c r="I17" i="54"/>
  <c r="C71" i="54"/>
  <c r="D71" i="54"/>
  <c r="E71" i="54"/>
  <c r="F71" i="54"/>
  <c r="G71" i="54"/>
  <c r="F77" i="33"/>
  <c r="D63" i="73"/>
  <c r="D61" i="75"/>
  <c r="F64" i="105"/>
  <c r="H71" i="108"/>
  <c r="G71" i="108"/>
  <c r="K23" i="105"/>
  <c r="H59" i="93"/>
  <c r="G59" i="93"/>
  <c r="E53" i="96"/>
  <c r="K54" i="76"/>
  <c r="E54" i="76"/>
  <c r="G54" i="76"/>
  <c r="D54" i="76"/>
  <c r="F54" i="76"/>
  <c r="J54" i="76"/>
  <c r="I22" i="5"/>
  <c r="H50" i="5"/>
  <c r="H23" i="5"/>
  <c r="I17" i="5"/>
  <c r="H45" i="5"/>
  <c r="F72" i="5" s="1"/>
  <c r="F62" i="4"/>
  <c r="H62" i="4" s="1"/>
  <c r="S18" i="3"/>
  <c r="B47" i="105"/>
  <c r="J47" i="105" s="1"/>
  <c r="I23" i="33"/>
  <c r="E62" i="71"/>
  <c r="D63" i="78"/>
  <c r="H62" i="48"/>
  <c r="G64" i="105"/>
  <c r="D64" i="105"/>
  <c r="E60" i="105"/>
  <c r="E77" i="108"/>
  <c r="G68" i="108"/>
  <c r="F46" i="99"/>
  <c r="F73" i="99" s="1"/>
  <c r="B73" i="93"/>
  <c r="G69" i="93"/>
  <c r="G43" i="56"/>
  <c r="F46" i="5"/>
  <c r="D46" i="5"/>
  <c r="D59" i="93"/>
  <c r="F59" i="99"/>
  <c r="B53" i="79"/>
  <c r="H73" i="72"/>
  <c r="C58" i="85"/>
  <c r="I10" i="48"/>
  <c r="E69" i="42"/>
  <c r="K68" i="68"/>
  <c r="C45" i="71"/>
  <c r="F55" i="71"/>
  <c r="K23" i="87"/>
  <c r="K47" i="87" s="1"/>
  <c r="K45" i="87"/>
  <c r="H69" i="87" s="1"/>
  <c r="D71" i="83"/>
  <c r="F72" i="83"/>
  <c r="C33" i="61"/>
  <c r="C60" i="61" s="1"/>
  <c r="G33" i="61"/>
  <c r="G60" i="61" s="1"/>
  <c r="E37" i="4"/>
  <c r="E64" i="4" s="1"/>
  <c r="G37" i="4"/>
  <c r="G64" i="4" s="1"/>
  <c r="F76" i="5"/>
  <c r="D76" i="5"/>
  <c r="G76" i="5"/>
  <c r="L20" i="2"/>
  <c r="J39" i="60"/>
  <c r="F39" i="60"/>
  <c r="C39" i="60"/>
  <c r="E39" i="60"/>
  <c r="G39" i="60"/>
  <c r="I39" i="60"/>
  <c r="J52" i="75"/>
  <c r="E64" i="85"/>
  <c r="G67" i="76"/>
  <c r="H67" i="76"/>
  <c r="I67" i="76"/>
  <c r="K67" i="76"/>
  <c r="E73" i="66"/>
  <c r="D73" i="66"/>
  <c r="F73" i="66"/>
  <c r="H73" i="66"/>
  <c r="C69" i="66"/>
  <c r="D69" i="66"/>
  <c r="E69" i="66"/>
  <c r="F69" i="66"/>
  <c r="E63" i="66"/>
  <c r="D63" i="66"/>
  <c r="F63" i="66"/>
  <c r="H63" i="66"/>
  <c r="C59" i="66"/>
  <c r="D59" i="66"/>
  <c r="E59" i="66"/>
  <c r="F59" i="66"/>
  <c r="C45" i="49"/>
  <c r="C72" i="49" s="1"/>
  <c r="D45" i="49"/>
  <c r="D72" i="49" s="1"/>
  <c r="F45" i="49"/>
  <c r="F72" i="49" s="1"/>
  <c r="I21" i="49"/>
  <c r="H49" i="49"/>
  <c r="L9" i="2"/>
  <c r="F63" i="5"/>
  <c r="H63" i="5" s="1"/>
  <c r="F36" i="13"/>
  <c r="F63" i="13" s="1"/>
  <c r="C36" i="13"/>
  <c r="C63" i="13" s="1"/>
  <c r="G36" i="13"/>
  <c r="G63" i="13" s="1"/>
  <c r="D41" i="15"/>
  <c r="H41" i="15"/>
  <c r="F68" i="15" s="1"/>
  <c r="D39" i="21"/>
  <c r="F39" i="21"/>
  <c r="J39" i="21"/>
  <c r="F31" i="21"/>
  <c r="B55" i="21"/>
  <c r="B58" i="21" s="1"/>
  <c r="B73" i="21" s="1"/>
  <c r="C31" i="21"/>
  <c r="E31" i="21"/>
  <c r="G31" i="21"/>
  <c r="I31" i="21"/>
  <c r="E69" i="30"/>
  <c r="I69" i="30"/>
  <c r="C57" i="30"/>
  <c r="E57" i="30"/>
  <c r="G57" i="30"/>
  <c r="I57" i="30"/>
  <c r="K57" i="30"/>
  <c r="D39" i="31"/>
  <c r="F39" i="31"/>
  <c r="H39" i="31"/>
  <c r="J39" i="31"/>
  <c r="C33" i="31"/>
  <c r="E33" i="31"/>
  <c r="G33" i="31"/>
  <c r="I33" i="31"/>
  <c r="C28" i="31"/>
  <c r="D28" i="31"/>
  <c r="F28" i="31"/>
  <c r="H28" i="31"/>
  <c r="J28" i="31"/>
  <c r="F57" i="31"/>
  <c r="H57" i="31"/>
  <c r="J57" i="31"/>
  <c r="D57" i="31"/>
  <c r="K10" i="31"/>
  <c r="E25" i="33"/>
  <c r="I13" i="33"/>
  <c r="C67" i="33"/>
  <c r="E67" i="33"/>
  <c r="G67" i="33"/>
  <c r="C75" i="34"/>
  <c r="H75" i="34" s="1"/>
  <c r="G75" i="34"/>
  <c r="D36" i="34"/>
  <c r="H36" i="34" s="1"/>
  <c r="H10" i="34"/>
  <c r="I60" i="76"/>
  <c r="U13" i="17"/>
  <c r="D60" i="76"/>
  <c r="K60" i="76"/>
  <c r="G36" i="61"/>
  <c r="G63" i="61" s="1"/>
  <c r="D36" i="61"/>
  <c r="D63" i="61" s="1"/>
  <c r="C34" i="56"/>
  <c r="C61" i="56" s="1"/>
  <c r="E34" i="56"/>
  <c r="E61" i="56" s="1"/>
  <c r="F34" i="56"/>
  <c r="F61" i="56" s="1"/>
  <c r="D61" i="21"/>
  <c r="F61" i="21"/>
  <c r="H61" i="21"/>
  <c r="J61" i="21"/>
  <c r="D32" i="30"/>
  <c r="C32" i="30"/>
  <c r="F32" i="30"/>
  <c r="I32" i="30"/>
  <c r="J32" i="30"/>
  <c r="B56" i="30"/>
  <c r="B58" i="30" s="1"/>
  <c r="B73" i="30" s="1"/>
  <c r="K56" i="30"/>
  <c r="E56" i="30"/>
  <c r="I56" i="30"/>
  <c r="K10" i="30"/>
  <c r="L8" i="30"/>
  <c r="D56" i="30"/>
  <c r="F56" i="30"/>
  <c r="G34" i="33"/>
  <c r="D34" i="33"/>
  <c r="E34" i="33"/>
  <c r="C70" i="34"/>
  <c r="E70" i="34"/>
  <c r="G70" i="34"/>
  <c r="J32" i="110"/>
  <c r="C32" i="110"/>
  <c r="H61" i="97"/>
  <c r="G47" i="95"/>
  <c r="G73" i="95" s="1"/>
  <c r="G53" i="75"/>
  <c r="T5" i="17"/>
  <c r="G69" i="42"/>
  <c r="R13" i="17"/>
  <c r="K53" i="75"/>
  <c r="J57" i="71"/>
  <c r="I60" i="68"/>
  <c r="E68" i="68"/>
  <c r="D47" i="84"/>
  <c r="D73" i="84" s="1"/>
  <c r="E63" i="76"/>
  <c r="K67" i="75"/>
  <c r="D33" i="56"/>
  <c r="D60" i="56" s="1"/>
  <c r="C33" i="56"/>
  <c r="C60" i="56" s="1"/>
  <c r="E33" i="56"/>
  <c r="E60" i="56" s="1"/>
  <c r="D72" i="5"/>
  <c r="C56" i="30"/>
  <c r="G34" i="48"/>
  <c r="E34" i="48"/>
  <c r="J61" i="97"/>
  <c r="D62" i="99"/>
  <c r="G53" i="79"/>
  <c r="F71" i="77"/>
  <c r="E56" i="85"/>
  <c r="D53" i="75"/>
  <c r="D64" i="78"/>
  <c r="H54" i="77"/>
  <c r="K55" i="71"/>
  <c r="T6" i="17"/>
  <c r="K60" i="68"/>
  <c r="E67" i="76"/>
  <c r="E72" i="79"/>
  <c r="D41" i="84"/>
  <c r="G41" i="84"/>
  <c r="F41" i="84"/>
  <c r="D43" i="13"/>
  <c r="D70" i="13" s="1"/>
  <c r="I5" i="14"/>
  <c r="H33" i="14"/>
  <c r="L16" i="47"/>
  <c r="I65" i="47"/>
  <c r="J65" i="47"/>
  <c r="K17" i="47"/>
  <c r="C65" i="47"/>
  <c r="K65" i="47"/>
  <c r="D65" i="47"/>
  <c r="E65" i="47"/>
  <c r="F65" i="47"/>
  <c r="G65" i="47"/>
  <c r="H65" i="47"/>
  <c r="J57" i="47"/>
  <c r="I57" i="47"/>
  <c r="K57" i="47"/>
  <c r="L9" i="47"/>
  <c r="C57" i="47"/>
  <c r="D31" i="22"/>
  <c r="F31" i="22"/>
  <c r="H31" i="22"/>
  <c r="J31" i="22"/>
  <c r="B55" i="22"/>
  <c r="B58" i="22" s="1"/>
  <c r="B73" i="22" s="1"/>
  <c r="D62" i="22"/>
  <c r="C151" i="22"/>
  <c r="F62" i="22"/>
  <c r="E151" i="22"/>
  <c r="H62" i="22"/>
  <c r="G151" i="22"/>
  <c r="J62" i="22"/>
  <c r="I151" i="22"/>
  <c r="G141" i="22"/>
  <c r="C52" i="22"/>
  <c r="G52" i="22"/>
  <c r="K52" i="22"/>
  <c r="C141" i="22"/>
  <c r="D30" i="59"/>
  <c r="F30" i="59"/>
  <c r="G67" i="59"/>
  <c r="C67" i="59"/>
  <c r="D67" i="59"/>
  <c r="D54" i="77"/>
  <c r="C71" i="77"/>
  <c r="S8" i="17"/>
  <c r="C46" i="79"/>
  <c r="H53" i="75"/>
  <c r="J67" i="87"/>
  <c r="C51" i="83"/>
  <c r="C78" i="83" s="1"/>
  <c r="D51" i="83"/>
  <c r="D78" i="83" s="1"/>
  <c r="E51" i="83"/>
  <c r="E78" i="83" s="1"/>
  <c r="G51" i="83"/>
  <c r="G78" i="83" s="1"/>
  <c r="I51" i="83"/>
  <c r="H69" i="66"/>
  <c r="H59" i="66"/>
  <c r="I15" i="56"/>
  <c r="H43" i="56"/>
  <c r="O15" i="2" s="1"/>
  <c r="G49" i="13"/>
  <c r="H49" i="13"/>
  <c r="B51" i="13"/>
  <c r="D49" i="13"/>
  <c r="L15" i="32"/>
  <c r="G64" i="32"/>
  <c r="H64" i="32"/>
  <c r="I64" i="32"/>
  <c r="K17" i="32"/>
  <c r="J64" i="32"/>
  <c r="C64" i="32"/>
  <c r="K64" i="32"/>
  <c r="D64" i="32"/>
  <c r="E64" i="32"/>
  <c r="F64" i="32"/>
  <c r="G42" i="48"/>
  <c r="H42" i="48" s="1"/>
  <c r="B44" i="48"/>
  <c r="G39" i="84"/>
  <c r="F39" i="84"/>
  <c r="C39" i="84"/>
  <c r="E39" i="84"/>
  <c r="C38" i="88"/>
  <c r="C62" i="88" s="1"/>
  <c r="E38" i="88"/>
  <c r="E62" i="88" s="1"/>
  <c r="G38" i="88"/>
  <c r="G62" i="88" s="1"/>
  <c r="I38" i="88"/>
  <c r="I62" i="88" s="1"/>
  <c r="D38" i="88"/>
  <c r="D62" i="88" s="1"/>
  <c r="F38" i="88"/>
  <c r="F62" i="88" s="1"/>
  <c r="X9" i="17"/>
  <c r="K56" i="89"/>
  <c r="D56" i="89"/>
  <c r="H45" i="95"/>
  <c r="H71" i="95" s="1"/>
  <c r="C66" i="94"/>
  <c r="C59" i="93"/>
  <c r="H53" i="96"/>
  <c r="L38" i="99"/>
  <c r="AA11" i="2" s="1"/>
  <c r="F64" i="78"/>
  <c r="J45" i="71"/>
  <c r="F57" i="71"/>
  <c r="E50" i="61"/>
  <c r="E77" i="61" s="1"/>
  <c r="F50" i="61"/>
  <c r="F77" i="61" s="1"/>
  <c r="I17" i="61"/>
  <c r="H45" i="61"/>
  <c r="C41" i="56"/>
  <c r="C68" i="56" s="1"/>
  <c r="E41" i="56"/>
  <c r="E68" i="56" s="1"/>
  <c r="G41" i="56"/>
  <c r="G68" i="56" s="1"/>
  <c r="B46" i="56"/>
  <c r="H18" i="56"/>
  <c r="I14" i="56"/>
  <c r="H42" i="56"/>
  <c r="F50" i="49"/>
  <c r="F77" i="49" s="1"/>
  <c r="E50" i="49"/>
  <c r="E77" i="49" s="1"/>
  <c r="G50" i="49"/>
  <c r="G77" i="49" s="1"/>
  <c r="B51" i="49"/>
  <c r="E49" i="4"/>
  <c r="E76" i="4" s="1"/>
  <c r="G49" i="4"/>
  <c r="G76" i="4" s="1"/>
  <c r="B25" i="4"/>
  <c r="B25" i="9"/>
  <c r="I25" i="9" s="1"/>
  <c r="I21" i="54"/>
  <c r="E75" i="54"/>
  <c r="F75" i="54"/>
  <c r="G75" i="54"/>
  <c r="C75" i="54"/>
  <c r="D75" i="54"/>
  <c r="F37" i="77"/>
  <c r="F63" i="77" s="1"/>
  <c r="G37" i="77"/>
  <c r="G63" i="77" s="1"/>
  <c r="E37" i="77"/>
  <c r="E63" i="77" s="1"/>
  <c r="I18" i="79"/>
  <c r="I43" i="79"/>
  <c r="H70" i="79" s="1"/>
  <c r="J15" i="79"/>
  <c r="J42" i="79"/>
  <c r="U14" i="2" s="1"/>
  <c r="C42" i="79"/>
  <c r="C69" i="79" s="1"/>
  <c r="E42" i="79"/>
  <c r="E69" i="79" s="1"/>
  <c r="G42" i="79"/>
  <c r="G69" i="79" s="1"/>
  <c r="I61" i="83"/>
  <c r="E72" i="83"/>
  <c r="F41" i="61"/>
  <c r="F68" i="61" s="1"/>
  <c r="E35" i="61"/>
  <c r="E62" i="61" s="1"/>
  <c r="G32" i="56"/>
  <c r="G59" i="56" s="1"/>
  <c r="H59" i="56" s="1"/>
  <c r="F33" i="49"/>
  <c r="F60" i="49" s="1"/>
  <c r="G25" i="5"/>
  <c r="D26" i="6"/>
  <c r="K7" i="3" s="1"/>
  <c r="G42" i="14"/>
  <c r="G69" i="14" s="1"/>
  <c r="D25" i="14"/>
  <c r="C44" i="55"/>
  <c r="H44" i="55"/>
  <c r="G61" i="22"/>
  <c r="H150" i="22"/>
  <c r="R16" i="17"/>
  <c r="G63" i="68"/>
  <c r="I63" i="68"/>
  <c r="D30" i="115"/>
  <c r="G30" i="115"/>
  <c r="H30" i="115"/>
  <c r="I30" i="115"/>
  <c r="F30" i="115"/>
  <c r="E30" i="115"/>
  <c r="C30" i="115"/>
  <c r="J30" i="115"/>
  <c r="H41" i="84"/>
  <c r="I53" i="87"/>
  <c r="G56" i="76"/>
  <c r="D41" i="61"/>
  <c r="D68" i="61" s="1"/>
  <c r="F35" i="56"/>
  <c r="F43" i="49"/>
  <c r="F70" i="49" s="1"/>
  <c r="D25" i="49"/>
  <c r="F44" i="4"/>
  <c r="F71" i="4" s="1"/>
  <c r="H71" i="4" s="1"/>
  <c r="F25" i="5"/>
  <c r="F26" i="6"/>
  <c r="K9" i="3" s="1"/>
  <c r="C26" i="6"/>
  <c r="K6" i="3" s="1"/>
  <c r="G41" i="13"/>
  <c r="G68" i="13" s="1"/>
  <c r="H68" i="13" s="1"/>
  <c r="B25" i="13"/>
  <c r="B80" i="13" s="1"/>
  <c r="F42" i="14"/>
  <c r="F69" i="14" s="1"/>
  <c r="H36" i="14"/>
  <c r="H147" i="18"/>
  <c r="L19" i="21"/>
  <c r="I69" i="21"/>
  <c r="J69" i="21"/>
  <c r="C69" i="21"/>
  <c r="K69" i="21"/>
  <c r="D69" i="21"/>
  <c r="K21" i="21"/>
  <c r="E69" i="21"/>
  <c r="F69" i="21"/>
  <c r="D23" i="32"/>
  <c r="D55" i="63"/>
  <c r="F55" i="63"/>
  <c r="H55" i="63"/>
  <c r="C24" i="42"/>
  <c r="I7" i="43"/>
  <c r="H11" i="43"/>
  <c r="H59" i="67"/>
  <c r="F59" i="67"/>
  <c r="H44" i="67"/>
  <c r="C44" i="67"/>
  <c r="D44" i="67"/>
  <c r="E44" i="67"/>
  <c r="F44" i="67"/>
  <c r="G44" i="67"/>
  <c r="J69" i="89"/>
  <c r="H72" i="83"/>
  <c r="E60" i="76"/>
  <c r="B25" i="61"/>
  <c r="I25" i="61" s="1"/>
  <c r="H18" i="49"/>
  <c r="C41" i="4"/>
  <c r="C68" i="4" s="1"/>
  <c r="F25" i="4"/>
  <c r="H41" i="5"/>
  <c r="B73" i="14"/>
  <c r="D32" i="55"/>
  <c r="F32" i="55"/>
  <c r="H32" i="55"/>
  <c r="I32" i="55"/>
  <c r="J32" i="55"/>
  <c r="H69" i="21"/>
  <c r="F39" i="32"/>
  <c r="J39" i="32"/>
  <c r="G59" i="63"/>
  <c r="F31" i="95"/>
  <c r="F57" i="95" s="1"/>
  <c r="Y22" i="16"/>
  <c r="B25" i="113"/>
  <c r="Y24" i="16" s="1"/>
  <c r="D39" i="114"/>
  <c r="E39" i="114"/>
  <c r="C39" i="114"/>
  <c r="F39" i="114"/>
  <c r="F44" i="114"/>
  <c r="G44" i="114"/>
  <c r="E44" i="114"/>
  <c r="C44" i="114"/>
  <c r="D71" i="61"/>
  <c r="G59" i="49"/>
  <c r="H59" i="49" s="1"/>
  <c r="G47" i="85"/>
  <c r="G73" i="85" s="1"/>
  <c r="C72" i="83"/>
  <c r="H42" i="79"/>
  <c r="H69" i="79" s="1"/>
  <c r="G60" i="76"/>
  <c r="E67" i="75"/>
  <c r="E25" i="4"/>
  <c r="C25" i="9"/>
  <c r="H6" i="3" s="1"/>
  <c r="B38" i="14"/>
  <c r="F71" i="21"/>
  <c r="D39" i="30"/>
  <c r="F39" i="30"/>
  <c r="H39" i="30"/>
  <c r="J39" i="30"/>
  <c r="H69" i="59"/>
  <c r="I4" i="48"/>
  <c r="F58" i="48"/>
  <c r="H58" i="48" s="1"/>
  <c r="F24" i="38"/>
  <c r="G52" i="18" s="1"/>
  <c r="J57" i="55"/>
  <c r="C57" i="55"/>
  <c r="K57" i="55"/>
  <c r="D57" i="55"/>
  <c r="E57" i="55"/>
  <c r="F57" i="55"/>
  <c r="G57" i="55"/>
  <c r="J69" i="60"/>
  <c r="C69" i="60"/>
  <c r="K69" i="60"/>
  <c r="D69" i="60"/>
  <c r="E69" i="60"/>
  <c r="F69" i="60"/>
  <c r="G69" i="60"/>
  <c r="I55" i="60"/>
  <c r="J55" i="60"/>
  <c r="C55" i="60"/>
  <c r="K55" i="60"/>
  <c r="D55" i="60"/>
  <c r="E55" i="60"/>
  <c r="F55" i="60"/>
  <c r="C33" i="114"/>
  <c r="D33" i="114"/>
  <c r="G33" i="114"/>
  <c r="F33" i="114"/>
  <c r="E33" i="114"/>
  <c r="K31" i="31"/>
  <c r="C8" i="17" s="1"/>
  <c r="F47" i="84"/>
  <c r="F73" i="84" s="1"/>
  <c r="G67" i="75"/>
  <c r="D37" i="61"/>
  <c r="D64" i="61" s="1"/>
  <c r="H64" i="61" s="1"/>
  <c r="H18" i="4"/>
  <c r="D25" i="13"/>
  <c r="J31" i="47"/>
  <c r="K31" i="47" s="1"/>
  <c r="N8" i="17" s="1"/>
  <c r="B55" i="47"/>
  <c r="B58" i="47" s="1"/>
  <c r="K141" i="22"/>
  <c r="C41" i="22"/>
  <c r="G41" i="22"/>
  <c r="F57" i="32"/>
  <c r="J57" i="32"/>
  <c r="I4" i="54"/>
  <c r="G58" i="54"/>
  <c r="C58" i="54"/>
  <c r="D58" i="54"/>
  <c r="I21" i="48"/>
  <c r="D75" i="48"/>
  <c r="F75" i="48"/>
  <c r="H11" i="44"/>
  <c r="D28" i="73"/>
  <c r="C28" i="73"/>
  <c r="G28" i="73"/>
  <c r="D70" i="55"/>
  <c r="E70" i="55"/>
  <c r="F70" i="55"/>
  <c r="G70" i="55"/>
  <c r="H70" i="55"/>
  <c r="I70" i="55"/>
  <c r="C56" i="55"/>
  <c r="K56" i="55"/>
  <c r="D56" i="55"/>
  <c r="E56" i="55"/>
  <c r="F56" i="55"/>
  <c r="G56" i="55"/>
  <c r="H56" i="55"/>
  <c r="E65" i="60"/>
  <c r="F65" i="60"/>
  <c r="G65" i="60"/>
  <c r="H65" i="60"/>
  <c r="I65" i="60"/>
  <c r="J65" i="60"/>
  <c r="C54" i="60"/>
  <c r="K54" i="60"/>
  <c r="D54" i="60"/>
  <c r="E54" i="60"/>
  <c r="F54" i="60"/>
  <c r="G54" i="60"/>
  <c r="H54" i="60"/>
  <c r="C66" i="85"/>
  <c r="D72" i="83"/>
  <c r="H68" i="76"/>
  <c r="I67" i="75"/>
  <c r="D69" i="77"/>
  <c r="G25" i="56"/>
  <c r="C25" i="4"/>
  <c r="H10" i="5"/>
  <c r="B26" i="6"/>
  <c r="F30" i="31"/>
  <c r="K30" i="31" s="1"/>
  <c r="C7" i="17" s="1"/>
  <c r="B54" i="31"/>
  <c r="F59" i="63"/>
  <c r="C66" i="63"/>
  <c r="D66" i="63"/>
  <c r="F66" i="63"/>
  <c r="H66" i="63"/>
  <c r="C24" i="40"/>
  <c r="C56" i="40"/>
  <c r="H56" i="40" s="1"/>
  <c r="E56" i="40"/>
  <c r="G56" i="40"/>
  <c r="F38" i="60"/>
  <c r="K38" i="60" s="1"/>
  <c r="P15" i="17" s="1"/>
  <c r="G134" i="22"/>
  <c r="D130" i="22"/>
  <c r="K125" i="22"/>
  <c r="C130" i="22"/>
  <c r="E24" i="26"/>
  <c r="F10" i="18" s="1"/>
  <c r="F102" i="18" s="1"/>
  <c r="J32" i="31"/>
  <c r="E69" i="63"/>
  <c r="E67" i="63"/>
  <c r="C57" i="63"/>
  <c r="D32" i="59"/>
  <c r="F44" i="48"/>
  <c r="F42" i="40"/>
  <c r="J63" i="68"/>
  <c r="C31" i="73"/>
  <c r="K21" i="55"/>
  <c r="J23" i="76"/>
  <c r="H43" i="95"/>
  <c r="E69" i="95" s="1"/>
  <c r="L45" i="99"/>
  <c r="AA17" i="2" s="1"/>
  <c r="J45" i="99"/>
  <c r="F72" i="99" s="1"/>
  <c r="H32" i="109"/>
  <c r="C59" i="109" s="1"/>
  <c r="F43" i="111"/>
  <c r="E72" i="113"/>
  <c r="G25" i="113"/>
  <c r="Y10" i="3" s="1"/>
  <c r="I40" i="126"/>
  <c r="H40" i="126"/>
  <c r="G40" i="126"/>
  <c r="B64" i="126"/>
  <c r="F40" i="126"/>
  <c r="E40" i="126"/>
  <c r="D40" i="126"/>
  <c r="K40" i="126"/>
  <c r="K64" i="126" s="1"/>
  <c r="C40" i="126"/>
  <c r="J40" i="126"/>
  <c r="F51" i="126"/>
  <c r="F27" i="126"/>
  <c r="D31" i="60"/>
  <c r="K31" i="60" s="1"/>
  <c r="P8" i="17" s="1"/>
  <c r="G31" i="55"/>
  <c r="H23" i="21"/>
  <c r="K133" i="22"/>
  <c r="K43" i="22"/>
  <c r="L20" i="17" s="1"/>
  <c r="F23" i="31"/>
  <c r="E66" i="63"/>
  <c r="C64" i="63"/>
  <c r="E59" i="63"/>
  <c r="C32" i="59"/>
  <c r="D24" i="40"/>
  <c r="D63" i="68"/>
  <c r="R17" i="3"/>
  <c r="D34" i="77"/>
  <c r="D60" i="77" s="1"/>
  <c r="G34" i="77"/>
  <c r="G60" i="77" s="1"/>
  <c r="D63" i="113"/>
  <c r="F63" i="113"/>
  <c r="I9" i="113"/>
  <c r="AD10" i="2" s="1"/>
  <c r="H10" i="113"/>
  <c r="I13" i="113"/>
  <c r="AD13" i="2" s="1"/>
  <c r="H41" i="113"/>
  <c r="H18" i="113"/>
  <c r="I18" i="113" s="1"/>
  <c r="AD18" i="2" s="1"/>
  <c r="H43" i="114"/>
  <c r="H21" i="114"/>
  <c r="AE21" i="17"/>
  <c r="K68" i="122"/>
  <c r="D51" i="125"/>
  <c r="F51" i="125"/>
  <c r="D134" i="22"/>
  <c r="J37" i="32"/>
  <c r="K37" i="32" s="1"/>
  <c r="B14" i="17" s="1"/>
  <c r="H59" i="59"/>
  <c r="D39" i="54"/>
  <c r="H39" i="54" s="1"/>
  <c r="D25" i="33"/>
  <c r="D25" i="34"/>
  <c r="B42" i="43"/>
  <c r="G37" i="69"/>
  <c r="G63" i="69" s="1"/>
  <c r="H31" i="69"/>
  <c r="H36" i="69"/>
  <c r="C30" i="69"/>
  <c r="C56" i="69" s="1"/>
  <c r="H32" i="94"/>
  <c r="E58" i="94" s="1"/>
  <c r="G62" i="113"/>
  <c r="C23" i="114"/>
  <c r="E64" i="113"/>
  <c r="D45" i="113"/>
  <c r="D72" i="113" s="1"/>
  <c r="C45" i="113"/>
  <c r="C72" i="113" s="1"/>
  <c r="F45" i="113"/>
  <c r="F72" i="113" s="1"/>
  <c r="H66" i="114"/>
  <c r="G66" i="114"/>
  <c r="H44" i="114"/>
  <c r="H39" i="55"/>
  <c r="K38" i="22"/>
  <c r="L15" i="17" s="1"/>
  <c r="F30" i="32"/>
  <c r="G24" i="40"/>
  <c r="B24" i="40"/>
  <c r="H63" i="68"/>
  <c r="H44" i="69"/>
  <c r="E70" i="69" s="1"/>
  <c r="D31" i="77"/>
  <c r="D57" i="77" s="1"/>
  <c r="F31" i="77"/>
  <c r="F57" i="77" s="1"/>
  <c r="H39" i="84"/>
  <c r="H65" i="84" s="1"/>
  <c r="I23" i="113"/>
  <c r="AD22" i="2" s="1"/>
  <c r="H39" i="114"/>
  <c r="H65" i="114" s="1"/>
  <c r="D49" i="113"/>
  <c r="F49" i="113"/>
  <c r="F76" i="113" s="1"/>
  <c r="G49" i="113"/>
  <c r="B51" i="113"/>
  <c r="H51" i="113" s="1"/>
  <c r="H49" i="113"/>
  <c r="E49" i="113"/>
  <c r="C49" i="113"/>
  <c r="AF8" i="17"/>
  <c r="J55" i="118"/>
  <c r="G55" i="118"/>
  <c r="H50" i="117"/>
  <c r="H23" i="117"/>
  <c r="I23" i="117" s="1"/>
  <c r="AE22" i="2" s="1"/>
  <c r="I22" i="117"/>
  <c r="AE21" i="2" s="1"/>
  <c r="K129" i="22"/>
  <c r="G130" i="22"/>
  <c r="G73" i="63"/>
  <c r="B71" i="42"/>
  <c r="B73" i="42" s="1"/>
  <c r="E24" i="42"/>
  <c r="H36" i="73"/>
  <c r="F62" i="73" s="1"/>
  <c r="R19" i="3"/>
  <c r="E30" i="78"/>
  <c r="E56" i="78" s="1"/>
  <c r="F30" i="78"/>
  <c r="F56" i="78" s="1"/>
  <c r="F32" i="113"/>
  <c r="B38" i="113"/>
  <c r="G38" i="113" s="1"/>
  <c r="D32" i="113"/>
  <c r="C32" i="113"/>
  <c r="F64" i="113"/>
  <c r="Z18" i="16"/>
  <c r="B25" i="117"/>
  <c r="Z24" i="16" s="1"/>
  <c r="D69" i="119"/>
  <c r="H69" i="119"/>
  <c r="C69" i="119"/>
  <c r="G69" i="119"/>
  <c r="B71" i="60"/>
  <c r="I130" i="22"/>
  <c r="C24" i="26"/>
  <c r="G65" i="63"/>
  <c r="E62" i="63"/>
  <c r="C60" i="63"/>
  <c r="D56" i="63"/>
  <c r="H11" i="38"/>
  <c r="I11" i="38" s="1"/>
  <c r="H38" i="43"/>
  <c r="G24" i="43"/>
  <c r="D44" i="69"/>
  <c r="B41" i="78"/>
  <c r="B67" i="78"/>
  <c r="B73" i="78" s="1"/>
  <c r="B60" i="84"/>
  <c r="B73" i="84" s="1"/>
  <c r="C31" i="87"/>
  <c r="C55" i="87" s="1"/>
  <c r="D31" i="87"/>
  <c r="D55" i="87" s="1"/>
  <c r="H31" i="87"/>
  <c r="H55" i="87" s="1"/>
  <c r="H37" i="95"/>
  <c r="H50" i="113"/>
  <c r="I22" i="113"/>
  <c r="AD21" i="2" s="1"/>
  <c r="C37" i="113"/>
  <c r="C64" i="113" s="1"/>
  <c r="D37" i="113"/>
  <c r="D64" i="113" s="1"/>
  <c r="G37" i="113"/>
  <c r="G64" i="113" s="1"/>
  <c r="I45" i="115"/>
  <c r="D45" i="115"/>
  <c r="D55" i="118"/>
  <c r="B23" i="55"/>
  <c r="I28" i="75"/>
  <c r="I52" i="75" s="1"/>
  <c r="H40" i="78"/>
  <c r="E66" i="78" s="1"/>
  <c r="K10" i="88"/>
  <c r="K34" i="88" s="1"/>
  <c r="B58" i="88"/>
  <c r="H30" i="106"/>
  <c r="D56" i="106" s="1"/>
  <c r="K32" i="110"/>
  <c r="F56" i="110" s="1"/>
  <c r="C62" i="113"/>
  <c r="E66" i="114"/>
  <c r="F55" i="118"/>
  <c r="H23" i="121"/>
  <c r="I21" i="121"/>
  <c r="AF20" i="2" s="1"/>
  <c r="E68" i="122"/>
  <c r="G58" i="123"/>
  <c r="H70" i="123"/>
  <c r="D70" i="123"/>
  <c r="E23" i="123"/>
  <c r="E45" i="123"/>
  <c r="I168" i="18"/>
  <c r="C76" i="18"/>
  <c r="H28" i="73"/>
  <c r="H54" i="73" s="1"/>
  <c r="K30" i="71"/>
  <c r="F32" i="77"/>
  <c r="F58" i="77" s="1"/>
  <c r="F28" i="77"/>
  <c r="F54" i="77" s="1"/>
  <c r="B58" i="96"/>
  <c r="B71" i="96" s="1"/>
  <c r="K32" i="97"/>
  <c r="E56" i="97" s="1"/>
  <c r="K40" i="110"/>
  <c r="D64" i="110" s="1"/>
  <c r="H43" i="111"/>
  <c r="D69" i="111" s="1"/>
  <c r="B123" i="18"/>
  <c r="E68" i="113"/>
  <c r="H32" i="113"/>
  <c r="E59" i="113" s="1"/>
  <c r="B60" i="114"/>
  <c r="I67" i="115"/>
  <c r="E69" i="119"/>
  <c r="F45" i="117"/>
  <c r="E45" i="117"/>
  <c r="G45" i="117"/>
  <c r="H45" i="117"/>
  <c r="D72" i="117" s="1"/>
  <c r="C45" i="117"/>
  <c r="H58" i="123"/>
  <c r="C58" i="123"/>
  <c r="G45" i="123"/>
  <c r="F45" i="123"/>
  <c r="C45" i="123"/>
  <c r="F34" i="77"/>
  <c r="F60" i="77" s="1"/>
  <c r="G40" i="78"/>
  <c r="J37" i="83"/>
  <c r="E64" i="83" s="1"/>
  <c r="B58" i="87"/>
  <c r="B71" i="87" s="1"/>
  <c r="B58" i="89"/>
  <c r="G23" i="96"/>
  <c r="G47" i="96" s="1"/>
  <c r="K33" i="98"/>
  <c r="C57" i="98" s="1"/>
  <c r="H40" i="106"/>
  <c r="F66" i="106" s="1"/>
  <c r="H30" i="111"/>
  <c r="F165" i="18"/>
  <c r="D61" i="113"/>
  <c r="I64" i="115"/>
  <c r="J40" i="115"/>
  <c r="J64" i="115" s="1"/>
  <c r="C40" i="115"/>
  <c r="C64" i="115" s="1"/>
  <c r="H40" i="115"/>
  <c r="H64" i="115" s="1"/>
  <c r="G40" i="115"/>
  <c r="G64" i="115" s="1"/>
  <c r="F40" i="115"/>
  <c r="F64" i="115" s="1"/>
  <c r="E40" i="115"/>
  <c r="E64" i="115" s="1"/>
  <c r="G36" i="117"/>
  <c r="E36" i="117"/>
  <c r="H36" i="117"/>
  <c r="C63" i="117" s="1"/>
  <c r="D36" i="117"/>
  <c r="F36" i="117"/>
  <c r="I55" i="122"/>
  <c r="E33" i="122"/>
  <c r="K33" i="122"/>
  <c r="D33" i="122"/>
  <c r="J33" i="122"/>
  <c r="C33" i="122"/>
  <c r="C57" i="122" s="1"/>
  <c r="I33" i="122"/>
  <c r="H33" i="122"/>
  <c r="H57" i="122" s="1"/>
  <c r="G33" i="122"/>
  <c r="G57" i="122" s="1"/>
  <c r="F33" i="122"/>
  <c r="F38" i="122"/>
  <c r="K38" i="122"/>
  <c r="AE15" i="17" s="1"/>
  <c r="E38" i="122"/>
  <c r="J38" i="122"/>
  <c r="J62" i="122" s="1"/>
  <c r="D38" i="122"/>
  <c r="I38" i="122"/>
  <c r="C38" i="122"/>
  <c r="B62" i="122"/>
  <c r="H38" i="122"/>
  <c r="G33" i="123"/>
  <c r="H33" i="123"/>
  <c r="H59" i="123" s="1"/>
  <c r="E33" i="123"/>
  <c r="E59" i="123" s="1"/>
  <c r="D33" i="123"/>
  <c r="K28" i="71"/>
  <c r="F52" i="71" s="1"/>
  <c r="F23" i="105"/>
  <c r="F47" i="105" s="1"/>
  <c r="B41" i="110"/>
  <c r="J41" i="110" s="1"/>
  <c r="C68" i="113"/>
  <c r="B69" i="115"/>
  <c r="K64" i="115"/>
  <c r="AD17" i="17"/>
  <c r="G30" i="121"/>
  <c r="G58" i="121"/>
  <c r="H38" i="94"/>
  <c r="G64" i="94" s="1"/>
  <c r="C34" i="95"/>
  <c r="C60" i="95" s="1"/>
  <c r="K33" i="96"/>
  <c r="H57" i="96" s="1"/>
  <c r="D68" i="113"/>
  <c r="H10" i="114"/>
  <c r="H34" i="114" s="1"/>
  <c r="B68" i="115"/>
  <c r="D44" i="115"/>
  <c r="I44" i="115"/>
  <c r="I68" i="115" s="1"/>
  <c r="H44" i="115"/>
  <c r="H68" i="115" s="1"/>
  <c r="L124" i="18"/>
  <c r="C124" i="18" s="1"/>
  <c r="C32" i="18"/>
  <c r="D59" i="119"/>
  <c r="H59" i="119"/>
  <c r="G59" i="119"/>
  <c r="H17" i="119"/>
  <c r="H41" i="119" s="1"/>
  <c r="H67" i="119" s="1"/>
  <c r="H37" i="119"/>
  <c r="H55" i="122"/>
  <c r="I60" i="122"/>
  <c r="G36" i="123"/>
  <c r="F36" i="123"/>
  <c r="E36" i="123"/>
  <c r="D36" i="123"/>
  <c r="C36" i="123"/>
  <c r="AF15" i="17"/>
  <c r="F62" i="118"/>
  <c r="G62" i="118"/>
  <c r="I62" i="118"/>
  <c r="K62" i="118"/>
  <c r="E62" i="118"/>
  <c r="K10" i="118"/>
  <c r="K34" i="118" s="1"/>
  <c r="E58" i="118" s="1"/>
  <c r="K28" i="118"/>
  <c r="F36" i="118"/>
  <c r="C36" i="118"/>
  <c r="I36" i="118"/>
  <c r="G36" i="118"/>
  <c r="H36" i="118"/>
  <c r="E71" i="55"/>
  <c r="H23" i="71"/>
  <c r="G23" i="68"/>
  <c r="H20" i="18" s="1"/>
  <c r="L18" i="83"/>
  <c r="K28" i="98"/>
  <c r="C61" i="113"/>
  <c r="E32" i="117"/>
  <c r="E59" i="117" s="1"/>
  <c r="B38" i="117"/>
  <c r="F38" i="117" s="1"/>
  <c r="D32" i="117"/>
  <c r="H32" i="117"/>
  <c r="C59" i="117" s="1"/>
  <c r="G32" i="117"/>
  <c r="H41" i="121"/>
  <c r="G68" i="121" s="1"/>
  <c r="F41" i="121"/>
  <c r="E41" i="121"/>
  <c r="D41" i="121"/>
  <c r="D68" i="121" s="1"/>
  <c r="C41" i="121"/>
  <c r="C68" i="121" s="1"/>
  <c r="I23" i="118"/>
  <c r="I45" i="118"/>
  <c r="I34" i="118"/>
  <c r="I58" i="118" s="1"/>
  <c r="J34" i="118"/>
  <c r="G34" i="118"/>
  <c r="G58" i="118" s="1"/>
  <c r="C34" i="118"/>
  <c r="F34" i="118"/>
  <c r="F58" i="118" s="1"/>
  <c r="D34" i="118"/>
  <c r="H49" i="125"/>
  <c r="I21" i="125"/>
  <c r="AG20" i="2" s="1"/>
  <c r="F35" i="125"/>
  <c r="E35" i="125"/>
  <c r="G35" i="125"/>
  <c r="F41" i="125"/>
  <c r="G41" i="125"/>
  <c r="E41" i="125"/>
  <c r="D41" i="125"/>
  <c r="C41" i="125"/>
  <c r="B58" i="115"/>
  <c r="C55" i="118"/>
  <c r="G67" i="119"/>
  <c r="G61" i="117"/>
  <c r="H52" i="118"/>
  <c r="F63" i="118"/>
  <c r="E58" i="119"/>
  <c r="F41" i="119"/>
  <c r="F36" i="119"/>
  <c r="F33" i="121"/>
  <c r="D70" i="121"/>
  <c r="G49" i="121"/>
  <c r="D77" i="121"/>
  <c r="I16" i="121"/>
  <c r="AF16" i="2" s="1"/>
  <c r="AA22" i="16"/>
  <c r="G53" i="122"/>
  <c r="D31" i="122"/>
  <c r="D55" i="122" s="1"/>
  <c r="D36" i="122"/>
  <c r="D60" i="122" s="1"/>
  <c r="I67" i="122"/>
  <c r="F68" i="122"/>
  <c r="G29" i="123"/>
  <c r="D40" i="123"/>
  <c r="D168" i="18"/>
  <c r="F30" i="125"/>
  <c r="G50" i="125"/>
  <c r="G33" i="126"/>
  <c r="G57" i="126" s="1"/>
  <c r="E38" i="126"/>
  <c r="E62" i="126" s="1"/>
  <c r="G32" i="127"/>
  <c r="G58" i="127" s="1"/>
  <c r="F36" i="127"/>
  <c r="E39" i="127"/>
  <c r="F23" i="127"/>
  <c r="K30" i="115"/>
  <c r="K17" i="115"/>
  <c r="H61" i="115"/>
  <c r="H55" i="118"/>
  <c r="E23" i="119"/>
  <c r="E55" i="122"/>
  <c r="B60" i="123"/>
  <c r="B168" i="18"/>
  <c r="F62" i="126"/>
  <c r="H55" i="115"/>
  <c r="I37" i="115"/>
  <c r="D62" i="118"/>
  <c r="D60" i="117"/>
  <c r="D58" i="119"/>
  <c r="B60" i="119"/>
  <c r="I53" i="122"/>
  <c r="K43" i="122"/>
  <c r="F67" i="122" s="1"/>
  <c r="G23" i="122"/>
  <c r="K10" i="122"/>
  <c r="C30" i="123"/>
  <c r="H40" i="123"/>
  <c r="H66" i="123" s="1"/>
  <c r="F23" i="123"/>
  <c r="F23" i="118"/>
  <c r="D33" i="125"/>
  <c r="E71" i="125"/>
  <c r="I33" i="126"/>
  <c r="G38" i="126"/>
  <c r="G62" i="126" s="1"/>
  <c r="H23" i="126"/>
  <c r="K29" i="126"/>
  <c r="H44" i="127"/>
  <c r="H70" i="127" s="1"/>
  <c r="H60" i="115"/>
  <c r="I62" i="115"/>
  <c r="F47" i="119"/>
  <c r="E59" i="119"/>
  <c r="C25" i="117"/>
  <c r="Z6" i="3" s="1"/>
  <c r="F68" i="117"/>
  <c r="I167" i="18"/>
  <c r="C53" i="122"/>
  <c r="F31" i="122"/>
  <c r="F55" i="122" s="1"/>
  <c r="F36" i="122"/>
  <c r="F60" i="122" s="1"/>
  <c r="I23" i="122"/>
  <c r="H28" i="123"/>
  <c r="H54" i="123" s="1"/>
  <c r="E70" i="123"/>
  <c r="E33" i="125"/>
  <c r="G25" i="125"/>
  <c r="J33" i="126"/>
  <c r="H38" i="126"/>
  <c r="C32" i="127"/>
  <c r="C58" i="127" s="1"/>
  <c r="H29" i="127"/>
  <c r="C62" i="118"/>
  <c r="E55" i="118"/>
  <c r="I55" i="118"/>
  <c r="G31" i="122"/>
  <c r="G55" i="122" s="1"/>
  <c r="G36" i="122"/>
  <c r="I68" i="122"/>
  <c r="C29" i="123"/>
  <c r="D30" i="123"/>
  <c r="B71" i="123"/>
  <c r="G34" i="123"/>
  <c r="B126" i="18"/>
  <c r="F33" i="125"/>
  <c r="F70" i="125"/>
  <c r="C50" i="125"/>
  <c r="H41" i="125"/>
  <c r="C68" i="125" s="1"/>
  <c r="G71" i="125"/>
  <c r="C33" i="126"/>
  <c r="K33" i="126"/>
  <c r="E57" i="126" s="1"/>
  <c r="I38" i="126"/>
  <c r="B62" i="126"/>
  <c r="I54" i="126"/>
  <c r="C61" i="117"/>
  <c r="F59" i="119"/>
  <c r="G34" i="119"/>
  <c r="E53" i="122"/>
  <c r="H36" i="122"/>
  <c r="H60" i="122" s="1"/>
  <c r="G67" i="122"/>
  <c r="D68" i="122"/>
  <c r="C23" i="122"/>
  <c r="D29" i="123"/>
  <c r="D58" i="123"/>
  <c r="G70" i="123"/>
  <c r="H30" i="123"/>
  <c r="H56" i="123" s="1"/>
  <c r="H168" i="18"/>
  <c r="E23" i="118"/>
  <c r="D50" i="125"/>
  <c r="D33" i="126"/>
  <c r="J38" i="126"/>
  <c r="K39" i="126"/>
  <c r="E32" i="127"/>
  <c r="E58" i="127" s="1"/>
  <c r="C36" i="127"/>
  <c r="E23" i="127"/>
  <c r="J60" i="115"/>
  <c r="G58" i="119"/>
  <c r="C63" i="118"/>
  <c r="B58" i="118"/>
  <c r="D41" i="119"/>
  <c r="F66" i="119"/>
  <c r="C33" i="121"/>
  <c r="C31" i="122"/>
  <c r="C55" i="122" s="1"/>
  <c r="C36" i="122"/>
  <c r="C60" i="122" s="1"/>
  <c r="K37" i="122"/>
  <c r="K61" i="122" s="1"/>
  <c r="G30" i="123"/>
  <c r="E58" i="123"/>
  <c r="H39" i="123"/>
  <c r="C34" i="123"/>
  <c r="E168" i="18"/>
  <c r="H23" i="125"/>
  <c r="H37" i="125"/>
  <c r="C64" i="125" s="1"/>
  <c r="C38" i="126"/>
  <c r="C62" i="126" s="1"/>
  <c r="E29" i="127"/>
  <c r="D76" i="125"/>
  <c r="C76" i="125"/>
  <c r="G76" i="125"/>
  <c r="I22" i="125"/>
  <c r="AG21" i="2" s="1"/>
  <c r="G51" i="125"/>
  <c r="H50" i="125"/>
  <c r="C51" i="125"/>
  <c r="C78" i="125" s="1"/>
  <c r="H51" i="125"/>
  <c r="D78" i="125" s="1"/>
  <c r="D69" i="125"/>
  <c r="G69" i="125"/>
  <c r="I14" i="125"/>
  <c r="AG14" i="2" s="1"/>
  <c r="C45" i="125"/>
  <c r="C72" i="125" s="1"/>
  <c r="C71" i="125"/>
  <c r="D72" i="125"/>
  <c r="I17" i="125"/>
  <c r="AG17" i="2" s="1"/>
  <c r="C69" i="125"/>
  <c r="D71" i="125"/>
  <c r="F72" i="125"/>
  <c r="G45" i="125"/>
  <c r="G72" i="125" s="1"/>
  <c r="F25" i="125"/>
  <c r="B46" i="125"/>
  <c r="F69" i="125"/>
  <c r="E68" i="125"/>
  <c r="E69" i="125"/>
  <c r="F71" i="125"/>
  <c r="F37" i="125"/>
  <c r="C35" i="125"/>
  <c r="G37" i="125"/>
  <c r="H33" i="125"/>
  <c r="C60" i="125" s="1"/>
  <c r="F59" i="125"/>
  <c r="D35" i="125"/>
  <c r="D25" i="125"/>
  <c r="AB7" i="3" s="1"/>
  <c r="I8" i="125"/>
  <c r="AG9" i="2" s="1"/>
  <c r="C34" i="125"/>
  <c r="F63" i="125"/>
  <c r="D34" i="125"/>
  <c r="E34" i="125"/>
  <c r="B38" i="125"/>
  <c r="G38" i="125" s="1"/>
  <c r="F34" i="125"/>
  <c r="I5" i="125"/>
  <c r="AG6" i="2" s="1"/>
  <c r="H34" i="125"/>
  <c r="G61" i="125" s="1"/>
  <c r="E63" i="125"/>
  <c r="C25" i="125"/>
  <c r="G63" i="125"/>
  <c r="H10" i="125"/>
  <c r="F44" i="126"/>
  <c r="G44" i="126"/>
  <c r="K44" i="126"/>
  <c r="H44" i="126"/>
  <c r="I44" i="126"/>
  <c r="F23" i="126"/>
  <c r="E39" i="126"/>
  <c r="E63" i="126" s="1"/>
  <c r="F39" i="126"/>
  <c r="F63" i="126" s="1"/>
  <c r="B63" i="126"/>
  <c r="F60" i="126"/>
  <c r="G23" i="126"/>
  <c r="I23" i="126"/>
  <c r="K37" i="126"/>
  <c r="D61" i="126" s="1"/>
  <c r="G39" i="126"/>
  <c r="D63" i="126"/>
  <c r="H39" i="126"/>
  <c r="H63" i="126" s="1"/>
  <c r="I39" i="126"/>
  <c r="I63" i="126" s="1"/>
  <c r="B41" i="126"/>
  <c r="C39" i="126"/>
  <c r="E34" i="126"/>
  <c r="K56" i="126"/>
  <c r="AG9" i="17"/>
  <c r="C53" i="126"/>
  <c r="J30" i="126"/>
  <c r="J54" i="126" s="1"/>
  <c r="I31" i="126"/>
  <c r="H56" i="126"/>
  <c r="I56" i="126"/>
  <c r="D54" i="126"/>
  <c r="C31" i="126"/>
  <c r="K31" i="126"/>
  <c r="K55" i="126" s="1"/>
  <c r="J56" i="126"/>
  <c r="B23" i="126"/>
  <c r="E30" i="126"/>
  <c r="E54" i="126" s="1"/>
  <c r="D31" i="126"/>
  <c r="C56" i="126"/>
  <c r="J57" i="126"/>
  <c r="E23" i="126"/>
  <c r="F30" i="126"/>
  <c r="F54" i="126" s="1"/>
  <c r="E31" i="126"/>
  <c r="D56" i="126"/>
  <c r="G30" i="126"/>
  <c r="G54" i="126" s="1"/>
  <c r="F31" i="126"/>
  <c r="E56" i="126"/>
  <c r="D57" i="126"/>
  <c r="H54" i="126"/>
  <c r="G31" i="126"/>
  <c r="F56" i="126"/>
  <c r="B34" i="126"/>
  <c r="J53" i="126"/>
  <c r="G56" i="126"/>
  <c r="F57" i="126"/>
  <c r="E43" i="127"/>
  <c r="H37" i="127"/>
  <c r="H63" i="127" s="1"/>
  <c r="H36" i="127"/>
  <c r="H62" i="127" s="1"/>
  <c r="D37" i="127"/>
  <c r="D63" i="127" s="1"/>
  <c r="E37" i="127"/>
  <c r="F37" i="127"/>
  <c r="H40" i="127"/>
  <c r="C37" i="127"/>
  <c r="C30" i="127"/>
  <c r="C56" i="127" s="1"/>
  <c r="E31" i="127"/>
  <c r="D30" i="127"/>
  <c r="D56" i="127" s="1"/>
  <c r="E30" i="127"/>
  <c r="E56" i="127" s="1"/>
  <c r="H10" i="127"/>
  <c r="F30" i="127"/>
  <c r="F56" i="127" s="1"/>
  <c r="D33" i="127"/>
  <c r="D59" i="127" s="1"/>
  <c r="C23" i="127"/>
  <c r="G30" i="127"/>
  <c r="G56" i="127" s="1"/>
  <c r="F59" i="127"/>
  <c r="F58" i="127"/>
  <c r="V20" i="3"/>
  <c r="H148" i="18"/>
  <c r="G148" i="18"/>
  <c r="F148" i="18"/>
  <c r="D148" i="18"/>
  <c r="H65" i="56"/>
  <c r="H47" i="68"/>
  <c r="I47" i="68"/>
  <c r="I71" i="68" s="1"/>
  <c r="C47" i="68"/>
  <c r="C71" i="68" s="1"/>
  <c r="G47" i="68"/>
  <c r="K47" i="68"/>
  <c r="F47" i="68"/>
  <c r="E47" i="68"/>
  <c r="E71" i="68" s="1"/>
  <c r="D47" i="68"/>
  <c r="J47" i="68"/>
  <c r="H64" i="14"/>
  <c r="H76" i="4"/>
  <c r="U20" i="3"/>
  <c r="C47" i="111"/>
  <c r="C73" i="111" s="1"/>
  <c r="F47" i="111"/>
  <c r="F73" i="111" s="1"/>
  <c r="E47" i="111"/>
  <c r="E73" i="111" s="1"/>
  <c r="D47" i="111"/>
  <c r="D73" i="111" s="1"/>
  <c r="G47" i="111"/>
  <c r="G73" i="111" s="1"/>
  <c r="H78" i="4"/>
  <c r="D67" i="111"/>
  <c r="H67" i="111"/>
  <c r="C67" i="111"/>
  <c r="C60" i="111"/>
  <c r="D60" i="111"/>
  <c r="H60" i="111"/>
  <c r="F60" i="111"/>
  <c r="G60" i="111"/>
  <c r="E60" i="111"/>
  <c r="H60" i="49"/>
  <c r="G73" i="69"/>
  <c r="G60" i="42"/>
  <c r="F65" i="96"/>
  <c r="H65" i="108"/>
  <c r="E65" i="108"/>
  <c r="G65" i="108"/>
  <c r="F65" i="108"/>
  <c r="C65" i="108"/>
  <c r="I47" i="98"/>
  <c r="X22" i="3"/>
  <c r="H73" i="93"/>
  <c r="C73" i="93"/>
  <c r="E73" i="93"/>
  <c r="K71" i="98"/>
  <c r="C73" i="109"/>
  <c r="F34" i="68"/>
  <c r="F58" i="68" s="1"/>
  <c r="S11" i="17"/>
  <c r="D58" i="71"/>
  <c r="G58" i="71"/>
  <c r="C58" i="71"/>
  <c r="I58" i="71"/>
  <c r="K58" i="71"/>
  <c r="H58" i="71"/>
  <c r="B71" i="98"/>
  <c r="H60" i="73"/>
  <c r="G60" i="73"/>
  <c r="E60" i="73"/>
  <c r="C60" i="73"/>
  <c r="J45" i="110"/>
  <c r="J69" i="110" s="1"/>
  <c r="E45" i="110"/>
  <c r="E69" i="110" s="1"/>
  <c r="G65" i="105"/>
  <c r="E68" i="108"/>
  <c r="G61" i="108"/>
  <c r="C41" i="96"/>
  <c r="C65" i="96" s="1"/>
  <c r="D41" i="96"/>
  <c r="D65" i="96" s="1"/>
  <c r="E41" i="96"/>
  <c r="E65" i="96" s="1"/>
  <c r="J41" i="96"/>
  <c r="J65" i="96" s="1"/>
  <c r="C62" i="99"/>
  <c r="C41" i="68"/>
  <c r="D41" i="68"/>
  <c r="E41" i="68"/>
  <c r="H41" i="68"/>
  <c r="G41" i="68"/>
  <c r="I41" i="68"/>
  <c r="K41" i="68"/>
  <c r="J41" i="68"/>
  <c r="S17" i="17"/>
  <c r="K64" i="71"/>
  <c r="G64" i="71"/>
  <c r="C64" i="71"/>
  <c r="J64" i="71"/>
  <c r="H64" i="71"/>
  <c r="F64" i="71"/>
  <c r="F41" i="69"/>
  <c r="C41" i="69"/>
  <c r="E41" i="69"/>
  <c r="G41" i="69"/>
  <c r="H41" i="69"/>
  <c r="J23" i="79"/>
  <c r="I51" i="79"/>
  <c r="G78" i="79" s="1"/>
  <c r="J51" i="79"/>
  <c r="U22" i="2" s="1"/>
  <c r="E51" i="79"/>
  <c r="F51" i="79"/>
  <c r="H45" i="110"/>
  <c r="H69" i="110" s="1"/>
  <c r="C45" i="110"/>
  <c r="C69" i="110" s="1"/>
  <c r="C76" i="108"/>
  <c r="G76" i="108"/>
  <c r="AA13" i="17"/>
  <c r="K60" i="96"/>
  <c r="I62" i="99"/>
  <c r="F62" i="99"/>
  <c r="Y8" i="2"/>
  <c r="H38" i="72"/>
  <c r="I10" i="72"/>
  <c r="D62" i="42"/>
  <c r="E62" i="42"/>
  <c r="G62" i="42"/>
  <c r="F62" i="42"/>
  <c r="C58" i="47"/>
  <c r="L10" i="47"/>
  <c r="E58" i="47"/>
  <c r="D58" i="47"/>
  <c r="G58" i="47"/>
  <c r="H58" i="47"/>
  <c r="I58" i="47"/>
  <c r="K58" i="47"/>
  <c r="J58" i="47"/>
  <c r="E71" i="47"/>
  <c r="H71" i="47"/>
  <c r="G71" i="47"/>
  <c r="I71" i="47"/>
  <c r="K71" i="47"/>
  <c r="F71" i="47"/>
  <c r="J71" i="47"/>
  <c r="C71" i="47"/>
  <c r="D71" i="47"/>
  <c r="C45" i="85"/>
  <c r="H45" i="85"/>
  <c r="F45" i="85"/>
  <c r="D45" i="85"/>
  <c r="D10" i="2"/>
  <c r="F45" i="110"/>
  <c r="F69" i="110" s="1"/>
  <c r="D58" i="77"/>
  <c r="C57" i="77"/>
  <c r="F60" i="108"/>
  <c r="K25" i="108"/>
  <c r="K45" i="97"/>
  <c r="E69" i="97" s="1"/>
  <c r="K23" i="97"/>
  <c r="K47" i="97" s="1"/>
  <c r="C47" i="86"/>
  <c r="C73" i="86" s="1"/>
  <c r="D47" i="86"/>
  <c r="D73" i="86" s="1"/>
  <c r="C53" i="89"/>
  <c r="H53" i="89"/>
  <c r="E53" i="89"/>
  <c r="J53" i="89"/>
  <c r="K53" i="89"/>
  <c r="D54" i="69"/>
  <c r="H54" i="69"/>
  <c r="I62" i="76"/>
  <c r="G62" i="76"/>
  <c r="E62" i="76"/>
  <c r="H62" i="76"/>
  <c r="U15" i="17"/>
  <c r="F62" i="76"/>
  <c r="H65" i="67"/>
  <c r="R11" i="2"/>
  <c r="G66" i="60"/>
  <c r="I66" i="60"/>
  <c r="K66" i="60"/>
  <c r="D66" i="60"/>
  <c r="H66" i="60"/>
  <c r="F66" i="60"/>
  <c r="E66" i="60"/>
  <c r="E60" i="86"/>
  <c r="C60" i="86"/>
  <c r="G60" i="86"/>
  <c r="K60" i="71"/>
  <c r="S13" i="17"/>
  <c r="G60" i="71"/>
  <c r="D60" i="71"/>
  <c r="E60" i="71"/>
  <c r="H50" i="13"/>
  <c r="D77" i="13" s="1"/>
  <c r="I22" i="13"/>
  <c r="H23" i="13"/>
  <c r="H10" i="13"/>
  <c r="C59" i="13"/>
  <c r="I4" i="13"/>
  <c r="H32" i="13"/>
  <c r="I15" i="14"/>
  <c r="H43" i="14"/>
  <c r="E61" i="108"/>
  <c r="F65" i="105"/>
  <c r="C47" i="95"/>
  <c r="C73" i="95" s="1"/>
  <c r="E47" i="95"/>
  <c r="E73" i="95" s="1"/>
  <c r="D55" i="42"/>
  <c r="F55" i="42"/>
  <c r="E55" i="42"/>
  <c r="F60" i="14"/>
  <c r="C6" i="2"/>
  <c r="D51" i="49"/>
  <c r="F51" i="49"/>
  <c r="G51" i="49"/>
  <c r="C51" i="49"/>
  <c r="E51" i="49"/>
  <c r="F72" i="13"/>
  <c r="F61" i="75"/>
  <c r="S15" i="17"/>
  <c r="D60" i="108"/>
  <c r="C72" i="48"/>
  <c r="D72" i="48"/>
  <c r="E72" i="48"/>
  <c r="F72" i="48"/>
  <c r="K30" i="47"/>
  <c r="N7" i="17" s="1"/>
  <c r="K37" i="47"/>
  <c r="N14" i="17" s="1"/>
  <c r="F60" i="86"/>
  <c r="F53" i="89"/>
  <c r="D37" i="49"/>
  <c r="F37" i="49"/>
  <c r="H37" i="49"/>
  <c r="E64" i="49" s="1"/>
  <c r="C37" i="49"/>
  <c r="D41" i="106"/>
  <c r="D67" i="106" s="1"/>
  <c r="E41" i="106"/>
  <c r="E65" i="93"/>
  <c r="H65" i="93"/>
  <c r="G62" i="99"/>
  <c r="H34" i="75"/>
  <c r="F34" i="75"/>
  <c r="C34" i="75"/>
  <c r="G34" i="75"/>
  <c r="K34" i="75"/>
  <c r="I34" i="75"/>
  <c r="I64" i="71"/>
  <c r="D62" i="87"/>
  <c r="G62" i="87"/>
  <c r="C62" i="87"/>
  <c r="K62" i="87"/>
  <c r="E61" i="87"/>
  <c r="V14" i="17"/>
  <c r="H61" i="87"/>
  <c r="K61" i="87"/>
  <c r="D53" i="89"/>
  <c r="F45" i="93"/>
  <c r="F71" i="93" s="1"/>
  <c r="G45" i="93"/>
  <c r="G71" i="93" s="1"/>
  <c r="D45" i="93"/>
  <c r="D71" i="93" s="1"/>
  <c r="C45" i="93"/>
  <c r="C71" i="93" s="1"/>
  <c r="E45" i="93"/>
  <c r="E71" i="93" s="1"/>
  <c r="I18" i="34"/>
  <c r="C72" i="34"/>
  <c r="D72" i="34"/>
  <c r="E72" i="34"/>
  <c r="G72" i="34"/>
  <c r="F72" i="34"/>
  <c r="U10" i="17"/>
  <c r="I57" i="76"/>
  <c r="F57" i="76"/>
  <c r="H57" i="76"/>
  <c r="K57" i="76"/>
  <c r="D57" i="76"/>
  <c r="E57" i="76"/>
  <c r="F65" i="94"/>
  <c r="H60" i="85"/>
  <c r="K51" i="83"/>
  <c r="W22" i="2" s="1"/>
  <c r="G76" i="49"/>
  <c r="L16" i="2"/>
  <c r="C71" i="5"/>
  <c r="F71" i="5"/>
  <c r="C45" i="105"/>
  <c r="AA22" i="17"/>
  <c r="C65" i="94"/>
  <c r="E38" i="99"/>
  <c r="E65" i="99" s="1"/>
  <c r="D41" i="85"/>
  <c r="D67" i="85" s="1"/>
  <c r="E41" i="76"/>
  <c r="F41" i="76"/>
  <c r="C41" i="76"/>
  <c r="J41" i="76"/>
  <c r="I41" i="76"/>
  <c r="D41" i="76"/>
  <c r="K41" i="76"/>
  <c r="D45" i="61"/>
  <c r="F45" i="61"/>
  <c r="C45" i="61"/>
  <c r="C72" i="61" s="1"/>
  <c r="H35" i="56"/>
  <c r="I7" i="56"/>
  <c r="H19" i="6"/>
  <c r="I19" i="6" s="1"/>
  <c r="I15" i="6"/>
  <c r="B66" i="55"/>
  <c r="B73" i="55" s="1"/>
  <c r="F30" i="55"/>
  <c r="H30" i="55"/>
  <c r="J30" i="55"/>
  <c r="D30" i="55"/>
  <c r="W24" i="16"/>
  <c r="K53" i="96"/>
  <c r="H45" i="56"/>
  <c r="I17" i="56"/>
  <c r="H18" i="13"/>
  <c r="I15" i="13"/>
  <c r="J39" i="47"/>
  <c r="F39" i="47"/>
  <c r="D63" i="21"/>
  <c r="F63" i="21"/>
  <c r="J63" i="21"/>
  <c r="G53" i="21"/>
  <c r="K10" i="21"/>
  <c r="H53" i="21"/>
  <c r="I53" i="21"/>
  <c r="J53" i="21"/>
  <c r="C53" i="21"/>
  <c r="K53" i="21"/>
  <c r="D53" i="21"/>
  <c r="L5" i="21"/>
  <c r="F53" i="21"/>
  <c r="H65" i="94"/>
  <c r="AA6" i="17"/>
  <c r="I61" i="76"/>
  <c r="J28" i="60"/>
  <c r="F28" i="60"/>
  <c r="C58" i="40"/>
  <c r="G58" i="40"/>
  <c r="E58" i="40"/>
  <c r="C63" i="43"/>
  <c r="E63" i="43"/>
  <c r="G63" i="43"/>
  <c r="F57" i="68"/>
  <c r="J57" i="68"/>
  <c r="C57" i="68"/>
  <c r="G57" i="68"/>
  <c r="D57" i="68"/>
  <c r="H57" i="68"/>
  <c r="I57" i="68"/>
  <c r="E57" i="68"/>
  <c r="B67" i="68"/>
  <c r="B69" i="68" s="1"/>
  <c r="F43" i="68"/>
  <c r="J43" i="68"/>
  <c r="K43" i="68"/>
  <c r="C43" i="68"/>
  <c r="G43" i="68"/>
  <c r="D43" i="68"/>
  <c r="H43" i="68"/>
  <c r="E43" i="68"/>
  <c r="I43" i="68"/>
  <c r="H61" i="76"/>
  <c r="B20" i="18"/>
  <c r="G61" i="76"/>
  <c r="E61" i="76"/>
  <c r="U14" i="17"/>
  <c r="D43" i="61"/>
  <c r="D70" i="61" s="1"/>
  <c r="F43" i="61"/>
  <c r="F70" i="61" s="1"/>
  <c r="B46" i="61"/>
  <c r="C43" i="61"/>
  <c r="C70" i="61" s="1"/>
  <c r="H10" i="49"/>
  <c r="I7" i="49"/>
  <c r="H33" i="4"/>
  <c r="G33" i="4"/>
  <c r="H11" i="6"/>
  <c r="I11" i="6" s="1"/>
  <c r="I8" i="6"/>
  <c r="J26" i="17"/>
  <c r="I26" i="17"/>
  <c r="J70" i="60"/>
  <c r="C70" i="60"/>
  <c r="K70" i="60"/>
  <c r="D70" i="60"/>
  <c r="E70" i="60"/>
  <c r="F70" i="60"/>
  <c r="G70" i="60"/>
  <c r="I70" i="60"/>
  <c r="C56" i="60"/>
  <c r="K56" i="60"/>
  <c r="D56" i="60"/>
  <c r="E56" i="60"/>
  <c r="F56" i="60"/>
  <c r="G56" i="60"/>
  <c r="H56" i="60"/>
  <c r="J56" i="60"/>
  <c r="G41" i="76"/>
  <c r="G65" i="76" s="1"/>
  <c r="G68" i="75"/>
  <c r="I41" i="75"/>
  <c r="C41" i="75"/>
  <c r="D104" i="18"/>
  <c r="J104" i="18"/>
  <c r="G41" i="33"/>
  <c r="E41" i="33"/>
  <c r="G68" i="83"/>
  <c r="H41" i="76"/>
  <c r="H65" i="76" s="1"/>
  <c r="H24" i="6"/>
  <c r="I22" i="6"/>
  <c r="J43" i="21"/>
  <c r="F43" i="21"/>
  <c r="I57" i="21"/>
  <c r="J57" i="21"/>
  <c r="C57" i="21"/>
  <c r="K57" i="21"/>
  <c r="D57" i="21"/>
  <c r="E57" i="21"/>
  <c r="F57" i="21"/>
  <c r="L9" i="21"/>
  <c r="H57" i="21"/>
  <c r="E28" i="69"/>
  <c r="E54" i="69" s="1"/>
  <c r="F28" i="69"/>
  <c r="F54" i="69" s="1"/>
  <c r="G34" i="56"/>
  <c r="G61" i="56" s="1"/>
  <c r="D41" i="4"/>
  <c r="D68" i="4" s="1"/>
  <c r="H68" i="4" s="1"/>
  <c r="H18" i="5"/>
  <c r="K55" i="21"/>
  <c r="C55" i="21"/>
  <c r="F130" i="22"/>
  <c r="B123" i="22"/>
  <c r="H28" i="30"/>
  <c r="J28" i="30"/>
  <c r="D28" i="30"/>
  <c r="D60" i="63"/>
  <c r="F60" i="63"/>
  <c r="H60" i="63"/>
  <c r="F41" i="54"/>
  <c r="D41" i="54"/>
  <c r="F39" i="69"/>
  <c r="H39" i="69"/>
  <c r="C65" i="69" s="1"/>
  <c r="D39" i="69"/>
  <c r="B71" i="73"/>
  <c r="B73" i="73" s="1"/>
  <c r="B45" i="73"/>
  <c r="F30" i="71"/>
  <c r="F54" i="71" s="1"/>
  <c r="G30" i="71"/>
  <c r="G54" i="71" s="1"/>
  <c r="H30" i="71"/>
  <c r="I30" i="71"/>
  <c r="I54" i="71" s="1"/>
  <c r="C30" i="71"/>
  <c r="C54" i="71" s="1"/>
  <c r="J30" i="71"/>
  <c r="J54" i="71" s="1"/>
  <c r="E30" i="71"/>
  <c r="C44" i="71"/>
  <c r="C68" i="71" s="1"/>
  <c r="E44" i="71"/>
  <c r="E68" i="71" s="1"/>
  <c r="G44" i="71"/>
  <c r="G68" i="71" s="1"/>
  <c r="I44" i="71"/>
  <c r="I68" i="71" s="1"/>
  <c r="C69" i="72"/>
  <c r="S14" i="2"/>
  <c r="H69" i="72"/>
  <c r="D32" i="78"/>
  <c r="D58" i="78" s="1"/>
  <c r="G32" i="78"/>
  <c r="G58" i="78" s="1"/>
  <c r="C32" i="78"/>
  <c r="C58" i="78" s="1"/>
  <c r="Y6" i="3"/>
  <c r="B41" i="114"/>
  <c r="B23" i="114"/>
  <c r="B47" i="114" s="1"/>
  <c r="B67" i="114"/>
  <c r="B73" i="114" s="1"/>
  <c r="D39" i="55"/>
  <c r="D31" i="55"/>
  <c r="D29" i="55"/>
  <c r="H54" i="47"/>
  <c r="H43" i="47"/>
  <c r="J28" i="47"/>
  <c r="K28" i="47" s="1"/>
  <c r="N5" i="17" s="1"/>
  <c r="I55" i="21"/>
  <c r="J37" i="21"/>
  <c r="H122" i="22"/>
  <c r="D70" i="63"/>
  <c r="F70" i="63"/>
  <c r="H70" i="63"/>
  <c r="E24" i="38"/>
  <c r="H18" i="38"/>
  <c r="I18" i="38" s="1"/>
  <c r="K21" i="60"/>
  <c r="F40" i="68"/>
  <c r="J40" i="68"/>
  <c r="C40" i="68"/>
  <c r="G40" i="68"/>
  <c r="D40" i="68"/>
  <c r="H40" i="68"/>
  <c r="B64" i="68"/>
  <c r="B65" i="68" s="1"/>
  <c r="K40" i="68"/>
  <c r="E64" i="68" s="1"/>
  <c r="J31" i="75"/>
  <c r="J55" i="75" s="1"/>
  <c r="F31" i="75"/>
  <c r="F55" i="75" s="1"/>
  <c r="D34" i="56"/>
  <c r="D61" i="56" s="1"/>
  <c r="J44" i="55"/>
  <c r="J40" i="55"/>
  <c r="K40" i="55" s="1"/>
  <c r="O17" i="17" s="1"/>
  <c r="C39" i="55"/>
  <c r="C31" i="55"/>
  <c r="C29" i="55"/>
  <c r="F43" i="47"/>
  <c r="H55" i="21"/>
  <c r="F37" i="21"/>
  <c r="J32" i="21"/>
  <c r="K32" i="21" s="1"/>
  <c r="M9" i="17" s="1"/>
  <c r="F122" i="22"/>
  <c r="J61" i="31"/>
  <c r="D61" i="31"/>
  <c r="H61" i="31"/>
  <c r="F41" i="110"/>
  <c r="D41" i="110"/>
  <c r="H72" i="66"/>
  <c r="H62" i="66"/>
  <c r="F33" i="61"/>
  <c r="F60" i="61" s="1"/>
  <c r="D43" i="49"/>
  <c r="D70" i="49" s="1"/>
  <c r="H70" i="49" s="1"/>
  <c r="F38" i="5"/>
  <c r="I17" i="13"/>
  <c r="F37" i="15"/>
  <c r="F64" i="15" s="1"/>
  <c r="F33" i="60"/>
  <c r="K33" i="60" s="1"/>
  <c r="P10" i="17" s="1"/>
  <c r="G55" i="21"/>
  <c r="L7" i="21"/>
  <c r="K40" i="22"/>
  <c r="L17" i="17" s="1"/>
  <c r="K36" i="22"/>
  <c r="L13" i="17" s="1"/>
  <c r="F44" i="30"/>
  <c r="H44" i="30"/>
  <c r="J44" i="30"/>
  <c r="D44" i="30"/>
  <c r="J36" i="32"/>
  <c r="F36" i="32"/>
  <c r="D61" i="48"/>
  <c r="F61" i="48"/>
  <c r="I7" i="48"/>
  <c r="C76" i="33"/>
  <c r="I22" i="33"/>
  <c r="G76" i="33"/>
  <c r="D31" i="68"/>
  <c r="H31" i="68"/>
  <c r="E31" i="68"/>
  <c r="E55" i="68" s="1"/>
  <c r="I31" i="68"/>
  <c r="F31" i="68"/>
  <c r="J31" i="68"/>
  <c r="K31" i="68"/>
  <c r="C31" i="68"/>
  <c r="G31" i="68"/>
  <c r="F72" i="66"/>
  <c r="F62" i="66"/>
  <c r="E33" i="61"/>
  <c r="E60" i="61" s="1"/>
  <c r="B34" i="22"/>
  <c r="J30" i="22"/>
  <c r="K30" i="22" s="1"/>
  <c r="L7" i="17" s="1"/>
  <c r="D54" i="63"/>
  <c r="F54" i="63"/>
  <c r="H54" i="63"/>
  <c r="F33" i="59"/>
  <c r="D33" i="59"/>
  <c r="F34" i="54"/>
  <c r="D34" i="54"/>
  <c r="F25" i="48"/>
  <c r="C70" i="40"/>
  <c r="G70" i="40"/>
  <c r="C62" i="68"/>
  <c r="G62" i="68"/>
  <c r="D62" i="68"/>
  <c r="F37" i="78"/>
  <c r="F63" i="78" s="1"/>
  <c r="E37" i="78"/>
  <c r="E63" i="78" s="1"/>
  <c r="F33" i="56"/>
  <c r="F60" i="56" s="1"/>
  <c r="H60" i="56" s="1"/>
  <c r="D44" i="55"/>
  <c r="J39" i="55"/>
  <c r="H29" i="55"/>
  <c r="E55" i="21"/>
  <c r="J31" i="21"/>
  <c r="G35" i="33"/>
  <c r="E35" i="33"/>
  <c r="D69" i="33"/>
  <c r="F69" i="33"/>
  <c r="I15" i="33"/>
  <c r="F34" i="69"/>
  <c r="F60" i="69" s="1"/>
  <c r="G34" i="69"/>
  <c r="G60" i="69" s="1"/>
  <c r="F34" i="73"/>
  <c r="F60" i="73" s="1"/>
  <c r="D34" i="73"/>
  <c r="D60" i="73" s="1"/>
  <c r="J21" i="79"/>
  <c r="C70" i="63"/>
  <c r="F30" i="87"/>
  <c r="J30" i="87"/>
  <c r="D30" i="87"/>
  <c r="G29" i="30"/>
  <c r="J30" i="32"/>
  <c r="K30" i="32" s="1"/>
  <c r="B7" i="17" s="1"/>
  <c r="F35" i="79"/>
  <c r="F62" i="79" s="1"/>
  <c r="H38" i="86"/>
  <c r="E70" i="114"/>
  <c r="F70" i="114"/>
  <c r="H70" i="114"/>
  <c r="D70" i="114"/>
  <c r="C70" i="114"/>
  <c r="F28" i="114"/>
  <c r="D28" i="114"/>
  <c r="G28" i="114"/>
  <c r="C28" i="114"/>
  <c r="E28" i="114"/>
  <c r="H28" i="114"/>
  <c r="H54" i="114" s="1"/>
  <c r="K41" i="115"/>
  <c r="H32" i="30"/>
  <c r="K32" i="30" s="1"/>
  <c r="D9" i="17" s="1"/>
  <c r="E29" i="30"/>
  <c r="F35" i="59"/>
  <c r="H35" i="59" s="1"/>
  <c r="H23" i="54"/>
  <c r="G30" i="48"/>
  <c r="H30" i="48" s="1"/>
  <c r="H31" i="73"/>
  <c r="F28" i="73"/>
  <c r="F54" i="73" s="1"/>
  <c r="K43" i="71"/>
  <c r="C67" i="71" s="1"/>
  <c r="F44" i="78"/>
  <c r="F70" i="78" s="1"/>
  <c r="G37" i="79"/>
  <c r="K30" i="97"/>
  <c r="E54" i="97" s="1"/>
  <c r="H42" i="109"/>
  <c r="K10" i="110"/>
  <c r="F42" i="113"/>
  <c r="B46" i="113"/>
  <c r="G42" i="113"/>
  <c r="D42" i="113"/>
  <c r="C42" i="113"/>
  <c r="H42" i="113"/>
  <c r="E42" i="113"/>
  <c r="J40" i="32"/>
  <c r="K40" i="32" s="1"/>
  <c r="B17" i="17" s="1"/>
  <c r="G40" i="48"/>
  <c r="H40" i="48" s="1"/>
  <c r="F31" i="73"/>
  <c r="E28" i="73"/>
  <c r="E54" i="73" s="1"/>
  <c r="D33" i="87"/>
  <c r="D57" i="87" s="1"/>
  <c r="F33" i="87"/>
  <c r="F57" i="87" s="1"/>
  <c r="H33" i="87"/>
  <c r="H57" i="87" s="1"/>
  <c r="J33" i="87"/>
  <c r="J57" i="87" s="1"/>
  <c r="C33" i="87"/>
  <c r="C57" i="87" s="1"/>
  <c r="E71" i="113"/>
  <c r="G71" i="113"/>
  <c r="D71" i="113"/>
  <c r="C29" i="30"/>
  <c r="H32" i="72"/>
  <c r="G59" i="72" s="1"/>
  <c r="J35" i="79"/>
  <c r="U8" i="2" s="1"/>
  <c r="H49" i="79"/>
  <c r="H76" i="79" s="1"/>
  <c r="D32" i="87"/>
  <c r="D56" i="87" s="1"/>
  <c r="F32" i="87"/>
  <c r="F56" i="87" s="1"/>
  <c r="G32" i="87"/>
  <c r="G56" i="87" s="1"/>
  <c r="H32" i="87"/>
  <c r="H56" i="87" s="1"/>
  <c r="I32" i="87"/>
  <c r="I56" i="87" s="1"/>
  <c r="J32" i="87"/>
  <c r="J56" i="87" s="1"/>
  <c r="C32" i="87"/>
  <c r="C56" i="87" s="1"/>
  <c r="H25" i="113"/>
  <c r="I10" i="113"/>
  <c r="AD11" i="2" s="1"/>
  <c r="E62" i="114"/>
  <c r="C62" i="114"/>
  <c r="D62" i="114"/>
  <c r="G62" i="114"/>
  <c r="Y9" i="3"/>
  <c r="H28" i="76"/>
  <c r="H52" i="76" s="1"/>
  <c r="H38" i="84"/>
  <c r="F38" i="84"/>
  <c r="K30" i="87"/>
  <c r="H41" i="110"/>
  <c r="H28" i="111"/>
  <c r="D54" i="111" s="1"/>
  <c r="C68" i="118"/>
  <c r="D68" i="118"/>
  <c r="I68" i="118"/>
  <c r="J68" i="118"/>
  <c r="K68" i="118"/>
  <c r="AF21" i="17"/>
  <c r="F68" i="118"/>
  <c r="K43" i="89"/>
  <c r="I67" i="89" s="1"/>
  <c r="Z8" i="3"/>
  <c r="B165" i="18"/>
  <c r="C67" i="115"/>
  <c r="E67" i="115"/>
  <c r="J68" i="115"/>
  <c r="H57" i="118"/>
  <c r="F57" i="118"/>
  <c r="C57" i="118"/>
  <c r="F65" i="119"/>
  <c r="C47" i="119"/>
  <c r="I165" i="18"/>
  <c r="C165" i="18" s="1"/>
  <c r="G70" i="114"/>
  <c r="G62" i="115"/>
  <c r="K10" i="115"/>
  <c r="K23" i="115" s="1"/>
  <c r="K30" i="122"/>
  <c r="G30" i="122"/>
  <c r="C30" i="122"/>
  <c r="J30" i="122"/>
  <c r="F30" i="122"/>
  <c r="I30" i="122"/>
  <c r="E30" i="122"/>
  <c r="H30" i="122"/>
  <c r="D30" i="122"/>
  <c r="D54" i="122" s="1"/>
  <c r="C45" i="122"/>
  <c r="I45" i="122"/>
  <c r="E45" i="122"/>
  <c r="D45" i="122"/>
  <c r="H45" i="118"/>
  <c r="C45" i="118"/>
  <c r="F45" i="118"/>
  <c r="J45" i="118"/>
  <c r="D45" i="118"/>
  <c r="G45" i="118"/>
  <c r="E45" i="118"/>
  <c r="K45" i="118"/>
  <c r="I69" i="118" s="1"/>
  <c r="I38" i="87"/>
  <c r="I62" i="87" s="1"/>
  <c r="G33" i="111"/>
  <c r="G59" i="111" s="1"/>
  <c r="H165" i="18"/>
  <c r="D41" i="114"/>
  <c r="C68" i="115"/>
  <c r="F68" i="115"/>
  <c r="H23" i="115"/>
  <c r="E60" i="115"/>
  <c r="I60" i="115"/>
  <c r="D60" i="115"/>
  <c r="C60" i="115"/>
  <c r="K28" i="115"/>
  <c r="H28" i="115"/>
  <c r="H52" i="115" s="1"/>
  <c r="J28" i="115"/>
  <c r="J52" i="115" s="1"/>
  <c r="B34" i="115"/>
  <c r="F34" i="115" s="1"/>
  <c r="E28" i="115"/>
  <c r="E52" i="115" s="1"/>
  <c r="G28" i="115"/>
  <c r="I28" i="115"/>
  <c r="I52" i="115" s="1"/>
  <c r="K33" i="115"/>
  <c r="I33" i="115"/>
  <c r="H33" i="115"/>
  <c r="G33" i="115"/>
  <c r="C33" i="115"/>
  <c r="E33" i="115"/>
  <c r="Z10" i="3"/>
  <c r="F30" i="111"/>
  <c r="F56" i="111" s="1"/>
  <c r="G165" i="18"/>
  <c r="D76" i="113"/>
  <c r="H33" i="114"/>
  <c r="D59" i="114" s="1"/>
  <c r="F41" i="115"/>
  <c r="F65" i="115" s="1"/>
  <c r="I41" i="115"/>
  <c r="I65" i="115" s="1"/>
  <c r="C41" i="115"/>
  <c r="C65" i="115" s="1"/>
  <c r="G41" i="115"/>
  <c r="G65" i="115" s="1"/>
  <c r="J41" i="115"/>
  <c r="J65" i="115" s="1"/>
  <c r="H62" i="115"/>
  <c r="D23" i="115"/>
  <c r="D41" i="115"/>
  <c r="D65" i="115" s="1"/>
  <c r="G23" i="115"/>
  <c r="D29" i="115"/>
  <c r="I29" i="115"/>
  <c r="E29" i="115"/>
  <c r="J29" i="115"/>
  <c r="C29" i="115"/>
  <c r="K29" i="115"/>
  <c r="F53" i="115" s="1"/>
  <c r="H29" i="115"/>
  <c r="H53" i="115" s="1"/>
  <c r="AA8" i="3"/>
  <c r="E38" i="87"/>
  <c r="E62" i="87" s="1"/>
  <c r="G37" i="114"/>
  <c r="H37" i="114"/>
  <c r="F37" i="114"/>
  <c r="K67" i="115"/>
  <c r="H67" i="115"/>
  <c r="AD20" i="17"/>
  <c r="F67" i="115"/>
  <c r="AD15" i="17"/>
  <c r="F62" i="115"/>
  <c r="K62" i="115"/>
  <c r="E41" i="115"/>
  <c r="E65" i="115" s="1"/>
  <c r="E68" i="115"/>
  <c r="AD21" i="17"/>
  <c r="H10" i="119"/>
  <c r="H28" i="119"/>
  <c r="F54" i="119" s="1"/>
  <c r="H65" i="119"/>
  <c r="C65" i="119"/>
  <c r="D65" i="119"/>
  <c r="E47" i="119"/>
  <c r="G44" i="119"/>
  <c r="G70" i="119" s="1"/>
  <c r="E44" i="119"/>
  <c r="F44" i="119"/>
  <c r="D44" i="119"/>
  <c r="C44" i="119"/>
  <c r="H44" i="119"/>
  <c r="H70" i="119" s="1"/>
  <c r="B23" i="122"/>
  <c r="C30" i="111"/>
  <c r="E165" i="18"/>
  <c r="H41" i="115"/>
  <c r="H65" i="115" s="1"/>
  <c r="J62" i="115"/>
  <c r="D67" i="115"/>
  <c r="E62" i="115"/>
  <c r="G68" i="115"/>
  <c r="AD7" i="17"/>
  <c r="E54" i="115"/>
  <c r="G54" i="115"/>
  <c r="C54" i="115"/>
  <c r="K54" i="115"/>
  <c r="H54" i="115"/>
  <c r="I54" i="115"/>
  <c r="F23" i="115"/>
  <c r="F67" i="119"/>
  <c r="D67" i="119"/>
  <c r="D47" i="119"/>
  <c r="C125" i="18"/>
  <c r="C59" i="114"/>
  <c r="D68" i="115"/>
  <c r="E23" i="115"/>
  <c r="C62" i="115"/>
  <c r="D52" i="115"/>
  <c r="C52" i="115"/>
  <c r="G55" i="115"/>
  <c r="K55" i="115"/>
  <c r="J55" i="115"/>
  <c r="G34" i="115"/>
  <c r="I18" i="117"/>
  <c r="AE18" i="2" s="1"/>
  <c r="F37" i="115"/>
  <c r="F61" i="115" s="1"/>
  <c r="H58" i="118"/>
  <c r="F59" i="117"/>
  <c r="D34" i="119"/>
  <c r="E34" i="119"/>
  <c r="C34" i="119"/>
  <c r="F62" i="119"/>
  <c r="D35" i="121"/>
  <c r="D62" i="121" s="1"/>
  <c r="G35" i="121"/>
  <c r="G62" i="121" s="1"/>
  <c r="H35" i="121"/>
  <c r="C35" i="121"/>
  <c r="F35" i="121"/>
  <c r="F62" i="121" s="1"/>
  <c r="E35" i="121"/>
  <c r="C25" i="121"/>
  <c r="B67" i="123"/>
  <c r="B73" i="123" s="1"/>
  <c r="B41" i="123"/>
  <c r="D41" i="123" s="1"/>
  <c r="B41" i="118"/>
  <c r="K36" i="118"/>
  <c r="I60" i="118" s="1"/>
  <c r="D36" i="118"/>
  <c r="J36" i="118"/>
  <c r="J60" i="118" s="1"/>
  <c r="E36" i="118"/>
  <c r="E43" i="117"/>
  <c r="B46" i="117"/>
  <c r="H46" i="117" s="1"/>
  <c r="F43" i="117"/>
  <c r="G43" i="117"/>
  <c r="D43" i="117"/>
  <c r="H43" i="117"/>
  <c r="C70" i="117" s="1"/>
  <c r="I23" i="121"/>
  <c r="AF22" i="2" s="1"/>
  <c r="K57" i="122"/>
  <c r="D57" i="122"/>
  <c r="AE10" i="17"/>
  <c r="AF11" i="17"/>
  <c r="K52" i="118"/>
  <c r="AF5" i="17"/>
  <c r="F57" i="119"/>
  <c r="H57" i="119"/>
  <c r="D57" i="119"/>
  <c r="F34" i="119"/>
  <c r="C41" i="119"/>
  <c r="C67" i="119" s="1"/>
  <c r="E41" i="119"/>
  <c r="E67" i="119" s="1"/>
  <c r="G54" i="119"/>
  <c r="H37" i="117"/>
  <c r="F64" i="117" s="1"/>
  <c r="H10" i="117"/>
  <c r="E61" i="121"/>
  <c r="F25" i="121"/>
  <c r="G61" i="122"/>
  <c r="H58" i="119"/>
  <c r="C58" i="119"/>
  <c r="G45" i="119"/>
  <c r="E45" i="119"/>
  <c r="C71" i="121"/>
  <c r="AE14" i="17"/>
  <c r="C61" i="122"/>
  <c r="E61" i="122"/>
  <c r="AB22" i="16"/>
  <c r="B25" i="125"/>
  <c r="AB24" i="16" s="1"/>
  <c r="F50" i="113"/>
  <c r="F77" i="113" s="1"/>
  <c r="G38" i="117"/>
  <c r="G68" i="118"/>
  <c r="C62" i="119"/>
  <c r="H62" i="119"/>
  <c r="D71" i="121"/>
  <c r="I4" i="121"/>
  <c r="AF5" i="2" s="1"/>
  <c r="H10" i="121"/>
  <c r="H32" i="121"/>
  <c r="G59" i="121" s="1"/>
  <c r="D46" i="117"/>
  <c r="B51" i="117"/>
  <c r="D50" i="117"/>
  <c r="D77" i="117" s="1"/>
  <c r="G61" i="121"/>
  <c r="E71" i="121"/>
  <c r="E42" i="121"/>
  <c r="B46" i="121"/>
  <c r="D42" i="121"/>
  <c r="G42" i="121"/>
  <c r="C42" i="121"/>
  <c r="I14" i="121"/>
  <c r="AF14" i="2" s="1"/>
  <c r="H18" i="121"/>
  <c r="H42" i="121"/>
  <c r="F69" i="121" s="1"/>
  <c r="D41" i="117"/>
  <c r="D68" i="117" s="1"/>
  <c r="H167" i="18"/>
  <c r="D33" i="121"/>
  <c r="F49" i="121"/>
  <c r="E57" i="122"/>
  <c r="J61" i="122"/>
  <c r="B60" i="122"/>
  <c r="B41" i="122"/>
  <c r="K45" i="122"/>
  <c r="G56" i="123"/>
  <c r="E65" i="123"/>
  <c r="D34" i="123"/>
  <c r="F34" i="123"/>
  <c r="D59" i="125"/>
  <c r="C62" i="125"/>
  <c r="G41" i="117"/>
  <c r="G68" i="117" s="1"/>
  <c r="F167" i="18"/>
  <c r="B125" i="18"/>
  <c r="C49" i="121"/>
  <c r="H49" i="121"/>
  <c r="J56" i="122"/>
  <c r="F61" i="122"/>
  <c r="E23" i="122"/>
  <c r="B34" i="122"/>
  <c r="K34" i="122" s="1"/>
  <c r="G65" i="123"/>
  <c r="H43" i="123"/>
  <c r="H69" i="123" s="1"/>
  <c r="D43" i="123"/>
  <c r="G43" i="123"/>
  <c r="C43" i="123"/>
  <c r="F43" i="123"/>
  <c r="D23" i="123"/>
  <c r="D45" i="123"/>
  <c r="B23" i="123"/>
  <c r="B47" i="123" s="1"/>
  <c r="C47" i="123" s="1"/>
  <c r="D58" i="125"/>
  <c r="D30" i="125"/>
  <c r="E59" i="125"/>
  <c r="B51" i="121"/>
  <c r="K53" i="122"/>
  <c r="K56" i="122"/>
  <c r="E60" i="122"/>
  <c r="H65" i="123"/>
  <c r="D65" i="123"/>
  <c r="AG20" i="17"/>
  <c r="K67" i="126"/>
  <c r="D42" i="117"/>
  <c r="D69" i="117" s="1"/>
  <c r="B67" i="119"/>
  <c r="B73" i="119" s="1"/>
  <c r="K60" i="122"/>
  <c r="AE13" i="17"/>
  <c r="J23" i="122"/>
  <c r="J45" i="122"/>
  <c r="J69" i="122" s="1"/>
  <c r="G28" i="123"/>
  <c r="C28" i="123"/>
  <c r="F28" i="123"/>
  <c r="E28" i="123"/>
  <c r="G38" i="123"/>
  <c r="G64" i="123" s="1"/>
  <c r="C38" i="123"/>
  <c r="C64" i="123" s="1"/>
  <c r="F38" i="123"/>
  <c r="F64" i="123" s="1"/>
  <c r="E38" i="123"/>
  <c r="E64" i="123" s="1"/>
  <c r="D62" i="125"/>
  <c r="G62" i="125"/>
  <c r="B67" i="127"/>
  <c r="B41" i="127"/>
  <c r="C41" i="127" s="1"/>
  <c r="D53" i="122"/>
  <c r="H53" i="122"/>
  <c r="H61" i="122"/>
  <c r="F23" i="122"/>
  <c r="F45" i="122"/>
  <c r="H31" i="123"/>
  <c r="H57" i="123" s="1"/>
  <c r="D31" i="123"/>
  <c r="G31" i="123"/>
  <c r="C31" i="123"/>
  <c r="F31" i="123"/>
  <c r="E60" i="123"/>
  <c r="H36" i="123"/>
  <c r="H17" i="123"/>
  <c r="H23" i="123" s="1"/>
  <c r="K17" i="118"/>
  <c r="G59" i="125"/>
  <c r="E42" i="117"/>
  <c r="E69" i="117" s="1"/>
  <c r="H33" i="121"/>
  <c r="G60" i="121" s="1"/>
  <c r="G50" i="121"/>
  <c r="G77" i="121" s="1"/>
  <c r="B38" i="121"/>
  <c r="AE8" i="17"/>
  <c r="K55" i="122"/>
  <c r="I57" i="122"/>
  <c r="G60" i="122"/>
  <c r="K17" i="122"/>
  <c r="K41" i="122" s="1"/>
  <c r="C65" i="123"/>
  <c r="H45" i="123"/>
  <c r="E71" i="123" s="1"/>
  <c r="H56" i="122"/>
  <c r="D61" i="122"/>
  <c r="H29" i="123"/>
  <c r="C55" i="123" s="1"/>
  <c r="H10" i="123"/>
  <c r="H34" i="123" s="1"/>
  <c r="H60" i="123" s="1"/>
  <c r="C59" i="125"/>
  <c r="F46" i="125"/>
  <c r="B53" i="125"/>
  <c r="C53" i="125" s="1"/>
  <c r="C46" i="125"/>
  <c r="G67" i="126"/>
  <c r="G38" i="127"/>
  <c r="C38" i="127"/>
  <c r="F38" i="127"/>
  <c r="E38" i="127"/>
  <c r="E64" i="127" s="1"/>
  <c r="H38" i="127"/>
  <c r="H64" i="127" s="1"/>
  <c r="D38" i="127"/>
  <c r="D34" i="127"/>
  <c r="F34" i="127"/>
  <c r="E34" i="127"/>
  <c r="H34" i="127"/>
  <c r="H60" i="127" s="1"/>
  <c r="K62" i="122"/>
  <c r="H37" i="123"/>
  <c r="G63" i="123" s="1"/>
  <c r="F39" i="123"/>
  <c r="F65" i="123" s="1"/>
  <c r="C40" i="123"/>
  <c r="C66" i="123" s="1"/>
  <c r="G40" i="123"/>
  <c r="G66" i="123" s="1"/>
  <c r="G168" i="18"/>
  <c r="E51" i="125"/>
  <c r="E78" i="125" s="1"/>
  <c r="E25" i="125"/>
  <c r="K68" i="126"/>
  <c r="G68" i="126"/>
  <c r="C68" i="126"/>
  <c r="H51" i="126"/>
  <c r="H27" i="126"/>
  <c r="E65" i="127"/>
  <c r="D46" i="125"/>
  <c r="K53" i="126"/>
  <c r="I62" i="126"/>
  <c r="D68" i="126"/>
  <c r="K10" i="126"/>
  <c r="K34" i="126" s="1"/>
  <c r="K28" i="126"/>
  <c r="C52" i="126" s="1"/>
  <c r="K21" i="126"/>
  <c r="F65" i="127"/>
  <c r="I23" i="125"/>
  <c r="AG22" i="2" s="1"/>
  <c r="E72" i="125"/>
  <c r="E46" i="125"/>
  <c r="AB6" i="3"/>
  <c r="H18" i="125"/>
  <c r="H25" i="125" s="1"/>
  <c r="D52" i="126"/>
  <c r="J62" i="126"/>
  <c r="D23" i="127"/>
  <c r="H169" i="18"/>
  <c r="B169" i="18"/>
  <c r="B127" i="18"/>
  <c r="D169" i="18"/>
  <c r="F169" i="18"/>
  <c r="G169" i="18"/>
  <c r="F33" i="123"/>
  <c r="F59" i="123" s="1"/>
  <c r="C30" i="125"/>
  <c r="G46" i="125"/>
  <c r="AG15" i="17"/>
  <c r="H62" i="126"/>
  <c r="D62" i="126"/>
  <c r="K62" i="126"/>
  <c r="F68" i="126"/>
  <c r="B67" i="126"/>
  <c r="B69" i="126" s="1"/>
  <c r="I43" i="126"/>
  <c r="I67" i="126" s="1"/>
  <c r="E43" i="126"/>
  <c r="E67" i="126" s="1"/>
  <c r="H43" i="126"/>
  <c r="H67" i="126" s="1"/>
  <c r="D43" i="126"/>
  <c r="D67" i="126" s="1"/>
  <c r="B45" i="126"/>
  <c r="J43" i="126"/>
  <c r="J67" i="126" s="1"/>
  <c r="F43" i="126"/>
  <c r="F67" i="126" s="1"/>
  <c r="B60" i="127"/>
  <c r="G34" i="127"/>
  <c r="I169" i="18"/>
  <c r="K64" i="122"/>
  <c r="AB10" i="3"/>
  <c r="B58" i="126"/>
  <c r="D23" i="126"/>
  <c r="J41" i="126"/>
  <c r="F41" i="126"/>
  <c r="I41" i="126"/>
  <c r="E41" i="126"/>
  <c r="K41" i="126"/>
  <c r="G41" i="126"/>
  <c r="C41" i="126"/>
  <c r="E41" i="127"/>
  <c r="G23" i="127"/>
  <c r="E169" i="18"/>
  <c r="C33" i="123"/>
  <c r="C59" i="123" s="1"/>
  <c r="AB9" i="3"/>
  <c r="AG10" i="17"/>
  <c r="K57" i="126"/>
  <c r="C43" i="126"/>
  <c r="C67" i="126" s="1"/>
  <c r="H68" i="126"/>
  <c r="G28" i="127"/>
  <c r="C28" i="127"/>
  <c r="F28" i="127"/>
  <c r="E28" i="127"/>
  <c r="H28" i="127"/>
  <c r="H54" i="127" s="1"/>
  <c r="D28" i="127"/>
  <c r="C66" i="127"/>
  <c r="C34" i="127"/>
  <c r="C60" i="127" s="1"/>
  <c r="D45" i="126"/>
  <c r="D31" i="127"/>
  <c r="H31" i="127"/>
  <c r="H57" i="127" s="1"/>
  <c r="C33" i="127"/>
  <c r="C59" i="127" s="1"/>
  <c r="G33" i="127"/>
  <c r="G59" i="127" s="1"/>
  <c r="G41" i="127"/>
  <c r="D43" i="127"/>
  <c r="H43" i="127"/>
  <c r="H69" i="127" s="1"/>
  <c r="B23" i="127"/>
  <c r="B47" i="127" s="1"/>
  <c r="F47" i="127" s="1"/>
  <c r="AG7" i="17"/>
  <c r="C77" i="18"/>
  <c r="C29" i="127"/>
  <c r="C55" i="127" s="1"/>
  <c r="G29" i="127"/>
  <c r="F31" i="127"/>
  <c r="E33" i="127"/>
  <c r="E59" i="127" s="1"/>
  <c r="F43" i="127"/>
  <c r="C44" i="127"/>
  <c r="G44" i="127"/>
  <c r="B45" i="127"/>
  <c r="H45" i="127" s="1"/>
  <c r="H71" i="127" s="1"/>
  <c r="H17" i="127"/>
  <c r="H41" i="127" s="1"/>
  <c r="H67" i="127" s="1"/>
  <c r="L127" i="18"/>
  <c r="C127" i="18" s="1"/>
  <c r="K60" i="126"/>
  <c r="C39" i="127"/>
  <c r="C65" i="127" s="1"/>
  <c r="G39" i="127"/>
  <c r="G65" i="127" s="1"/>
  <c r="D40" i="127"/>
  <c r="C31" i="127"/>
  <c r="C43" i="127"/>
  <c r="AG14" i="17"/>
  <c r="D39" i="127"/>
  <c r="D65" i="127" s="1"/>
  <c r="C105" i="18" l="1"/>
  <c r="C101" i="18"/>
  <c r="C106" i="18"/>
  <c r="H144" i="18"/>
  <c r="C145" i="18"/>
  <c r="F96" i="18"/>
  <c r="C147" i="18"/>
  <c r="C167" i="18"/>
  <c r="D76" i="117"/>
  <c r="G76" i="117"/>
  <c r="C76" i="117"/>
  <c r="F76" i="117"/>
  <c r="D66" i="69"/>
  <c r="E62" i="121"/>
  <c r="C70" i="119"/>
  <c r="J68" i="126"/>
  <c r="AG21" i="17"/>
  <c r="E68" i="126"/>
  <c r="E70" i="127"/>
  <c r="E76" i="125"/>
  <c r="F76" i="125"/>
  <c r="G45" i="122"/>
  <c r="H45" i="122"/>
  <c r="D53" i="126"/>
  <c r="F63" i="119"/>
  <c r="G80" i="72"/>
  <c r="S24" i="2"/>
  <c r="H53" i="126"/>
  <c r="H66" i="86"/>
  <c r="C66" i="86"/>
  <c r="G66" i="86"/>
  <c r="F66" i="86"/>
  <c r="E66" i="86"/>
  <c r="D66" i="86"/>
  <c r="F55" i="94"/>
  <c r="H64" i="15"/>
  <c r="H66" i="127"/>
  <c r="G66" i="127"/>
  <c r="F77" i="117"/>
  <c r="C77" i="117"/>
  <c r="F76" i="49"/>
  <c r="N20" i="2"/>
  <c r="E53" i="126"/>
  <c r="G57" i="118"/>
  <c r="S19" i="3"/>
  <c r="S17" i="3"/>
  <c r="S22" i="3"/>
  <c r="H65" i="106"/>
  <c r="F65" i="106"/>
  <c r="C65" i="106"/>
  <c r="D65" i="106"/>
  <c r="G65" i="106"/>
  <c r="K53" i="97"/>
  <c r="Z6" i="17"/>
  <c r="D53" i="97"/>
  <c r="H53" i="97"/>
  <c r="G53" i="97"/>
  <c r="J53" i="97"/>
  <c r="I53" i="97"/>
  <c r="E53" i="97"/>
  <c r="F53" i="97"/>
  <c r="C53" i="97"/>
  <c r="AC10" i="17"/>
  <c r="E57" i="110"/>
  <c r="K57" i="110"/>
  <c r="J57" i="110"/>
  <c r="I57" i="110"/>
  <c r="C57" i="110"/>
  <c r="H57" i="110"/>
  <c r="G57" i="110"/>
  <c r="F57" i="110"/>
  <c r="D57" i="110"/>
  <c r="C47" i="89"/>
  <c r="D41" i="77"/>
  <c r="D67" i="77" s="1"/>
  <c r="E41" i="77"/>
  <c r="F41" i="77"/>
  <c r="F67" i="77" s="1"/>
  <c r="C41" i="77"/>
  <c r="C67" i="77" s="1"/>
  <c r="G41" i="77"/>
  <c r="H41" i="77"/>
  <c r="H67" i="77" s="1"/>
  <c r="C69" i="67"/>
  <c r="D17" i="2"/>
  <c r="D72" i="13"/>
  <c r="E72" i="13"/>
  <c r="C72" i="13"/>
  <c r="G72" i="13"/>
  <c r="C61" i="5"/>
  <c r="G61" i="5"/>
  <c r="D61" i="5"/>
  <c r="E61" i="5"/>
  <c r="L7" i="2"/>
  <c r="F61" i="5"/>
  <c r="AG8" i="17"/>
  <c r="J55" i="68"/>
  <c r="I53" i="126"/>
  <c r="F53" i="126"/>
  <c r="AG6" i="17"/>
  <c r="D69" i="115"/>
  <c r="K23" i="47"/>
  <c r="F66" i="47"/>
  <c r="C63" i="113"/>
  <c r="E63" i="113"/>
  <c r="H54" i="95"/>
  <c r="D54" i="95"/>
  <c r="E54" i="95"/>
  <c r="C54" i="95"/>
  <c r="AA9" i="17"/>
  <c r="I56" i="96"/>
  <c r="K56" i="96"/>
  <c r="E56" i="96"/>
  <c r="D56" i="96"/>
  <c r="F56" i="96"/>
  <c r="J56" i="96"/>
  <c r="H56" i="96"/>
  <c r="C56" i="96"/>
  <c r="G56" i="96"/>
  <c r="E60" i="109"/>
  <c r="C60" i="109"/>
  <c r="G60" i="109"/>
  <c r="D60" i="109"/>
  <c r="F60" i="109"/>
  <c r="G50" i="18"/>
  <c r="F73" i="40"/>
  <c r="AB14" i="17"/>
  <c r="K61" i="105"/>
  <c r="C61" i="105"/>
  <c r="I61" i="105"/>
  <c r="E61" i="105"/>
  <c r="H61" i="105"/>
  <c r="J61" i="105"/>
  <c r="F61" i="105"/>
  <c r="G61" i="105"/>
  <c r="D61" i="105"/>
  <c r="R14" i="2"/>
  <c r="E69" i="67"/>
  <c r="G69" i="67"/>
  <c r="F54" i="95"/>
  <c r="D144" i="18"/>
  <c r="E144" i="18"/>
  <c r="H72" i="13"/>
  <c r="G63" i="119"/>
  <c r="D63" i="119"/>
  <c r="E56" i="123"/>
  <c r="C54" i="123"/>
  <c r="G60" i="127"/>
  <c r="E55" i="123"/>
  <c r="D69" i="123"/>
  <c r="E70" i="119"/>
  <c r="G64" i="79"/>
  <c r="K31" i="21"/>
  <c r="M8" i="17" s="1"/>
  <c r="H60" i="61"/>
  <c r="F55" i="68"/>
  <c r="E63" i="119"/>
  <c r="J69" i="105"/>
  <c r="I69" i="105"/>
  <c r="H62" i="114"/>
  <c r="F62" i="114"/>
  <c r="D61" i="115"/>
  <c r="E61" i="115"/>
  <c r="AD14" i="17"/>
  <c r="K61" i="115"/>
  <c r="D56" i="86"/>
  <c r="F56" i="86"/>
  <c r="G56" i="71"/>
  <c r="K38" i="31"/>
  <c r="C15" i="17" s="1"/>
  <c r="D77" i="72"/>
  <c r="C77" i="72"/>
  <c r="H68" i="33"/>
  <c r="K41" i="32"/>
  <c r="B18" i="17" s="1"/>
  <c r="H69" i="86"/>
  <c r="C69" i="86"/>
  <c r="F69" i="86"/>
  <c r="D69" i="86"/>
  <c r="G69" i="86"/>
  <c r="E69" i="86"/>
  <c r="X15" i="17"/>
  <c r="K62" i="89"/>
  <c r="H62" i="89"/>
  <c r="F62" i="89"/>
  <c r="J62" i="89"/>
  <c r="D62" i="89"/>
  <c r="C62" i="89"/>
  <c r="I62" i="89"/>
  <c r="G62" i="89"/>
  <c r="C66" i="114"/>
  <c r="D66" i="114"/>
  <c r="F59" i="108"/>
  <c r="C59" i="108"/>
  <c r="G59" i="108"/>
  <c r="E59" i="108"/>
  <c r="H59" i="108"/>
  <c r="D59" i="108"/>
  <c r="F70" i="123"/>
  <c r="C70" i="123"/>
  <c r="AA16" i="17"/>
  <c r="K63" i="96"/>
  <c r="I63" i="96"/>
  <c r="F63" i="96"/>
  <c r="C63" i="96"/>
  <c r="H63" i="96"/>
  <c r="J63" i="96"/>
  <c r="G63" i="96"/>
  <c r="E63" i="96"/>
  <c r="D63" i="96"/>
  <c r="G61" i="118"/>
  <c r="K61" i="118"/>
  <c r="H61" i="118"/>
  <c r="C61" i="118"/>
  <c r="AF14" i="17"/>
  <c r="I52" i="118"/>
  <c r="D61" i="118"/>
  <c r="G54" i="95"/>
  <c r="H66" i="95"/>
  <c r="F66" i="95"/>
  <c r="C66" i="95"/>
  <c r="G66" i="95"/>
  <c r="E66" i="95"/>
  <c r="D66" i="95"/>
  <c r="E53" i="115"/>
  <c r="G52" i="115"/>
  <c r="E64" i="79"/>
  <c r="H62" i="42"/>
  <c r="G65" i="68"/>
  <c r="J63" i="126"/>
  <c r="AG16" i="17"/>
  <c r="K63" i="126"/>
  <c r="H55" i="127"/>
  <c r="E55" i="127"/>
  <c r="D55" i="127"/>
  <c r="G52" i="118"/>
  <c r="C52" i="118"/>
  <c r="E52" i="118"/>
  <c r="D52" i="118"/>
  <c r="J52" i="118"/>
  <c r="G72" i="5"/>
  <c r="K41" i="75"/>
  <c r="I65" i="75" s="1"/>
  <c r="G41" i="75"/>
  <c r="G65" i="75" s="1"/>
  <c r="E41" i="75"/>
  <c r="E65" i="75" s="1"/>
  <c r="G70" i="125"/>
  <c r="D70" i="125"/>
  <c r="E70" i="125"/>
  <c r="D62" i="79"/>
  <c r="I65" i="68"/>
  <c r="F68" i="5"/>
  <c r="E68" i="5"/>
  <c r="F66" i="43"/>
  <c r="C66" i="43"/>
  <c r="E66" i="43"/>
  <c r="D66" i="43"/>
  <c r="G66" i="43"/>
  <c r="B65" i="122"/>
  <c r="B71" i="122" s="1"/>
  <c r="K44" i="55"/>
  <c r="O21" i="17" s="1"/>
  <c r="G55" i="68"/>
  <c r="C65" i="75"/>
  <c r="H71" i="85"/>
  <c r="G71" i="85"/>
  <c r="H32" i="59"/>
  <c r="H56" i="71"/>
  <c r="J56" i="71"/>
  <c r="K56" i="71"/>
  <c r="I56" i="71"/>
  <c r="F45" i="115"/>
  <c r="C45" i="115"/>
  <c r="E45" i="115"/>
  <c r="E69" i="115" s="1"/>
  <c r="H45" i="115"/>
  <c r="J45" i="115"/>
  <c r="K45" i="115"/>
  <c r="AD22" i="17" s="1"/>
  <c r="G45" i="115"/>
  <c r="G53" i="126"/>
  <c r="H55" i="94"/>
  <c r="E55" i="94"/>
  <c r="D55" i="94"/>
  <c r="G55" i="94"/>
  <c r="C55" i="94"/>
  <c r="T8" i="2"/>
  <c r="I62" i="79"/>
  <c r="E62" i="79"/>
  <c r="G62" i="79"/>
  <c r="C62" i="79"/>
  <c r="E62" i="89"/>
  <c r="F34" i="76"/>
  <c r="H34" i="76"/>
  <c r="I34" i="76"/>
  <c r="D34" i="76"/>
  <c r="C34" i="76"/>
  <c r="B47" i="76"/>
  <c r="G34" i="76"/>
  <c r="E34" i="76"/>
  <c r="E58" i="76" s="1"/>
  <c r="J34" i="76"/>
  <c r="K96" i="18"/>
  <c r="H56" i="43"/>
  <c r="K28" i="32"/>
  <c r="B5" i="17" s="1"/>
  <c r="E41" i="88"/>
  <c r="H41" i="88"/>
  <c r="J41" i="88"/>
  <c r="K41" i="88"/>
  <c r="D41" i="88"/>
  <c r="C41" i="88"/>
  <c r="I41" i="88"/>
  <c r="B47" i="88"/>
  <c r="G47" i="55"/>
  <c r="I47" i="55"/>
  <c r="D47" i="55"/>
  <c r="E58" i="32"/>
  <c r="I58" i="32"/>
  <c r="L10" i="32"/>
  <c r="D58" i="32"/>
  <c r="C58" i="32"/>
  <c r="G58" i="32"/>
  <c r="H58" i="32"/>
  <c r="F58" i="32"/>
  <c r="K58" i="32"/>
  <c r="J58" i="32"/>
  <c r="L8" i="2"/>
  <c r="C62" i="5"/>
  <c r="H62" i="5" s="1"/>
  <c r="F62" i="5"/>
  <c r="E62" i="5"/>
  <c r="D62" i="5"/>
  <c r="G62" i="5"/>
  <c r="B47" i="47"/>
  <c r="I47" i="47" s="1"/>
  <c r="C41" i="47"/>
  <c r="F41" i="47"/>
  <c r="D41" i="47"/>
  <c r="H41" i="47"/>
  <c r="I41" i="47"/>
  <c r="G41" i="47"/>
  <c r="J41" i="47"/>
  <c r="E41" i="47"/>
  <c r="K41" i="47" s="1"/>
  <c r="N18" i="17" s="1"/>
  <c r="F38" i="13"/>
  <c r="E38" i="13"/>
  <c r="G38" i="13"/>
  <c r="D38" i="13"/>
  <c r="C38" i="13"/>
  <c r="C67" i="106"/>
  <c r="H67" i="106"/>
  <c r="G55" i="127"/>
  <c r="B73" i="127"/>
  <c r="F64" i="127"/>
  <c r="D70" i="119"/>
  <c r="H69" i="33"/>
  <c r="C55" i="68"/>
  <c r="K37" i="21"/>
  <c r="M14" i="17" s="1"/>
  <c r="H61" i="56"/>
  <c r="C64" i="68"/>
  <c r="E54" i="71"/>
  <c r="C69" i="105"/>
  <c r="E67" i="106"/>
  <c r="E63" i="127"/>
  <c r="G63" i="126"/>
  <c r="G63" i="14"/>
  <c r="H67" i="33"/>
  <c r="C54" i="126"/>
  <c r="D69" i="67"/>
  <c r="D63" i="125"/>
  <c r="I25" i="72"/>
  <c r="G41" i="88"/>
  <c r="H63" i="106"/>
  <c r="E63" i="106"/>
  <c r="C63" i="106"/>
  <c r="F63" i="106"/>
  <c r="F58" i="123"/>
  <c r="R5" i="2"/>
  <c r="E59" i="67"/>
  <c r="C63" i="121"/>
  <c r="H68" i="34"/>
  <c r="E14" i="18"/>
  <c r="E106" i="18" s="1"/>
  <c r="D73" i="22"/>
  <c r="H70" i="54"/>
  <c r="F64" i="72"/>
  <c r="H64" i="72"/>
  <c r="C64" i="72"/>
  <c r="D64" i="72"/>
  <c r="G64" i="72"/>
  <c r="E64" i="72"/>
  <c r="S10" i="2"/>
  <c r="D63" i="106"/>
  <c r="E57" i="95"/>
  <c r="F61" i="88"/>
  <c r="H69" i="4"/>
  <c r="F53" i="109"/>
  <c r="C53" i="109"/>
  <c r="G53" i="109"/>
  <c r="E53" i="109"/>
  <c r="D53" i="109"/>
  <c r="D80" i="109" s="1"/>
  <c r="G67" i="106"/>
  <c r="D60" i="14"/>
  <c r="H64" i="56"/>
  <c r="G59" i="73"/>
  <c r="B71" i="71"/>
  <c r="F73" i="94"/>
  <c r="H77" i="56"/>
  <c r="H96" i="18"/>
  <c r="H59" i="95"/>
  <c r="F59" i="95"/>
  <c r="J15" i="18"/>
  <c r="I47" i="21"/>
  <c r="J41" i="89"/>
  <c r="C41" i="89"/>
  <c r="H41" i="89"/>
  <c r="D41" i="89"/>
  <c r="I41" i="89"/>
  <c r="G41" i="89"/>
  <c r="F41" i="89"/>
  <c r="E41" i="89"/>
  <c r="B47" i="89"/>
  <c r="K34" i="76"/>
  <c r="N24" i="16"/>
  <c r="B16" i="18"/>
  <c r="E57" i="105"/>
  <c r="D57" i="95"/>
  <c r="E59" i="95"/>
  <c r="D96" i="18"/>
  <c r="K121" i="22"/>
  <c r="D66" i="73"/>
  <c r="C54" i="85"/>
  <c r="I25" i="54"/>
  <c r="E79" i="54"/>
  <c r="H79" i="54" s="1"/>
  <c r="G79" i="54"/>
  <c r="C79" i="54"/>
  <c r="D79" i="54"/>
  <c r="I59" i="18"/>
  <c r="O22" i="2"/>
  <c r="F78" i="56"/>
  <c r="G78" i="56"/>
  <c r="C78" i="56"/>
  <c r="H78" i="56" s="1"/>
  <c r="F67" i="106"/>
  <c r="I71" i="98"/>
  <c r="G55" i="126"/>
  <c r="B71" i="89"/>
  <c r="C168" i="18"/>
  <c r="I58" i="88"/>
  <c r="E76" i="113"/>
  <c r="J47" i="76"/>
  <c r="B73" i="47"/>
  <c r="F64" i="79"/>
  <c r="C56" i="122"/>
  <c r="J47" i="89"/>
  <c r="G73" i="94"/>
  <c r="K68" i="110"/>
  <c r="F68" i="110"/>
  <c r="AC21" i="17"/>
  <c r="I68" i="110"/>
  <c r="G68" i="110"/>
  <c r="D65" i="44"/>
  <c r="C65" i="44"/>
  <c r="E65" i="44"/>
  <c r="G65" i="44"/>
  <c r="F65" i="44"/>
  <c r="D63" i="121"/>
  <c r="AC14" i="17"/>
  <c r="G61" i="110"/>
  <c r="K61" i="110"/>
  <c r="F63" i="121"/>
  <c r="D60" i="85"/>
  <c r="C60" i="85"/>
  <c r="D64" i="115"/>
  <c r="K29" i="22"/>
  <c r="L6" i="17" s="1"/>
  <c r="G66" i="73"/>
  <c r="H71" i="56"/>
  <c r="G60" i="85"/>
  <c r="F63" i="44"/>
  <c r="G63" i="44"/>
  <c r="E63" i="44"/>
  <c r="C63" i="44"/>
  <c r="H63" i="44" s="1"/>
  <c r="H61" i="88"/>
  <c r="F73" i="86"/>
  <c r="F45" i="94"/>
  <c r="E45" i="94"/>
  <c r="D45" i="94"/>
  <c r="C45" i="94"/>
  <c r="G45" i="94"/>
  <c r="H45" i="94"/>
  <c r="H71" i="94" s="1"/>
  <c r="G59" i="95"/>
  <c r="J54" i="105"/>
  <c r="G57" i="95"/>
  <c r="J53" i="108"/>
  <c r="D53" i="108"/>
  <c r="G53" i="108"/>
  <c r="H53" i="108"/>
  <c r="E53" i="108"/>
  <c r="C53" i="108"/>
  <c r="F53" i="108"/>
  <c r="K45" i="55"/>
  <c r="O22" i="17" s="1"/>
  <c r="D68" i="110"/>
  <c r="C63" i="126"/>
  <c r="G78" i="125"/>
  <c r="F62" i="125"/>
  <c r="H68" i="61"/>
  <c r="H70" i="13"/>
  <c r="E47" i="55"/>
  <c r="F64" i="89"/>
  <c r="E71" i="117"/>
  <c r="D62" i="113"/>
  <c r="C73" i="94"/>
  <c r="AB10" i="17"/>
  <c r="K57" i="105"/>
  <c r="C57" i="105"/>
  <c r="J57" i="105"/>
  <c r="I57" i="105"/>
  <c r="H62" i="95"/>
  <c r="F62" i="95"/>
  <c r="C70" i="121"/>
  <c r="K29" i="21"/>
  <c r="M6" i="17" s="1"/>
  <c r="K61" i="88"/>
  <c r="W14" i="17"/>
  <c r="E60" i="85"/>
  <c r="H65" i="40"/>
  <c r="C59" i="95"/>
  <c r="C61" i="88"/>
  <c r="C47" i="30"/>
  <c r="D47" i="30"/>
  <c r="F47" i="30"/>
  <c r="J47" i="30"/>
  <c r="H47" i="30"/>
  <c r="E47" i="30"/>
  <c r="D66" i="127"/>
  <c r="G76" i="121"/>
  <c r="C56" i="111"/>
  <c r="F69" i="118"/>
  <c r="H54" i="71"/>
  <c r="F64" i="125"/>
  <c r="I61" i="115"/>
  <c r="D66" i="123"/>
  <c r="B73" i="60"/>
  <c r="K32" i="31"/>
  <c r="C9" i="17" s="1"/>
  <c r="B58" i="31"/>
  <c r="B73" i="31" s="1"/>
  <c r="G144" i="18"/>
  <c r="K39" i="32"/>
  <c r="B16" i="17" s="1"/>
  <c r="H62" i="61"/>
  <c r="E59" i="69"/>
  <c r="J47" i="55"/>
  <c r="D56" i="122"/>
  <c r="G71" i="117"/>
  <c r="K37" i="55"/>
  <c r="O14" i="17" s="1"/>
  <c r="D73" i="94"/>
  <c r="C100" i="18"/>
  <c r="AB7" i="17"/>
  <c r="C54" i="105"/>
  <c r="K54" i="105"/>
  <c r="E54" i="105"/>
  <c r="I54" i="105"/>
  <c r="F54" i="105"/>
  <c r="G46" i="18"/>
  <c r="G138" i="18" s="1"/>
  <c r="F48" i="44"/>
  <c r="E47" i="89"/>
  <c r="AD8" i="17"/>
  <c r="F55" i="115"/>
  <c r="G62" i="43"/>
  <c r="F62" i="43"/>
  <c r="C62" i="43"/>
  <c r="D62" i="43"/>
  <c r="E62" i="43"/>
  <c r="B7" i="3"/>
  <c r="B18" i="3" s="1"/>
  <c r="B20" i="3" s="1"/>
  <c r="D53" i="15"/>
  <c r="D80" i="15" s="1"/>
  <c r="H61" i="67"/>
  <c r="R7" i="2"/>
  <c r="F61" i="67"/>
  <c r="F62" i="117"/>
  <c r="H61" i="54"/>
  <c r="K38" i="30"/>
  <c r="D15" i="17" s="1"/>
  <c r="U6" i="17"/>
  <c r="G53" i="76"/>
  <c r="K53" i="76"/>
  <c r="F60" i="85"/>
  <c r="E53" i="76"/>
  <c r="H58" i="42"/>
  <c r="E73" i="83"/>
  <c r="V18" i="2"/>
  <c r="I73" i="83"/>
  <c r="H73" i="83"/>
  <c r="C73" i="83"/>
  <c r="G73" i="83"/>
  <c r="I61" i="88"/>
  <c r="K160" i="22"/>
  <c r="K112" i="22"/>
  <c r="K162" i="22" s="1"/>
  <c r="D54" i="105"/>
  <c r="H71" i="13"/>
  <c r="H54" i="105"/>
  <c r="C64" i="119"/>
  <c r="J61" i="110"/>
  <c r="H53" i="109"/>
  <c r="F80" i="109" s="1"/>
  <c r="C103" i="18"/>
  <c r="C104" i="18"/>
  <c r="C146" i="18"/>
  <c r="E80" i="129"/>
  <c r="C99" i="18"/>
  <c r="C80" i="129"/>
  <c r="F80" i="129"/>
  <c r="D80" i="129"/>
  <c r="C69" i="127"/>
  <c r="C69" i="113"/>
  <c r="D54" i="114"/>
  <c r="E71" i="85"/>
  <c r="J71" i="68"/>
  <c r="H71" i="68"/>
  <c r="J67" i="122"/>
  <c r="G59" i="123"/>
  <c r="C69" i="115"/>
  <c r="H75" i="48"/>
  <c r="D65" i="114"/>
  <c r="H64" i="4"/>
  <c r="C59" i="69"/>
  <c r="F70" i="79"/>
  <c r="H63" i="111"/>
  <c r="D63" i="111"/>
  <c r="AB6" i="17"/>
  <c r="K53" i="105"/>
  <c r="G53" i="105"/>
  <c r="J53" i="105"/>
  <c r="E53" i="105"/>
  <c r="K56" i="87"/>
  <c r="V9" i="17"/>
  <c r="D45" i="119"/>
  <c r="F45" i="119"/>
  <c r="J61" i="115"/>
  <c r="D62" i="119"/>
  <c r="E53" i="68"/>
  <c r="K23" i="71"/>
  <c r="K45" i="71"/>
  <c r="E69" i="71" s="1"/>
  <c r="H68" i="54"/>
  <c r="M7" i="3"/>
  <c r="D53" i="4"/>
  <c r="R15" i="17"/>
  <c r="K62" i="68"/>
  <c r="H64" i="89"/>
  <c r="E63" i="68"/>
  <c r="F58" i="86"/>
  <c r="B9" i="3"/>
  <c r="B21" i="3" s="1"/>
  <c r="F53" i="15"/>
  <c r="F80" i="15" s="1"/>
  <c r="D56" i="68"/>
  <c r="C56" i="98"/>
  <c r="F69" i="89"/>
  <c r="E66" i="69"/>
  <c r="H61" i="15"/>
  <c r="E55" i="96"/>
  <c r="I56" i="98"/>
  <c r="G70" i="83"/>
  <c r="F67" i="88"/>
  <c r="D55" i="96"/>
  <c r="F152" i="18"/>
  <c r="D56" i="95"/>
  <c r="H63" i="105"/>
  <c r="E55" i="111"/>
  <c r="I54" i="110"/>
  <c r="C59" i="111"/>
  <c r="E60" i="127"/>
  <c r="E70" i="117"/>
  <c r="J54" i="122"/>
  <c r="D69" i="113"/>
  <c r="F54" i="114"/>
  <c r="H34" i="54"/>
  <c r="H76" i="33"/>
  <c r="K43" i="47"/>
  <c r="N20" i="17" s="1"/>
  <c r="C64" i="49"/>
  <c r="D71" i="68"/>
  <c r="G61" i="126"/>
  <c r="F38" i="125"/>
  <c r="D56" i="123"/>
  <c r="H57" i="126"/>
  <c r="F68" i="121"/>
  <c r="H62" i="122"/>
  <c r="F62" i="122"/>
  <c r="K41" i="22"/>
  <c r="L18" i="17" s="1"/>
  <c r="G71" i="67"/>
  <c r="E65" i="84"/>
  <c r="H30" i="59"/>
  <c r="E59" i="109"/>
  <c r="S25" i="3"/>
  <c r="G69" i="106"/>
  <c r="E69" i="106"/>
  <c r="D69" i="106"/>
  <c r="H69" i="106"/>
  <c r="H62" i="84"/>
  <c r="C62" i="84"/>
  <c r="F62" i="84"/>
  <c r="J60" i="122"/>
  <c r="H70" i="84"/>
  <c r="E70" i="84"/>
  <c r="G70" i="84"/>
  <c r="G21" i="18"/>
  <c r="G113" i="18" s="1"/>
  <c r="F47" i="71"/>
  <c r="D59" i="43"/>
  <c r="G59" i="43"/>
  <c r="E59" i="43"/>
  <c r="C59" i="43"/>
  <c r="F59" i="43"/>
  <c r="D72" i="121"/>
  <c r="H56" i="86"/>
  <c r="G56" i="86"/>
  <c r="E64" i="89"/>
  <c r="J56" i="68"/>
  <c r="G57" i="88"/>
  <c r="G62" i="84"/>
  <c r="D57" i="118"/>
  <c r="G56" i="95"/>
  <c r="G70" i="5"/>
  <c r="F70" i="5"/>
  <c r="C70" i="5"/>
  <c r="E70" i="5"/>
  <c r="L15" i="2"/>
  <c r="D70" i="5"/>
  <c r="G63" i="105"/>
  <c r="E69" i="89"/>
  <c r="I65" i="79"/>
  <c r="T11" i="2"/>
  <c r="C65" i="79"/>
  <c r="F56" i="98"/>
  <c r="C60" i="89"/>
  <c r="C53" i="105"/>
  <c r="C67" i="95"/>
  <c r="I52" i="105"/>
  <c r="D63" i="105"/>
  <c r="F53" i="105"/>
  <c r="E59" i="111"/>
  <c r="D52" i="105"/>
  <c r="F59" i="111"/>
  <c r="B65" i="126"/>
  <c r="C56" i="123"/>
  <c r="R25" i="3"/>
  <c r="F55" i="127"/>
  <c r="H52" i="71"/>
  <c r="E67" i="111"/>
  <c r="Y13" i="2"/>
  <c r="I68" i="99"/>
  <c r="J18" i="108"/>
  <c r="AB18" i="2" s="1"/>
  <c r="I25" i="108"/>
  <c r="I46" i="108"/>
  <c r="K54" i="110"/>
  <c r="J54" i="110"/>
  <c r="AC7" i="17"/>
  <c r="E54" i="110"/>
  <c r="G54" i="110"/>
  <c r="C70" i="125"/>
  <c r="AA14" i="17"/>
  <c r="K61" i="96"/>
  <c r="R6" i="17"/>
  <c r="K53" i="68"/>
  <c r="E76" i="117"/>
  <c r="C58" i="69"/>
  <c r="G58" i="69"/>
  <c r="D58" i="69"/>
  <c r="H58" i="69"/>
  <c r="E58" i="69"/>
  <c r="H69" i="84"/>
  <c r="F69" i="84"/>
  <c r="F56" i="71"/>
  <c r="F70" i="83"/>
  <c r="E62" i="84"/>
  <c r="I4" i="18"/>
  <c r="I96" i="18" s="1"/>
  <c r="H47" i="32"/>
  <c r="H70" i="83"/>
  <c r="D70" i="84"/>
  <c r="K57" i="118"/>
  <c r="AF10" i="17"/>
  <c r="C70" i="83"/>
  <c r="C63" i="68"/>
  <c r="D69" i="89"/>
  <c r="H69" i="89"/>
  <c r="X22" i="17"/>
  <c r="K69" i="89"/>
  <c r="D61" i="96"/>
  <c r="E56" i="95"/>
  <c r="G65" i="79"/>
  <c r="I53" i="105"/>
  <c r="E58" i="86"/>
  <c r="D67" i="88"/>
  <c r="J61" i="96"/>
  <c r="D65" i="86"/>
  <c r="J65" i="105"/>
  <c r="D59" i="111"/>
  <c r="G67" i="95"/>
  <c r="D67" i="95"/>
  <c r="D60" i="127"/>
  <c r="E59" i="121"/>
  <c r="G63" i="114"/>
  <c r="F63" i="127"/>
  <c r="E61" i="125"/>
  <c r="F60" i="125"/>
  <c r="G59" i="117"/>
  <c r="H60" i="118"/>
  <c r="E71" i="67"/>
  <c r="H69" i="42"/>
  <c r="Y9" i="17"/>
  <c r="K56" i="98"/>
  <c r="D56" i="98"/>
  <c r="H62" i="106"/>
  <c r="E62" i="106"/>
  <c r="C62" i="106"/>
  <c r="H58" i="95"/>
  <c r="E58" i="95"/>
  <c r="F58" i="95"/>
  <c r="G51" i="67"/>
  <c r="C51" i="67"/>
  <c r="D51" i="67"/>
  <c r="F51" i="67"/>
  <c r="E51" i="67"/>
  <c r="H51" i="67"/>
  <c r="B53" i="67"/>
  <c r="J6" i="18"/>
  <c r="J98" i="18" s="1"/>
  <c r="I47" i="30"/>
  <c r="H56" i="95"/>
  <c r="F56" i="95"/>
  <c r="F53" i="68"/>
  <c r="I56" i="122"/>
  <c r="F58" i="69"/>
  <c r="C64" i="89"/>
  <c r="G72" i="121"/>
  <c r="H75" i="33"/>
  <c r="H56" i="68"/>
  <c r="S21" i="2"/>
  <c r="E77" i="72"/>
  <c r="H77" i="72"/>
  <c r="F70" i="84"/>
  <c r="H61" i="96"/>
  <c r="F52" i="105"/>
  <c r="G67" i="88"/>
  <c r="D71" i="5"/>
  <c r="C56" i="93"/>
  <c r="H53" i="105"/>
  <c r="G65" i="86"/>
  <c r="D54" i="110"/>
  <c r="H152" i="18"/>
  <c r="D80" i="72"/>
  <c r="C80" i="72"/>
  <c r="H80" i="72"/>
  <c r="E80" i="72"/>
  <c r="C65" i="86"/>
  <c r="D38" i="125"/>
  <c r="C71" i="123"/>
  <c r="F54" i="115"/>
  <c r="H63" i="54"/>
  <c r="F71" i="95"/>
  <c r="D66" i="106"/>
  <c r="F67" i="111"/>
  <c r="H59" i="106"/>
  <c r="F59" i="106"/>
  <c r="H55" i="111"/>
  <c r="G55" i="111"/>
  <c r="H59" i="94"/>
  <c r="F59" i="94"/>
  <c r="S18" i="17"/>
  <c r="J65" i="71"/>
  <c r="H65" i="71"/>
  <c r="D65" i="71"/>
  <c r="C65" i="71"/>
  <c r="G65" i="71"/>
  <c r="E65" i="71"/>
  <c r="F65" i="71"/>
  <c r="I65" i="71"/>
  <c r="K65" i="71"/>
  <c r="E62" i="109"/>
  <c r="C62" i="109"/>
  <c r="E62" i="119"/>
  <c r="X17" i="17"/>
  <c r="K64" i="89"/>
  <c r="C55" i="114"/>
  <c r="D57" i="42"/>
  <c r="C57" i="42"/>
  <c r="E57" i="42"/>
  <c r="G57" i="42"/>
  <c r="F57" i="42"/>
  <c r="F62" i="113"/>
  <c r="G66" i="69"/>
  <c r="C66" i="69"/>
  <c r="H66" i="69"/>
  <c r="C72" i="121"/>
  <c r="T20" i="2"/>
  <c r="I76" i="79"/>
  <c r="E76" i="79"/>
  <c r="C76" i="79"/>
  <c r="G4" i="18"/>
  <c r="G96" i="18" s="1"/>
  <c r="F47" i="32"/>
  <c r="C56" i="86"/>
  <c r="G56" i="68"/>
  <c r="E56" i="86"/>
  <c r="F77" i="72"/>
  <c r="K37" i="30"/>
  <c r="D14" i="17" s="1"/>
  <c r="I57" i="118"/>
  <c r="G56" i="89"/>
  <c r="C56" i="89"/>
  <c r="G53" i="68"/>
  <c r="H42" i="59"/>
  <c r="D62" i="84"/>
  <c r="H68" i="99"/>
  <c r="I63" i="105"/>
  <c r="K33" i="55"/>
  <c r="O10" i="17" s="1"/>
  <c r="J57" i="97"/>
  <c r="C55" i="96"/>
  <c r="I61" i="96"/>
  <c r="E61" i="96"/>
  <c r="H57" i="97"/>
  <c r="E60" i="89"/>
  <c r="E68" i="99"/>
  <c r="E67" i="88"/>
  <c r="F65" i="79"/>
  <c r="G54" i="94"/>
  <c r="D55" i="111"/>
  <c r="D62" i="106"/>
  <c r="H54" i="110"/>
  <c r="F65" i="86"/>
  <c r="G58" i="95"/>
  <c r="D62" i="109"/>
  <c r="H56" i="98"/>
  <c r="C58" i="95"/>
  <c r="D70" i="117"/>
  <c r="F70" i="119"/>
  <c r="F47" i="123"/>
  <c r="H55" i="68"/>
  <c r="D71" i="85"/>
  <c r="F66" i="127"/>
  <c r="D60" i="125"/>
  <c r="D59" i="117"/>
  <c r="C71" i="67"/>
  <c r="H77" i="61"/>
  <c r="K33" i="31"/>
  <c r="C10" i="17" s="1"/>
  <c r="H63" i="13"/>
  <c r="F70" i="56"/>
  <c r="AB5" i="17"/>
  <c r="K52" i="105"/>
  <c r="C52" i="105"/>
  <c r="J52" i="105"/>
  <c r="H52" i="105"/>
  <c r="E58" i="106"/>
  <c r="F58" i="106"/>
  <c r="H58" i="106"/>
  <c r="H54" i="94"/>
  <c r="C54" i="94"/>
  <c r="F54" i="94"/>
  <c r="S9" i="17"/>
  <c r="E56" i="71"/>
  <c r="H6" i="18"/>
  <c r="H98" i="18" s="1"/>
  <c r="G47" i="30"/>
  <c r="H56" i="93"/>
  <c r="E56" i="93"/>
  <c r="F56" i="93"/>
  <c r="H58" i="86"/>
  <c r="G58" i="86"/>
  <c r="C58" i="86"/>
  <c r="H63" i="67"/>
  <c r="R9" i="2"/>
  <c r="G63" i="67"/>
  <c r="K118" i="22"/>
  <c r="H45" i="119"/>
  <c r="H71" i="119" s="1"/>
  <c r="E55" i="114"/>
  <c r="AB16" i="17"/>
  <c r="E63" i="105"/>
  <c r="C63" i="105"/>
  <c r="K63" i="105"/>
  <c r="F63" i="67"/>
  <c r="D64" i="89"/>
  <c r="E72" i="121"/>
  <c r="I53" i="68"/>
  <c r="F56" i="68"/>
  <c r="J16" i="18"/>
  <c r="G64" i="89"/>
  <c r="I64" i="89"/>
  <c r="K41" i="89"/>
  <c r="K23" i="89"/>
  <c r="K47" i="89" s="1"/>
  <c r="F68" i="99"/>
  <c r="F61" i="96"/>
  <c r="G56" i="93"/>
  <c r="C59" i="106"/>
  <c r="C68" i="99"/>
  <c r="D53" i="105"/>
  <c r="G52" i="105"/>
  <c r="H62" i="54"/>
  <c r="I55" i="96"/>
  <c r="J67" i="88"/>
  <c r="G68" i="99"/>
  <c r="E59" i="94"/>
  <c r="F62" i="106"/>
  <c r="G63" i="111"/>
  <c r="E63" i="111"/>
  <c r="C54" i="110"/>
  <c r="C59" i="94"/>
  <c r="E67" i="95"/>
  <c r="C55" i="111"/>
  <c r="C60" i="123"/>
  <c r="F60" i="123"/>
  <c r="G70" i="117"/>
  <c r="F60" i="121"/>
  <c r="C54" i="114"/>
  <c r="F71" i="85"/>
  <c r="B71" i="88"/>
  <c r="C67" i="122"/>
  <c r="Z10" i="17"/>
  <c r="D57" i="97"/>
  <c r="K57" i="97"/>
  <c r="W20" i="17"/>
  <c r="K67" i="88"/>
  <c r="E60" i="18"/>
  <c r="E152" i="18" s="1"/>
  <c r="H25" i="59"/>
  <c r="D51" i="59"/>
  <c r="H51" i="59" s="1"/>
  <c r="D79" i="59"/>
  <c r="T10" i="2"/>
  <c r="I64" i="79"/>
  <c r="D64" i="79"/>
  <c r="C64" i="79"/>
  <c r="F50" i="18"/>
  <c r="E73" i="40"/>
  <c r="F55" i="114"/>
  <c r="V15" i="2"/>
  <c r="I70" i="83"/>
  <c r="H53" i="68"/>
  <c r="E69" i="84"/>
  <c r="G55" i="114"/>
  <c r="R9" i="17"/>
  <c r="K56" i="68"/>
  <c r="B80" i="14"/>
  <c r="I25" i="14"/>
  <c r="G69" i="84"/>
  <c r="J64" i="89"/>
  <c r="E57" i="118"/>
  <c r="F19" i="3"/>
  <c r="F17" i="3"/>
  <c r="F22" i="3"/>
  <c r="F25" i="3"/>
  <c r="F18" i="3"/>
  <c r="F21" i="3"/>
  <c r="X13" i="17"/>
  <c r="J60" i="89"/>
  <c r="K60" i="89"/>
  <c r="C57" i="97"/>
  <c r="H55" i="96"/>
  <c r="C69" i="89"/>
  <c r="G77" i="72"/>
  <c r="D54" i="94"/>
  <c r="E65" i="79"/>
  <c r="E70" i="83"/>
  <c r="C58" i="106"/>
  <c r="K32" i="47"/>
  <c r="N9" i="17" s="1"/>
  <c r="G57" i="97"/>
  <c r="C67" i="88"/>
  <c r="D68" i="99"/>
  <c r="C69" i="106"/>
  <c r="C63" i="111"/>
  <c r="J63" i="105"/>
  <c r="G58" i="106"/>
  <c r="G76" i="79"/>
  <c r="E65" i="86"/>
  <c r="C61" i="125"/>
  <c r="B71" i="115"/>
  <c r="E57" i="96"/>
  <c r="H77" i="33"/>
  <c r="G66" i="106"/>
  <c r="H54" i="106"/>
  <c r="C54" i="106"/>
  <c r="D54" i="106"/>
  <c r="F54" i="106"/>
  <c r="K55" i="96"/>
  <c r="AA8" i="17"/>
  <c r="J55" i="96"/>
  <c r="C68" i="122"/>
  <c r="W10" i="17"/>
  <c r="K57" i="88"/>
  <c r="J57" i="88"/>
  <c r="D57" i="88"/>
  <c r="H57" i="88"/>
  <c r="D18" i="18"/>
  <c r="D110" i="18" s="1"/>
  <c r="C47" i="60"/>
  <c r="K47" i="60" s="1"/>
  <c r="P24" i="17" s="1"/>
  <c r="Q26" i="17" s="1"/>
  <c r="G61" i="115"/>
  <c r="G62" i="119"/>
  <c r="K23" i="75"/>
  <c r="K45" i="75"/>
  <c r="D71" i="117"/>
  <c r="H48" i="18"/>
  <c r="H140" i="18" s="1"/>
  <c r="G48" i="42"/>
  <c r="G73" i="42" s="1"/>
  <c r="C69" i="84"/>
  <c r="H72" i="72"/>
  <c r="G72" i="72"/>
  <c r="E72" i="72"/>
  <c r="S17" i="2"/>
  <c r="D72" i="72"/>
  <c r="F72" i="72"/>
  <c r="E62" i="68"/>
  <c r="L6" i="3"/>
  <c r="C53" i="5"/>
  <c r="I57" i="88"/>
  <c r="H60" i="48"/>
  <c r="J57" i="118"/>
  <c r="D69" i="84"/>
  <c r="J62" i="68"/>
  <c r="C69" i="75"/>
  <c r="F55" i="96"/>
  <c r="G59" i="94"/>
  <c r="K119" i="22"/>
  <c r="J56" i="98"/>
  <c r="G69" i="89"/>
  <c r="H63" i="49"/>
  <c r="D58" i="95"/>
  <c r="G61" i="96"/>
  <c r="E56" i="87"/>
  <c r="I57" i="97"/>
  <c r="E59" i="106"/>
  <c r="F57" i="88"/>
  <c r="G56" i="98"/>
  <c r="H67" i="88"/>
  <c r="B15" i="18"/>
  <c r="M24" i="16"/>
  <c r="E57" i="88"/>
  <c r="E57" i="97"/>
  <c r="E54" i="106"/>
  <c r="C65" i="105"/>
  <c r="G62" i="109"/>
  <c r="F63" i="111"/>
  <c r="G59" i="106"/>
  <c r="F67" i="95"/>
  <c r="M8" i="3"/>
  <c r="E53" i="4"/>
  <c r="L10" i="3"/>
  <c r="G53" i="5"/>
  <c r="D64" i="127"/>
  <c r="G54" i="123"/>
  <c r="C69" i="118"/>
  <c r="C69" i="122"/>
  <c r="C54" i="122"/>
  <c r="E69" i="113"/>
  <c r="J64" i="68"/>
  <c r="H70" i="61"/>
  <c r="J67" i="68"/>
  <c r="H58" i="40"/>
  <c r="F72" i="61"/>
  <c r="E65" i="76"/>
  <c r="H71" i="5"/>
  <c r="G58" i="75"/>
  <c r="E78" i="79"/>
  <c r="J65" i="68"/>
  <c r="D70" i="127"/>
  <c r="E55" i="126"/>
  <c r="H55" i="126"/>
  <c r="J64" i="126"/>
  <c r="D61" i="125"/>
  <c r="F56" i="123"/>
  <c r="H60" i="114"/>
  <c r="E60" i="114"/>
  <c r="G60" i="114"/>
  <c r="F60" i="114"/>
  <c r="E62" i="122"/>
  <c r="J57" i="122"/>
  <c r="E63" i="117"/>
  <c r="G71" i="96"/>
  <c r="G41" i="104"/>
  <c r="F24" i="104" s="1"/>
  <c r="G72" i="117"/>
  <c r="D63" i="43"/>
  <c r="F63" i="43"/>
  <c r="G76" i="113"/>
  <c r="H62" i="69"/>
  <c r="E62" i="69"/>
  <c r="D62" i="69"/>
  <c r="H45" i="114"/>
  <c r="H23" i="114"/>
  <c r="H47" i="114" s="1"/>
  <c r="H73" i="114" s="1"/>
  <c r="D60" i="114"/>
  <c r="E50" i="18"/>
  <c r="D48" i="40"/>
  <c r="D73" i="40"/>
  <c r="I15" i="18"/>
  <c r="H47" i="21"/>
  <c r="K47" i="21" s="1"/>
  <c r="M24" i="17" s="1"/>
  <c r="O10" i="3"/>
  <c r="M9" i="3"/>
  <c r="F53" i="4"/>
  <c r="H71" i="67"/>
  <c r="R16" i="2"/>
  <c r="K13" i="3"/>
  <c r="D69" i="56"/>
  <c r="O14" i="2"/>
  <c r="E69" i="56"/>
  <c r="F69" i="56"/>
  <c r="C69" i="56"/>
  <c r="G69" i="56"/>
  <c r="C65" i="84"/>
  <c r="D76" i="13"/>
  <c r="G67" i="84"/>
  <c r="F62" i="69"/>
  <c r="C56" i="110"/>
  <c r="L10" i="31"/>
  <c r="E58" i="31"/>
  <c r="F58" i="31"/>
  <c r="I58" i="31"/>
  <c r="H58" i="31"/>
  <c r="J58" i="31"/>
  <c r="C58" i="31"/>
  <c r="G58" i="31"/>
  <c r="K58" i="31"/>
  <c r="D58" i="31"/>
  <c r="K23" i="31"/>
  <c r="F73" i="31" s="1"/>
  <c r="K71" i="87"/>
  <c r="V24" i="17"/>
  <c r="J71" i="87"/>
  <c r="G71" i="87"/>
  <c r="F56" i="97"/>
  <c r="H71" i="54"/>
  <c r="F71" i="61"/>
  <c r="G71" i="61"/>
  <c r="P16" i="2"/>
  <c r="E71" i="61"/>
  <c r="C71" i="61"/>
  <c r="D56" i="97"/>
  <c r="E70" i="56"/>
  <c r="C69" i="95"/>
  <c r="F59" i="73"/>
  <c r="F69" i="105"/>
  <c r="H54" i="44"/>
  <c r="F56" i="106"/>
  <c r="G59" i="109"/>
  <c r="H69" i="105"/>
  <c r="D66" i="78"/>
  <c r="E60" i="14"/>
  <c r="C70" i="79"/>
  <c r="C71" i="87"/>
  <c r="H71" i="87"/>
  <c r="K47" i="55"/>
  <c r="O24" i="17" s="1"/>
  <c r="G73" i="78"/>
  <c r="H47" i="18"/>
  <c r="H139" i="18" s="1"/>
  <c r="F57" i="18"/>
  <c r="F149" i="18" s="1"/>
  <c r="E51" i="33"/>
  <c r="C63" i="123"/>
  <c r="H69" i="118"/>
  <c r="G69" i="122"/>
  <c r="G54" i="122"/>
  <c r="F64" i="84"/>
  <c r="H33" i="59"/>
  <c r="I64" i="68"/>
  <c r="F64" i="68"/>
  <c r="D65" i="69"/>
  <c r="K28" i="30"/>
  <c r="D5" i="17" s="1"/>
  <c r="I67" i="68"/>
  <c r="F67" i="68"/>
  <c r="K28" i="60"/>
  <c r="P5" i="17" s="1"/>
  <c r="G77" i="13"/>
  <c r="D72" i="61"/>
  <c r="C58" i="75"/>
  <c r="F70" i="127"/>
  <c r="G64" i="126"/>
  <c r="C64" i="126"/>
  <c r="G64" i="125"/>
  <c r="F66" i="123"/>
  <c r="Y5" i="17"/>
  <c r="F52" i="98"/>
  <c r="K52" i="98"/>
  <c r="J52" i="98"/>
  <c r="H52" i="98"/>
  <c r="D54" i="123"/>
  <c r="G63" i="117"/>
  <c r="E72" i="117"/>
  <c r="D54" i="71"/>
  <c r="K54" i="71"/>
  <c r="S7" i="17"/>
  <c r="B17" i="18"/>
  <c r="O24" i="16"/>
  <c r="C59" i="113"/>
  <c r="H62" i="73"/>
  <c r="E62" i="73"/>
  <c r="D51" i="113"/>
  <c r="D78" i="113" s="1"/>
  <c r="E51" i="113"/>
  <c r="E78" i="113" s="1"/>
  <c r="G51" i="113"/>
  <c r="G78" i="113" s="1"/>
  <c r="C51" i="113"/>
  <c r="C78" i="113" s="1"/>
  <c r="F51" i="113"/>
  <c r="F78" i="113" s="1"/>
  <c r="H57" i="69"/>
  <c r="G57" i="69"/>
  <c r="C57" i="69"/>
  <c r="D57" i="69"/>
  <c r="K134" i="22"/>
  <c r="D69" i="114"/>
  <c r="H69" i="114"/>
  <c r="F69" i="114"/>
  <c r="E69" i="114"/>
  <c r="C69" i="114"/>
  <c r="E64" i="126"/>
  <c r="D71" i="55"/>
  <c r="F71" i="55"/>
  <c r="G71" i="55"/>
  <c r="I71" i="55"/>
  <c r="J71" i="55"/>
  <c r="K71" i="55"/>
  <c r="C71" i="55"/>
  <c r="K23" i="55"/>
  <c r="G54" i="73"/>
  <c r="H58" i="54"/>
  <c r="E4" i="18"/>
  <c r="E96" i="18" s="1"/>
  <c r="D47" i="32"/>
  <c r="K47" i="32" s="1"/>
  <c r="B24" i="17" s="1"/>
  <c r="F65" i="84"/>
  <c r="G51" i="13"/>
  <c r="D51" i="13"/>
  <c r="C51" i="13"/>
  <c r="E51" i="13"/>
  <c r="F51" i="13"/>
  <c r="B53" i="13"/>
  <c r="D53" i="13" s="1"/>
  <c r="K31" i="22"/>
  <c r="L8" i="17" s="1"/>
  <c r="D67" i="84"/>
  <c r="J56" i="110"/>
  <c r="K28" i="31"/>
  <c r="C5" i="17" s="1"/>
  <c r="K39" i="31"/>
  <c r="C16" i="17" s="1"/>
  <c r="K39" i="21"/>
  <c r="M16" i="17" s="1"/>
  <c r="K39" i="60"/>
  <c r="P16" i="17" s="1"/>
  <c r="C68" i="15"/>
  <c r="D52" i="98"/>
  <c r="E72" i="99"/>
  <c r="C70" i="56"/>
  <c r="D65" i="84"/>
  <c r="G46" i="14"/>
  <c r="G73" i="14" s="1"/>
  <c r="C46" i="14"/>
  <c r="E46" i="14"/>
  <c r="F46" i="14"/>
  <c r="F73" i="14" s="1"/>
  <c r="D46" i="14"/>
  <c r="B53" i="14"/>
  <c r="H46" i="14"/>
  <c r="C18" i="2" s="1"/>
  <c r="K69" i="105"/>
  <c r="AB22" i="17"/>
  <c r="G69" i="105"/>
  <c r="E71" i="98"/>
  <c r="Y24" i="17"/>
  <c r="F73" i="78"/>
  <c r="I71" i="87"/>
  <c r="H63" i="95"/>
  <c r="D63" i="95"/>
  <c r="G63" i="95"/>
  <c r="F63" i="95"/>
  <c r="E57" i="115"/>
  <c r="E67" i="68"/>
  <c r="V22" i="17"/>
  <c r="F58" i="75"/>
  <c r="I55" i="126"/>
  <c r="D68" i="125"/>
  <c r="C38" i="117"/>
  <c r="D38" i="117"/>
  <c r="E38" i="117"/>
  <c r="AA10" i="17"/>
  <c r="C57" i="96"/>
  <c r="G57" i="96"/>
  <c r="J57" i="96"/>
  <c r="F57" i="96"/>
  <c r="K57" i="96"/>
  <c r="I41" i="110"/>
  <c r="G41" i="110"/>
  <c r="K41" i="110"/>
  <c r="B47" i="110"/>
  <c r="E41" i="110"/>
  <c r="C41" i="110"/>
  <c r="F72" i="117"/>
  <c r="D59" i="113"/>
  <c r="G77" i="117"/>
  <c r="E77" i="117"/>
  <c r="D67" i="122"/>
  <c r="C60" i="114"/>
  <c r="F64" i="126"/>
  <c r="C54" i="73"/>
  <c r="I18" i="49"/>
  <c r="H46" i="49"/>
  <c r="G65" i="114"/>
  <c r="L9" i="3"/>
  <c r="F53" i="5"/>
  <c r="K23" i="88"/>
  <c r="K47" i="88" s="1"/>
  <c r="H46" i="56"/>
  <c r="O18" i="2" s="1"/>
  <c r="I18" i="56"/>
  <c r="H25" i="56"/>
  <c r="G65" i="84"/>
  <c r="C76" i="13"/>
  <c r="D20" i="2"/>
  <c r="E76" i="13"/>
  <c r="B13" i="2"/>
  <c r="G68" i="15"/>
  <c r="F53" i="79"/>
  <c r="D53" i="79"/>
  <c r="E53" i="79"/>
  <c r="H53" i="79"/>
  <c r="C53" i="79"/>
  <c r="J53" i="79"/>
  <c r="U24" i="2" s="1"/>
  <c r="L17" i="2"/>
  <c r="E72" i="5"/>
  <c r="C72" i="5"/>
  <c r="C58" i="94"/>
  <c r="H72" i="99"/>
  <c r="E63" i="95"/>
  <c r="K41" i="60"/>
  <c r="P18" i="17" s="1"/>
  <c r="D70" i="56"/>
  <c r="C76" i="49"/>
  <c r="C71" i="98"/>
  <c r="D73" i="78"/>
  <c r="C36" i="54"/>
  <c r="E36" i="54"/>
  <c r="D36" i="54"/>
  <c r="B51" i="54"/>
  <c r="G36" i="54"/>
  <c r="F36" i="54"/>
  <c r="F62" i="123"/>
  <c r="G69" i="121"/>
  <c r="C57" i="115"/>
  <c r="E69" i="118"/>
  <c r="H54" i="122"/>
  <c r="H61" i="48"/>
  <c r="F65" i="69"/>
  <c r="H67" i="68"/>
  <c r="D65" i="76"/>
  <c r="H58" i="75"/>
  <c r="C55" i="126"/>
  <c r="I64" i="126"/>
  <c r="D64" i="125"/>
  <c r="I57" i="126"/>
  <c r="H67" i="122"/>
  <c r="F57" i="122"/>
  <c r="I64" i="83"/>
  <c r="V10" i="2"/>
  <c r="H69" i="111"/>
  <c r="E69" i="111"/>
  <c r="C69" i="111"/>
  <c r="G69" i="111"/>
  <c r="K56" i="110"/>
  <c r="G56" i="110"/>
  <c r="I56" i="110"/>
  <c r="AC9" i="17"/>
  <c r="C38" i="113"/>
  <c r="D38" i="113"/>
  <c r="F38" i="113"/>
  <c r="E38" i="113"/>
  <c r="F48" i="18"/>
  <c r="F140" i="18" s="1"/>
  <c r="E48" i="42"/>
  <c r="E73" i="42" s="1"/>
  <c r="F70" i="69"/>
  <c r="C70" i="69"/>
  <c r="H70" i="69"/>
  <c r="G70" i="69"/>
  <c r="D42" i="43"/>
  <c r="H42" i="43"/>
  <c r="F42" i="43"/>
  <c r="G42" i="43"/>
  <c r="E42" i="43"/>
  <c r="C42" i="43"/>
  <c r="B48" i="43"/>
  <c r="G48" i="43" s="1"/>
  <c r="F69" i="111"/>
  <c r="D54" i="73"/>
  <c r="D7" i="3"/>
  <c r="K39" i="30"/>
  <c r="D16" i="17" s="1"/>
  <c r="K32" i="55"/>
  <c r="O9" i="17" s="1"/>
  <c r="I11" i="43"/>
  <c r="H24" i="43"/>
  <c r="H35" i="43"/>
  <c r="F67" i="84"/>
  <c r="H67" i="84"/>
  <c r="C67" i="84"/>
  <c r="E67" i="84"/>
  <c r="D54" i="115"/>
  <c r="H75" i="54"/>
  <c r="D46" i="56"/>
  <c r="D73" i="56" s="1"/>
  <c r="F46" i="56"/>
  <c r="F73" i="56" s="1"/>
  <c r="C46" i="56"/>
  <c r="C73" i="56" s="1"/>
  <c r="E46" i="56"/>
  <c r="G46" i="56"/>
  <c r="G73" i="56" s="1"/>
  <c r="B53" i="56"/>
  <c r="E69" i="87"/>
  <c r="D44" i="48"/>
  <c r="E44" i="48"/>
  <c r="G44" i="48"/>
  <c r="C44" i="48"/>
  <c r="B51" i="48"/>
  <c r="D66" i="32"/>
  <c r="H66" i="32"/>
  <c r="K66" i="32"/>
  <c r="E66" i="32"/>
  <c r="I66" i="32"/>
  <c r="C66" i="32"/>
  <c r="G66" i="32"/>
  <c r="L17" i="32"/>
  <c r="K23" i="32"/>
  <c r="D73" i="32" s="1"/>
  <c r="F66" i="32"/>
  <c r="J66" i="32"/>
  <c r="G76" i="13"/>
  <c r="G69" i="95"/>
  <c r="C72" i="99"/>
  <c r="F58" i="30"/>
  <c r="L10" i="30"/>
  <c r="E58" i="30"/>
  <c r="D58" i="30"/>
  <c r="H58" i="30"/>
  <c r="G58" i="30"/>
  <c r="J58" i="30"/>
  <c r="C58" i="30"/>
  <c r="K58" i="30"/>
  <c r="I58" i="30"/>
  <c r="K23" i="30"/>
  <c r="F57" i="69"/>
  <c r="D68" i="15"/>
  <c r="F64" i="83"/>
  <c r="H69" i="61"/>
  <c r="D57" i="96"/>
  <c r="E68" i="15"/>
  <c r="D58" i="94"/>
  <c r="F76" i="13"/>
  <c r="I63" i="18"/>
  <c r="H47" i="73"/>
  <c r="G71" i="95"/>
  <c r="C62" i="73"/>
  <c r="C73" i="78"/>
  <c r="G57" i="98"/>
  <c r="I57" i="98"/>
  <c r="K57" i="98"/>
  <c r="H57" i="98"/>
  <c r="Y10" i="17"/>
  <c r="J57" i="98"/>
  <c r="F57" i="98"/>
  <c r="E57" i="98"/>
  <c r="M6" i="3"/>
  <c r="C53" i="4"/>
  <c r="G70" i="127"/>
  <c r="C70" i="127"/>
  <c r="D53" i="125"/>
  <c r="C64" i="127"/>
  <c r="G60" i="123"/>
  <c r="D60" i="121"/>
  <c r="D69" i="121"/>
  <c r="F55" i="123"/>
  <c r="D60" i="118"/>
  <c r="B47" i="115"/>
  <c r="K47" i="115" s="1"/>
  <c r="G57" i="115"/>
  <c r="G69" i="118"/>
  <c r="E54" i="122"/>
  <c r="G69" i="113"/>
  <c r="D55" i="68"/>
  <c r="K36" i="32"/>
  <c r="B13" i="17" s="1"/>
  <c r="H64" i="68"/>
  <c r="H41" i="54"/>
  <c r="G69" i="87"/>
  <c r="G60" i="4"/>
  <c r="D67" i="68"/>
  <c r="I65" i="76"/>
  <c r="F64" i="49"/>
  <c r="C71" i="85"/>
  <c r="H65" i="68"/>
  <c r="F71" i="68"/>
  <c r="F55" i="126"/>
  <c r="G68" i="125"/>
  <c r="D77" i="125"/>
  <c r="C57" i="126"/>
  <c r="F68" i="125"/>
  <c r="C58" i="118"/>
  <c r="E68" i="121"/>
  <c r="B71" i="118"/>
  <c r="I21" i="18"/>
  <c r="I113" i="18" s="1"/>
  <c r="H47" i="71"/>
  <c r="H63" i="119"/>
  <c r="C63" i="119"/>
  <c r="H64" i="94"/>
  <c r="F64" i="94"/>
  <c r="E64" i="94"/>
  <c r="C62" i="122"/>
  <c r="G66" i="78"/>
  <c r="K64" i="110"/>
  <c r="C64" i="110"/>
  <c r="H64" i="110"/>
  <c r="G64" i="110"/>
  <c r="E64" i="110"/>
  <c r="J64" i="110"/>
  <c r="AC17" i="17"/>
  <c r="I64" i="110"/>
  <c r="H56" i="106"/>
  <c r="C56" i="106"/>
  <c r="E56" i="106"/>
  <c r="F69" i="115"/>
  <c r="K69" i="115"/>
  <c r="E56" i="18"/>
  <c r="E148" i="18" s="1"/>
  <c r="H25" i="34"/>
  <c r="D79" i="34" s="1"/>
  <c r="D51" i="34"/>
  <c r="H51" i="34" s="1"/>
  <c r="F68" i="113"/>
  <c r="G68" i="113"/>
  <c r="D59" i="109"/>
  <c r="F59" i="109"/>
  <c r="D50" i="18"/>
  <c r="C48" i="40"/>
  <c r="C73" i="40"/>
  <c r="H64" i="83"/>
  <c r="H24" i="44"/>
  <c r="I11" i="44"/>
  <c r="H35" i="44"/>
  <c r="I18" i="4"/>
  <c r="H46" i="4"/>
  <c r="H25" i="4"/>
  <c r="F65" i="114"/>
  <c r="F71" i="67"/>
  <c r="J71" i="21"/>
  <c r="H71" i="21"/>
  <c r="L21" i="21"/>
  <c r="K71" i="21"/>
  <c r="D71" i="21"/>
  <c r="I71" i="21"/>
  <c r="G71" i="21"/>
  <c r="C71" i="21"/>
  <c r="E71" i="21"/>
  <c r="C9" i="2"/>
  <c r="C63" i="14"/>
  <c r="F63" i="14"/>
  <c r="D63" i="14"/>
  <c r="N7" i="3"/>
  <c r="J54" i="115"/>
  <c r="H69" i="115"/>
  <c r="C7" i="3"/>
  <c r="C18" i="3" s="1"/>
  <c r="C20" i="3" s="1"/>
  <c r="D53" i="14"/>
  <c r="H51" i="49"/>
  <c r="N22" i="2" s="1"/>
  <c r="B53" i="49"/>
  <c r="D53" i="49" s="1"/>
  <c r="K65" i="75"/>
  <c r="T18" i="17"/>
  <c r="H67" i="59"/>
  <c r="G62" i="69"/>
  <c r="D52" i="71"/>
  <c r="H70" i="34"/>
  <c r="H63" i="61"/>
  <c r="I52" i="98"/>
  <c r="G70" i="56"/>
  <c r="H47" i="105"/>
  <c r="I47" i="105"/>
  <c r="D47" i="105"/>
  <c r="D71" i="105" s="1"/>
  <c r="E47" i="105"/>
  <c r="C47" i="105"/>
  <c r="C71" i="105" s="1"/>
  <c r="G47" i="105"/>
  <c r="I23" i="5"/>
  <c r="H51" i="5"/>
  <c r="K47" i="105"/>
  <c r="F71" i="105" s="1"/>
  <c r="E71" i="95"/>
  <c r="D59" i="73"/>
  <c r="G59" i="69"/>
  <c r="D59" i="69"/>
  <c r="H59" i="69"/>
  <c r="D71" i="95"/>
  <c r="E76" i="49"/>
  <c r="G60" i="14"/>
  <c r="E56" i="110"/>
  <c r="D71" i="87"/>
  <c r="F71" i="87"/>
  <c r="G80" i="99"/>
  <c r="F71" i="98"/>
  <c r="E71" i="87"/>
  <c r="H66" i="78"/>
  <c r="C66" i="78"/>
  <c r="F66" i="78"/>
  <c r="G72" i="61"/>
  <c r="E72" i="61"/>
  <c r="P17" i="2"/>
  <c r="AG17" i="17"/>
  <c r="G64" i="127"/>
  <c r="E54" i="123"/>
  <c r="D76" i="121"/>
  <c r="H57" i="115"/>
  <c r="D69" i="118"/>
  <c r="I54" i="122"/>
  <c r="F57" i="73"/>
  <c r="D64" i="68"/>
  <c r="K130" i="22"/>
  <c r="G67" i="68"/>
  <c r="D64" i="49"/>
  <c r="G78" i="49"/>
  <c r="E65" i="68"/>
  <c r="D55" i="126"/>
  <c r="D64" i="126"/>
  <c r="K67" i="122"/>
  <c r="AE20" i="17"/>
  <c r="D58" i="118"/>
  <c r="K58" i="118"/>
  <c r="S5" i="17"/>
  <c r="C52" i="71"/>
  <c r="I52" i="71"/>
  <c r="E52" i="71"/>
  <c r="G52" i="71"/>
  <c r="K52" i="71"/>
  <c r="I62" i="122"/>
  <c r="F63" i="117"/>
  <c r="H56" i="111"/>
  <c r="E56" i="111"/>
  <c r="G56" i="111"/>
  <c r="G62" i="122"/>
  <c r="C56" i="97"/>
  <c r="J56" i="97"/>
  <c r="Z9" i="17"/>
  <c r="G56" i="97"/>
  <c r="K56" i="97"/>
  <c r="H56" i="97"/>
  <c r="D41" i="78"/>
  <c r="C41" i="78"/>
  <c r="F41" i="78"/>
  <c r="H41" i="78"/>
  <c r="H67" i="78" s="1"/>
  <c r="G41" i="78"/>
  <c r="E41" i="78"/>
  <c r="E48" i="40"/>
  <c r="B50" i="18"/>
  <c r="F48" i="40"/>
  <c r="H48" i="40"/>
  <c r="I24" i="40"/>
  <c r="E57" i="18"/>
  <c r="E149" i="18" s="1"/>
  <c r="D51" i="33"/>
  <c r="H51" i="33" s="1"/>
  <c r="H25" i="33"/>
  <c r="E79" i="33" s="1"/>
  <c r="G5" i="18"/>
  <c r="G97" i="18" s="1"/>
  <c r="F47" i="31"/>
  <c r="K47" i="31" s="1"/>
  <c r="C24" i="17" s="1"/>
  <c r="C26" i="17" s="1"/>
  <c r="H64" i="126"/>
  <c r="Y17" i="2"/>
  <c r="I72" i="99"/>
  <c r="I10" i="5"/>
  <c r="H38" i="5"/>
  <c r="F65" i="5" s="1"/>
  <c r="E38" i="14"/>
  <c r="E65" i="14" s="1"/>
  <c r="G38" i="14"/>
  <c r="G65" i="14" s="1"/>
  <c r="F38" i="14"/>
  <c r="F65" i="14" s="1"/>
  <c r="D38" i="14"/>
  <c r="C38" i="14"/>
  <c r="C65" i="14" s="1"/>
  <c r="H38" i="14"/>
  <c r="C11" i="2" s="1"/>
  <c r="C65" i="114"/>
  <c r="D48" i="18"/>
  <c r="C48" i="42"/>
  <c r="C73" i="42" s="1"/>
  <c r="H69" i="14"/>
  <c r="T15" i="2"/>
  <c r="D70" i="79"/>
  <c r="I70" i="79"/>
  <c r="G70" i="79"/>
  <c r="G62" i="73"/>
  <c r="E57" i="69"/>
  <c r="C64" i="94"/>
  <c r="G72" i="99"/>
  <c r="D57" i="98"/>
  <c r="E52" i="98"/>
  <c r="G56" i="106"/>
  <c r="F77" i="5"/>
  <c r="G77" i="5"/>
  <c r="L21" i="2"/>
  <c r="D77" i="5"/>
  <c r="E77" i="5"/>
  <c r="E70" i="79"/>
  <c r="H61" i="49"/>
  <c r="D64" i="94"/>
  <c r="J41" i="75"/>
  <c r="J65" i="75" s="1"/>
  <c r="H41" i="75"/>
  <c r="H65" i="75" s="1"/>
  <c r="F41" i="75"/>
  <c r="F65" i="75" s="1"/>
  <c r="D41" i="75"/>
  <c r="D65" i="75" s="1"/>
  <c r="B47" i="75"/>
  <c r="C59" i="73"/>
  <c r="C62" i="69"/>
  <c r="G52" i="98"/>
  <c r="E73" i="78"/>
  <c r="C77" i="5"/>
  <c r="D56" i="111"/>
  <c r="C52" i="98"/>
  <c r="C60" i="14"/>
  <c r="H60" i="14" s="1"/>
  <c r="D62" i="73"/>
  <c r="J71" i="98"/>
  <c r="Y24" i="2"/>
  <c r="I80" i="99"/>
  <c r="G71" i="98"/>
  <c r="H80" i="15"/>
  <c r="F59" i="113"/>
  <c r="G59" i="113"/>
  <c r="H69" i="95"/>
  <c r="D69" i="95"/>
  <c r="F69" i="95"/>
  <c r="G64" i="34"/>
  <c r="E64" i="34"/>
  <c r="C64" i="34"/>
  <c r="I10" i="34"/>
  <c r="F64" i="34"/>
  <c r="D64" i="34"/>
  <c r="J69" i="87"/>
  <c r="K69" i="87"/>
  <c r="I69" i="87"/>
  <c r="D69" i="87"/>
  <c r="F69" i="87"/>
  <c r="C69" i="87"/>
  <c r="J71" i="105"/>
  <c r="H41" i="123"/>
  <c r="H67" i="123" s="1"/>
  <c r="F60" i="127"/>
  <c r="F69" i="122"/>
  <c r="F54" i="123"/>
  <c r="J53" i="115"/>
  <c r="J69" i="118"/>
  <c r="F54" i="122"/>
  <c r="H35" i="33"/>
  <c r="G64" i="68"/>
  <c r="K43" i="21"/>
  <c r="M20" i="17" s="1"/>
  <c r="H41" i="33"/>
  <c r="C67" i="68"/>
  <c r="C65" i="76"/>
  <c r="I58" i="75"/>
  <c r="D65" i="68"/>
  <c r="G71" i="68"/>
  <c r="E64" i="125"/>
  <c r="E66" i="123"/>
  <c r="E67" i="122"/>
  <c r="J58" i="118"/>
  <c r="D59" i="123"/>
  <c r="D62" i="122"/>
  <c r="D63" i="117"/>
  <c r="H66" i="106"/>
  <c r="E66" i="106"/>
  <c r="C66" i="106"/>
  <c r="C72" i="117"/>
  <c r="F52" i="118"/>
  <c r="H58" i="88"/>
  <c r="F58" i="88"/>
  <c r="C58" i="88"/>
  <c r="G58" i="88"/>
  <c r="D58" i="88"/>
  <c r="J58" i="88"/>
  <c r="K58" i="88"/>
  <c r="E58" i="88"/>
  <c r="W11" i="17"/>
  <c r="G77" i="113"/>
  <c r="C77" i="113"/>
  <c r="D77" i="113"/>
  <c r="E77" i="113"/>
  <c r="D70" i="69"/>
  <c r="D10" i="18"/>
  <c r="D102" i="18" s="1"/>
  <c r="K24" i="26"/>
  <c r="C76" i="113"/>
  <c r="H50" i="18"/>
  <c r="G48" i="40"/>
  <c r="G73" i="40"/>
  <c r="H58" i="94"/>
  <c r="F58" i="94"/>
  <c r="H38" i="113"/>
  <c r="G65" i="113" s="1"/>
  <c r="R20" i="3"/>
  <c r="H71" i="55"/>
  <c r="H13" i="3"/>
  <c r="H17" i="3"/>
  <c r="E65" i="114"/>
  <c r="L13" i="2"/>
  <c r="G68" i="5"/>
  <c r="D68" i="5"/>
  <c r="C68" i="5"/>
  <c r="G64" i="83"/>
  <c r="D71" i="67"/>
  <c r="K18" i="3"/>
  <c r="D64" i="83"/>
  <c r="J18" i="79"/>
  <c r="I46" i="79"/>
  <c r="C73" i="79" s="1"/>
  <c r="I25" i="79"/>
  <c r="H77" i="49"/>
  <c r="H68" i="56"/>
  <c r="J66" i="47"/>
  <c r="I66" i="47"/>
  <c r="G66" i="47"/>
  <c r="E66" i="47"/>
  <c r="C66" i="47"/>
  <c r="H66" i="47"/>
  <c r="L17" i="47"/>
  <c r="D66" i="47"/>
  <c r="K66" i="47"/>
  <c r="C64" i="83"/>
  <c r="H34" i="48"/>
  <c r="H34" i="33"/>
  <c r="H72" i="49"/>
  <c r="H76" i="5"/>
  <c r="G58" i="94"/>
  <c r="D72" i="99"/>
  <c r="H33" i="54"/>
  <c r="I56" i="97"/>
  <c r="D69" i="105"/>
  <c r="C63" i="95"/>
  <c r="E59" i="73"/>
  <c r="H62" i="14"/>
  <c r="E69" i="105"/>
  <c r="J52" i="71"/>
  <c r="D56" i="110"/>
  <c r="C71" i="95"/>
  <c r="I57" i="96"/>
  <c r="D76" i="49"/>
  <c r="H76" i="49" s="1"/>
  <c r="H56" i="110"/>
  <c r="F64" i="110"/>
  <c r="X21" i="3"/>
  <c r="X18" i="3"/>
  <c r="X17" i="3"/>
  <c r="C80" i="99"/>
  <c r="E77" i="125"/>
  <c r="C77" i="125"/>
  <c r="G77" i="125"/>
  <c r="F78" i="125"/>
  <c r="F77" i="125"/>
  <c r="E60" i="125"/>
  <c r="E38" i="125"/>
  <c r="F61" i="125"/>
  <c r="G60" i="125"/>
  <c r="C38" i="125"/>
  <c r="F53" i="125"/>
  <c r="G53" i="125"/>
  <c r="H38" i="125"/>
  <c r="I10" i="125"/>
  <c r="AG11" i="2" s="1"/>
  <c r="I68" i="126"/>
  <c r="H41" i="126"/>
  <c r="H65" i="126" s="1"/>
  <c r="D41" i="126"/>
  <c r="D65" i="126" s="1"/>
  <c r="G65" i="126"/>
  <c r="F61" i="126"/>
  <c r="C61" i="126"/>
  <c r="J61" i="126"/>
  <c r="K61" i="126"/>
  <c r="E61" i="126"/>
  <c r="I61" i="126"/>
  <c r="H61" i="126"/>
  <c r="G52" i="126"/>
  <c r="E52" i="126"/>
  <c r="F52" i="126"/>
  <c r="I52" i="126"/>
  <c r="D34" i="126"/>
  <c r="D58" i="126" s="1"/>
  <c r="C34" i="126"/>
  <c r="C58" i="126" s="1"/>
  <c r="J34" i="126"/>
  <c r="J58" i="126" s="1"/>
  <c r="I34" i="126"/>
  <c r="H34" i="126"/>
  <c r="H58" i="126" s="1"/>
  <c r="G34" i="126"/>
  <c r="G58" i="126" s="1"/>
  <c r="F34" i="126"/>
  <c r="J55" i="126"/>
  <c r="F69" i="127"/>
  <c r="D69" i="127"/>
  <c r="E69" i="127"/>
  <c r="E62" i="127"/>
  <c r="C63" i="127"/>
  <c r="E66" i="127"/>
  <c r="D62" i="127"/>
  <c r="F62" i="127"/>
  <c r="G62" i="127"/>
  <c r="C62" i="127"/>
  <c r="G63" i="127"/>
  <c r="D47" i="127"/>
  <c r="AE11" i="17"/>
  <c r="K58" i="122"/>
  <c r="J41" i="122"/>
  <c r="J65" i="122" s="1"/>
  <c r="F41" i="122"/>
  <c r="F65" i="122" s="1"/>
  <c r="H41" i="122"/>
  <c r="H65" i="122" s="1"/>
  <c r="D41" i="122"/>
  <c r="D65" i="122" s="1"/>
  <c r="G41" i="122"/>
  <c r="G65" i="122" s="1"/>
  <c r="C41" i="122"/>
  <c r="C65" i="122" s="1"/>
  <c r="K54" i="87"/>
  <c r="V7" i="17"/>
  <c r="H54" i="87"/>
  <c r="C54" i="87"/>
  <c r="E54" i="87"/>
  <c r="I54" i="87"/>
  <c r="H63" i="43"/>
  <c r="G65" i="72"/>
  <c r="C65" i="72"/>
  <c r="S11" i="2"/>
  <c r="E65" i="72"/>
  <c r="H65" i="72"/>
  <c r="D65" i="72"/>
  <c r="F65" i="72"/>
  <c r="F57" i="127"/>
  <c r="F54" i="127"/>
  <c r="E65" i="126"/>
  <c r="G69" i="127"/>
  <c r="E58" i="126"/>
  <c r="F57" i="123"/>
  <c r="D71" i="123"/>
  <c r="C76" i="121"/>
  <c r="D60" i="123"/>
  <c r="I41" i="122"/>
  <c r="I65" i="122" s="1"/>
  <c r="C46" i="121"/>
  <c r="E46" i="121"/>
  <c r="G46" i="121"/>
  <c r="D46" i="121"/>
  <c r="F59" i="121"/>
  <c r="D59" i="121"/>
  <c r="E60" i="118"/>
  <c r="E57" i="123"/>
  <c r="I53" i="115"/>
  <c r="I57" i="115"/>
  <c r="AD5" i="17"/>
  <c r="K52" i="115"/>
  <c r="AE7" i="17"/>
  <c r="K54" i="122"/>
  <c r="F52" i="115"/>
  <c r="E64" i="84"/>
  <c r="C64" i="84"/>
  <c r="G64" i="84"/>
  <c r="H64" i="84"/>
  <c r="E59" i="72"/>
  <c r="H59" i="72"/>
  <c r="S5" i="2"/>
  <c r="F59" i="72"/>
  <c r="C59" i="72"/>
  <c r="E46" i="113"/>
  <c r="H46" i="113"/>
  <c r="D46" i="113"/>
  <c r="B53" i="113"/>
  <c r="C46" i="113"/>
  <c r="G46" i="113"/>
  <c r="F46" i="113"/>
  <c r="F73" i="113" s="1"/>
  <c r="G67" i="71"/>
  <c r="I67" i="71"/>
  <c r="K67" i="71"/>
  <c r="S20" i="17"/>
  <c r="D67" i="71"/>
  <c r="F67" i="71"/>
  <c r="J67" i="71"/>
  <c r="H67" i="71"/>
  <c r="K65" i="115"/>
  <c r="AD18" i="17"/>
  <c r="F54" i="87"/>
  <c r="I55" i="68"/>
  <c r="I18" i="5"/>
  <c r="H25" i="5"/>
  <c r="H46" i="5"/>
  <c r="K39" i="47"/>
  <c r="N16" i="17" s="1"/>
  <c r="J65" i="76"/>
  <c r="H72" i="34"/>
  <c r="T11" i="17"/>
  <c r="E58" i="75"/>
  <c r="K58" i="75"/>
  <c r="G67" i="69"/>
  <c r="D78" i="79"/>
  <c r="G54" i="87"/>
  <c r="E34" i="22"/>
  <c r="I34" i="22"/>
  <c r="H34" i="22"/>
  <c r="G34" i="22"/>
  <c r="C34" i="22"/>
  <c r="J34" i="22"/>
  <c r="F34" i="22"/>
  <c r="D34" i="22"/>
  <c r="B47" i="22"/>
  <c r="O17" i="2"/>
  <c r="E72" i="56"/>
  <c r="F72" i="56"/>
  <c r="G72" i="56"/>
  <c r="C72" i="56"/>
  <c r="D72" i="56"/>
  <c r="E54" i="127"/>
  <c r="K65" i="126"/>
  <c r="AG18" i="17"/>
  <c r="M6" i="2"/>
  <c r="D60" i="4"/>
  <c r="E60" i="4"/>
  <c r="F60" i="4"/>
  <c r="H25" i="13"/>
  <c r="I23" i="13"/>
  <c r="H51" i="13"/>
  <c r="E47" i="127"/>
  <c r="C54" i="127"/>
  <c r="I65" i="126"/>
  <c r="H53" i="125"/>
  <c r="G80" i="125" s="1"/>
  <c r="AB13" i="3"/>
  <c r="AB18" i="3" s="1"/>
  <c r="I25" i="125"/>
  <c r="AG24" i="2" s="1"/>
  <c r="C169" i="18"/>
  <c r="F58" i="126"/>
  <c r="J52" i="126"/>
  <c r="H63" i="123"/>
  <c r="D63" i="123"/>
  <c r="K23" i="118"/>
  <c r="K41" i="118"/>
  <c r="C57" i="123"/>
  <c r="E63" i="123"/>
  <c r="D47" i="123"/>
  <c r="D62" i="123"/>
  <c r="E69" i="121"/>
  <c r="H38" i="121"/>
  <c r="I10" i="121"/>
  <c r="AF11" i="2" s="1"/>
  <c r="H25" i="121"/>
  <c r="H38" i="117"/>
  <c r="H25" i="117"/>
  <c r="I10" i="117"/>
  <c r="AE11" i="2" s="1"/>
  <c r="AA6" i="3"/>
  <c r="E76" i="121"/>
  <c r="C59" i="121"/>
  <c r="F63" i="114"/>
  <c r="F60" i="118"/>
  <c r="D53" i="115"/>
  <c r="K57" i="115"/>
  <c r="AD10" i="17"/>
  <c r="D69" i="122"/>
  <c r="X20" i="17"/>
  <c r="K67" i="89"/>
  <c r="C67" i="89"/>
  <c r="D67" i="89"/>
  <c r="K29" i="30"/>
  <c r="D6" i="17" s="1"/>
  <c r="F69" i="113"/>
  <c r="E67" i="71"/>
  <c r="K29" i="55"/>
  <c r="O6" i="17" s="1"/>
  <c r="K64" i="68"/>
  <c r="R17" i="17"/>
  <c r="H71" i="60"/>
  <c r="I71" i="60"/>
  <c r="J71" i="60"/>
  <c r="C71" i="60"/>
  <c r="K71" i="60"/>
  <c r="D71" i="60"/>
  <c r="E71" i="60"/>
  <c r="G71" i="60"/>
  <c r="F71" i="60"/>
  <c r="K23" i="60"/>
  <c r="D59" i="72"/>
  <c r="I10" i="49"/>
  <c r="H25" i="49"/>
  <c r="H38" i="49"/>
  <c r="F112" i="18"/>
  <c r="I112" i="18"/>
  <c r="L112" i="18"/>
  <c r="K112" i="18"/>
  <c r="H112" i="18"/>
  <c r="D112" i="18"/>
  <c r="G112" i="18"/>
  <c r="E112" i="18"/>
  <c r="J112" i="18"/>
  <c r="C20" i="18"/>
  <c r="K67" i="68"/>
  <c r="R20" i="17"/>
  <c r="K30" i="55"/>
  <c r="O7" i="17" s="1"/>
  <c r="E62" i="56"/>
  <c r="G62" i="56"/>
  <c r="C62" i="56"/>
  <c r="D62" i="56"/>
  <c r="O8" i="2"/>
  <c r="F62" i="56"/>
  <c r="E67" i="89"/>
  <c r="G67" i="89"/>
  <c r="J67" i="89"/>
  <c r="H55" i="42"/>
  <c r="C70" i="14"/>
  <c r="D70" i="14"/>
  <c r="F70" i="14"/>
  <c r="C15" i="2"/>
  <c r="E70" i="14"/>
  <c r="G70" i="14"/>
  <c r="E77" i="13"/>
  <c r="D21" i="2"/>
  <c r="C77" i="13"/>
  <c r="F77" i="13"/>
  <c r="I73" i="47"/>
  <c r="G73" i="47"/>
  <c r="C73" i="47"/>
  <c r="L23" i="47"/>
  <c r="F73" i="47"/>
  <c r="K73" i="47"/>
  <c r="E73" i="47"/>
  <c r="J73" i="47"/>
  <c r="D73" i="47"/>
  <c r="H73" i="47"/>
  <c r="L16" i="18"/>
  <c r="E67" i="69"/>
  <c r="C60" i="4"/>
  <c r="AG11" i="17"/>
  <c r="K58" i="126"/>
  <c r="G67" i="127"/>
  <c r="G54" i="127"/>
  <c r="H23" i="127"/>
  <c r="H47" i="127" s="1"/>
  <c r="H73" i="127" s="1"/>
  <c r="F65" i="126"/>
  <c r="G57" i="127"/>
  <c r="B71" i="126"/>
  <c r="AB8" i="3"/>
  <c r="E53" i="125"/>
  <c r="H52" i="126"/>
  <c r="H55" i="123"/>
  <c r="D55" i="123"/>
  <c r="F71" i="123"/>
  <c r="H71" i="123"/>
  <c r="G57" i="123"/>
  <c r="E47" i="123"/>
  <c r="F51" i="121"/>
  <c r="B53" i="121"/>
  <c r="C53" i="121" s="1"/>
  <c r="E51" i="121"/>
  <c r="D51" i="121"/>
  <c r="G51" i="121"/>
  <c r="G71" i="123"/>
  <c r="G55" i="123"/>
  <c r="D64" i="117"/>
  <c r="G64" i="117"/>
  <c r="C64" i="117"/>
  <c r="H63" i="114"/>
  <c r="D63" i="114"/>
  <c r="C63" i="114"/>
  <c r="E64" i="117"/>
  <c r="H69" i="122"/>
  <c r="J57" i="115"/>
  <c r="G53" i="115"/>
  <c r="K23" i="110"/>
  <c r="K47" i="110" s="1"/>
  <c r="K34" i="110"/>
  <c r="E57" i="73"/>
  <c r="H57" i="73"/>
  <c r="D57" i="73"/>
  <c r="G57" i="73"/>
  <c r="C57" i="73"/>
  <c r="H64" i="86"/>
  <c r="F64" i="86"/>
  <c r="K31" i="55"/>
  <c r="O8" i="17" s="1"/>
  <c r="G47" i="114"/>
  <c r="G73" i="114" s="1"/>
  <c r="C47" i="114"/>
  <c r="C73" i="114" s="1"/>
  <c r="F47" i="114"/>
  <c r="F73" i="114" s="1"/>
  <c r="E47" i="114"/>
  <c r="E73" i="114" s="1"/>
  <c r="D47" i="114"/>
  <c r="D73" i="114" s="1"/>
  <c r="H65" i="69"/>
  <c r="G65" i="69"/>
  <c r="E65" i="69"/>
  <c r="I24" i="6"/>
  <c r="H26" i="6"/>
  <c r="I26" i="6" s="1"/>
  <c r="F65" i="76"/>
  <c r="F67" i="89"/>
  <c r="C64" i="86"/>
  <c r="D64" i="86"/>
  <c r="D71" i="97"/>
  <c r="E71" i="97"/>
  <c r="Z24" i="17"/>
  <c r="K71" i="97"/>
  <c r="F71" i="97"/>
  <c r="G71" i="97"/>
  <c r="J71" i="97"/>
  <c r="H71" i="97"/>
  <c r="I71" i="97"/>
  <c r="C71" i="97"/>
  <c r="F78" i="79"/>
  <c r="C67" i="69"/>
  <c r="C65" i="68"/>
  <c r="D58" i="75"/>
  <c r="E54" i="111"/>
  <c r="G54" i="111"/>
  <c r="D54" i="87"/>
  <c r="I58" i="126"/>
  <c r="F45" i="127"/>
  <c r="F71" i="127" s="1"/>
  <c r="G45" i="127"/>
  <c r="G71" i="127" s="1"/>
  <c r="C45" i="127"/>
  <c r="C71" i="127" s="1"/>
  <c r="C67" i="127"/>
  <c r="G47" i="127"/>
  <c r="J65" i="126"/>
  <c r="F63" i="123"/>
  <c r="H47" i="123"/>
  <c r="H73" i="123" s="1"/>
  <c r="D38" i="121"/>
  <c r="G38" i="121"/>
  <c r="G65" i="121" s="1"/>
  <c r="C38" i="121"/>
  <c r="F38" i="121"/>
  <c r="F65" i="121" s="1"/>
  <c r="E38" i="121"/>
  <c r="H62" i="123"/>
  <c r="G62" i="123"/>
  <c r="C62" i="123"/>
  <c r="D57" i="123"/>
  <c r="G47" i="123"/>
  <c r="F69" i="123"/>
  <c r="F34" i="122"/>
  <c r="F58" i="122" s="1"/>
  <c r="E34" i="122"/>
  <c r="E58" i="122" s="1"/>
  <c r="J34" i="122"/>
  <c r="J58" i="122" s="1"/>
  <c r="I34" i="122"/>
  <c r="I58" i="122" s="1"/>
  <c r="D34" i="122"/>
  <c r="D58" i="122" s="1"/>
  <c r="C34" i="122"/>
  <c r="C58" i="122" s="1"/>
  <c r="H34" i="122"/>
  <c r="H58" i="122" s="1"/>
  <c r="G34" i="122"/>
  <c r="G58" i="122" s="1"/>
  <c r="I18" i="121"/>
  <c r="AF18" i="2" s="1"/>
  <c r="H46" i="121"/>
  <c r="C51" i="121"/>
  <c r="E41" i="122"/>
  <c r="E65" i="122" s="1"/>
  <c r="H51" i="121"/>
  <c r="AF13" i="17"/>
  <c r="K60" i="118"/>
  <c r="G60" i="118"/>
  <c r="C60" i="118"/>
  <c r="E69" i="122"/>
  <c r="K34" i="115"/>
  <c r="F58" i="115" s="1"/>
  <c r="D69" i="109"/>
  <c r="C69" i="109"/>
  <c r="F69" i="109"/>
  <c r="G69" i="109"/>
  <c r="E54" i="114"/>
  <c r="K39" i="55"/>
  <c r="O16" i="17" s="1"/>
  <c r="F52" i="18"/>
  <c r="F144" i="18" s="1"/>
  <c r="H24" i="38"/>
  <c r="G41" i="114"/>
  <c r="H41" i="114"/>
  <c r="H67" i="114" s="1"/>
  <c r="F41" i="114"/>
  <c r="E41" i="114"/>
  <c r="C41" i="114"/>
  <c r="F46" i="61"/>
  <c r="C46" i="61"/>
  <c r="C73" i="61" s="1"/>
  <c r="E46" i="61"/>
  <c r="D46" i="61"/>
  <c r="G46" i="61"/>
  <c r="B53" i="61"/>
  <c r="H46" i="61"/>
  <c r="P18" i="2" s="1"/>
  <c r="J58" i="21"/>
  <c r="F58" i="21"/>
  <c r="H58" i="21"/>
  <c r="L10" i="21"/>
  <c r="D58" i="21"/>
  <c r="K58" i="21"/>
  <c r="I58" i="21"/>
  <c r="G58" i="21"/>
  <c r="C58" i="21"/>
  <c r="E58" i="21"/>
  <c r="K23" i="21"/>
  <c r="I18" i="13"/>
  <c r="H46" i="13"/>
  <c r="G64" i="86"/>
  <c r="H67" i="89"/>
  <c r="H72" i="48"/>
  <c r="G59" i="13"/>
  <c r="E59" i="13"/>
  <c r="D59" i="13"/>
  <c r="D5" i="2"/>
  <c r="F59" i="13"/>
  <c r="J69" i="97"/>
  <c r="G69" i="97"/>
  <c r="Z22" i="17"/>
  <c r="K69" i="97"/>
  <c r="H69" i="97"/>
  <c r="F69" i="97"/>
  <c r="C69" i="97"/>
  <c r="F67" i="69"/>
  <c r="J58" i="75"/>
  <c r="K71" i="68"/>
  <c r="R24" i="17"/>
  <c r="K65" i="122"/>
  <c r="AE18" i="17"/>
  <c r="D73" i="117"/>
  <c r="E57" i="127"/>
  <c r="C47" i="127"/>
  <c r="J54" i="87"/>
  <c r="H67" i="69"/>
  <c r="D67" i="69"/>
  <c r="C57" i="127"/>
  <c r="E45" i="127"/>
  <c r="E71" i="127" s="1"/>
  <c r="E67" i="127"/>
  <c r="H46" i="125"/>
  <c r="G73" i="125" s="1"/>
  <c r="I18" i="125"/>
  <c r="AG18" i="2" s="1"/>
  <c r="K45" i="126"/>
  <c r="D69" i="126" s="1"/>
  <c r="K23" i="126"/>
  <c r="F41" i="127"/>
  <c r="F67" i="127" s="1"/>
  <c r="D41" i="127"/>
  <c r="D67" i="127" s="1"/>
  <c r="C69" i="123"/>
  <c r="K23" i="122"/>
  <c r="F70" i="117"/>
  <c r="J41" i="118"/>
  <c r="J65" i="118" s="1"/>
  <c r="I41" i="118"/>
  <c r="H41" i="118"/>
  <c r="D41" i="118"/>
  <c r="C41" i="118"/>
  <c r="E41" i="118"/>
  <c r="G41" i="118"/>
  <c r="F41" i="118"/>
  <c r="C62" i="121"/>
  <c r="H54" i="119"/>
  <c r="C54" i="119"/>
  <c r="E54" i="119"/>
  <c r="D54" i="119"/>
  <c r="K53" i="115"/>
  <c r="AD6" i="17"/>
  <c r="I47" i="115"/>
  <c r="C47" i="115"/>
  <c r="I69" i="122"/>
  <c r="H54" i="111"/>
  <c r="F54" i="111"/>
  <c r="C54" i="111"/>
  <c r="Z7" i="17"/>
  <c r="H54" i="97"/>
  <c r="G54" i="97"/>
  <c r="J54" i="97"/>
  <c r="D54" i="97"/>
  <c r="C54" i="97"/>
  <c r="K54" i="97"/>
  <c r="E77" i="54"/>
  <c r="F77" i="54"/>
  <c r="G77" i="54"/>
  <c r="D77" i="54"/>
  <c r="I23" i="54"/>
  <c r="C77" i="54"/>
  <c r="D57" i="115"/>
  <c r="H70" i="40"/>
  <c r="K122" i="22"/>
  <c r="B136" i="22"/>
  <c r="C123" i="22"/>
  <c r="J123" i="22"/>
  <c r="F123" i="22"/>
  <c r="D123" i="22"/>
  <c r="E123" i="22"/>
  <c r="G123" i="22"/>
  <c r="H123" i="22"/>
  <c r="B71" i="68"/>
  <c r="G64" i="49"/>
  <c r="H64" i="49" s="1"/>
  <c r="N10" i="2"/>
  <c r="D64" i="84"/>
  <c r="F54" i="97"/>
  <c r="E64" i="86"/>
  <c r="D69" i="97"/>
  <c r="K65" i="68"/>
  <c r="R18" i="17"/>
  <c r="F65" i="68"/>
  <c r="I69" i="97"/>
  <c r="E69" i="109"/>
  <c r="I10" i="13"/>
  <c r="H38" i="13"/>
  <c r="D57" i="127"/>
  <c r="E73" i="125"/>
  <c r="D45" i="73"/>
  <c r="G45" i="73"/>
  <c r="G71" i="73" s="1"/>
  <c r="E45" i="73"/>
  <c r="H45" i="73"/>
  <c r="H71" i="73" s="1"/>
  <c r="F45" i="73"/>
  <c r="C45" i="73"/>
  <c r="D54" i="127"/>
  <c r="C65" i="126"/>
  <c r="G45" i="126"/>
  <c r="C45" i="126"/>
  <c r="J45" i="126"/>
  <c r="F45" i="126"/>
  <c r="H45" i="126"/>
  <c r="B47" i="126"/>
  <c r="I45" i="126"/>
  <c r="E45" i="126"/>
  <c r="D45" i="127"/>
  <c r="D71" i="127" s="1"/>
  <c r="K52" i="126"/>
  <c r="AG5" i="17"/>
  <c r="C60" i="121"/>
  <c r="E60" i="121"/>
  <c r="E62" i="123"/>
  <c r="G69" i="123"/>
  <c r="K69" i="122"/>
  <c r="AE22" i="17"/>
  <c r="F76" i="121"/>
  <c r="C69" i="121"/>
  <c r="E51" i="117"/>
  <c r="D51" i="117"/>
  <c r="C51" i="117"/>
  <c r="F51" i="117"/>
  <c r="G51" i="117"/>
  <c r="B53" i="117"/>
  <c r="H51" i="117"/>
  <c r="E69" i="123"/>
  <c r="AA9" i="3"/>
  <c r="F53" i="121"/>
  <c r="F46" i="121"/>
  <c r="E46" i="117"/>
  <c r="E73" i="117" s="1"/>
  <c r="C46" i="117"/>
  <c r="C73" i="117" s="1"/>
  <c r="G46" i="117"/>
  <c r="G73" i="117" s="1"/>
  <c r="F46" i="117"/>
  <c r="F73" i="117" s="1"/>
  <c r="G41" i="123"/>
  <c r="G67" i="123" s="1"/>
  <c r="C41" i="123"/>
  <c r="C67" i="123" s="1"/>
  <c r="F41" i="123"/>
  <c r="F67" i="123" s="1"/>
  <c r="E41" i="123"/>
  <c r="E67" i="123" s="1"/>
  <c r="H23" i="119"/>
  <c r="H47" i="119" s="1"/>
  <c r="D73" i="119" s="1"/>
  <c r="H34" i="119"/>
  <c r="C60" i="119" s="1"/>
  <c r="C53" i="115"/>
  <c r="G59" i="114"/>
  <c r="F59" i="114"/>
  <c r="E59" i="114"/>
  <c r="H59" i="114"/>
  <c r="D34" i="115"/>
  <c r="E34" i="115"/>
  <c r="J34" i="115"/>
  <c r="C34" i="115"/>
  <c r="I34" i="115"/>
  <c r="H34" i="115"/>
  <c r="H58" i="115" s="1"/>
  <c r="K69" i="118"/>
  <c r="AF22" i="17"/>
  <c r="B47" i="118"/>
  <c r="B47" i="122"/>
  <c r="F57" i="115"/>
  <c r="Y13" i="3"/>
  <c r="Y17" i="3" s="1"/>
  <c r="I25" i="113"/>
  <c r="AD24" i="2" s="1"/>
  <c r="H53" i="113"/>
  <c r="G54" i="114"/>
  <c r="E63" i="114"/>
  <c r="G58" i="18"/>
  <c r="G150" i="18" s="1"/>
  <c r="F51" i="48"/>
  <c r="H25" i="48"/>
  <c r="R8" i="17"/>
  <c r="K55" i="68"/>
  <c r="K44" i="30"/>
  <c r="D21" i="17" s="1"/>
  <c r="I123" i="22"/>
  <c r="K65" i="76"/>
  <c r="U18" i="17"/>
  <c r="I54" i="97"/>
  <c r="I78" i="79"/>
  <c r="T22" i="2"/>
  <c r="H78" i="79"/>
  <c r="C78" i="79"/>
  <c r="D108" i="18" l="1"/>
  <c r="I108" i="18"/>
  <c r="G108" i="18"/>
  <c r="F108" i="18"/>
  <c r="K108" i="18"/>
  <c r="E108" i="18"/>
  <c r="H108" i="18"/>
  <c r="F73" i="121"/>
  <c r="C73" i="113"/>
  <c r="F67" i="43"/>
  <c r="D73" i="14"/>
  <c r="H73" i="14" s="1"/>
  <c r="E71" i="94"/>
  <c r="G65" i="88"/>
  <c r="E47" i="88"/>
  <c r="C47" i="88"/>
  <c r="F47" i="88"/>
  <c r="I47" i="88"/>
  <c r="J47" i="88"/>
  <c r="J71" i="88" s="1"/>
  <c r="G47" i="88"/>
  <c r="G71" i="88" s="1"/>
  <c r="D47" i="88"/>
  <c r="H47" i="88"/>
  <c r="D58" i="76"/>
  <c r="G69" i="115"/>
  <c r="C47" i="47"/>
  <c r="H47" i="47"/>
  <c r="G47" i="47"/>
  <c r="D47" i="47"/>
  <c r="K47" i="47" s="1"/>
  <c r="N24" i="17" s="1"/>
  <c r="J47" i="47"/>
  <c r="F47" i="47"/>
  <c r="E47" i="47"/>
  <c r="K65" i="88"/>
  <c r="W18" i="17"/>
  <c r="J108" i="18"/>
  <c r="F71" i="94"/>
  <c r="I65" i="88"/>
  <c r="I58" i="76"/>
  <c r="D67" i="43"/>
  <c r="E73" i="14"/>
  <c r="C65" i="88"/>
  <c r="H58" i="76"/>
  <c r="J69" i="115"/>
  <c r="H61" i="5"/>
  <c r="E67" i="77"/>
  <c r="F65" i="88"/>
  <c r="C73" i="14"/>
  <c r="D65" i="88"/>
  <c r="J58" i="76"/>
  <c r="F58" i="76"/>
  <c r="I69" i="115"/>
  <c r="E78" i="49"/>
  <c r="G71" i="94"/>
  <c r="E80" i="109"/>
  <c r="J65" i="88"/>
  <c r="G58" i="76"/>
  <c r="H66" i="43"/>
  <c r="E67" i="43"/>
  <c r="C71" i="119"/>
  <c r="H62" i="43"/>
  <c r="C71" i="94"/>
  <c r="K58" i="76"/>
  <c r="U11" i="17"/>
  <c r="G80" i="109"/>
  <c r="H65" i="88"/>
  <c r="F47" i="76"/>
  <c r="F71" i="76" s="1"/>
  <c r="C47" i="76"/>
  <c r="C71" i="76" s="1"/>
  <c r="E47" i="76"/>
  <c r="E71" i="76" s="1"/>
  <c r="D47" i="76"/>
  <c r="D71" i="76" s="1"/>
  <c r="K47" i="76"/>
  <c r="H47" i="76"/>
  <c r="H71" i="76" s="1"/>
  <c r="G47" i="76"/>
  <c r="I47" i="76"/>
  <c r="I71" i="76" s="1"/>
  <c r="F78" i="49"/>
  <c r="K47" i="30"/>
  <c r="D24" i="17" s="1"/>
  <c r="E26" i="17" s="1"/>
  <c r="D71" i="94"/>
  <c r="H65" i="44"/>
  <c r="C59" i="18"/>
  <c r="I151" i="18"/>
  <c r="C151" i="18" s="1"/>
  <c r="D47" i="89"/>
  <c r="H47" i="89"/>
  <c r="H71" i="89" s="1"/>
  <c r="G47" i="89"/>
  <c r="G71" i="89" s="1"/>
  <c r="F47" i="89"/>
  <c r="C80" i="109"/>
  <c r="E65" i="88"/>
  <c r="C58" i="76"/>
  <c r="I47" i="89"/>
  <c r="I71" i="89" s="1"/>
  <c r="G67" i="77"/>
  <c r="S20" i="3"/>
  <c r="H72" i="61"/>
  <c r="I65" i="89"/>
  <c r="F65" i="89"/>
  <c r="D65" i="89"/>
  <c r="K65" i="89"/>
  <c r="G65" i="89"/>
  <c r="H65" i="89"/>
  <c r="E65" i="89"/>
  <c r="X18" i="17"/>
  <c r="J65" i="89"/>
  <c r="C65" i="89"/>
  <c r="F53" i="67"/>
  <c r="C53" i="67"/>
  <c r="G53" i="67"/>
  <c r="E53" i="67"/>
  <c r="D53" i="67"/>
  <c r="H53" i="67"/>
  <c r="G78" i="67"/>
  <c r="R22" i="2"/>
  <c r="H78" i="67"/>
  <c r="J47" i="115"/>
  <c r="F65" i="118"/>
  <c r="X25" i="3"/>
  <c r="H142" i="18"/>
  <c r="D47" i="115"/>
  <c r="J8" i="116" s="1"/>
  <c r="E78" i="67"/>
  <c r="I53" i="108"/>
  <c r="W13" i="3"/>
  <c r="J25" i="108"/>
  <c r="AB24" i="2" s="1"/>
  <c r="L21" i="18"/>
  <c r="K47" i="71"/>
  <c r="H71" i="71" s="1"/>
  <c r="K69" i="71"/>
  <c r="I69" i="71"/>
  <c r="D69" i="71"/>
  <c r="F69" i="71"/>
  <c r="G69" i="71"/>
  <c r="H69" i="71"/>
  <c r="S22" i="17"/>
  <c r="G78" i="117"/>
  <c r="Y21" i="3"/>
  <c r="G65" i="118"/>
  <c r="K47" i="122"/>
  <c r="H59" i="13"/>
  <c r="F47" i="115"/>
  <c r="J38" i="116" s="1"/>
  <c r="H63" i="14"/>
  <c r="C78" i="49"/>
  <c r="G47" i="115"/>
  <c r="G41" i="116" s="1"/>
  <c r="I69" i="75"/>
  <c r="D69" i="75"/>
  <c r="J69" i="75"/>
  <c r="E69" i="75"/>
  <c r="F69" i="75"/>
  <c r="K69" i="75"/>
  <c r="T22" i="17"/>
  <c r="G69" i="75"/>
  <c r="F78" i="67"/>
  <c r="E65" i="118"/>
  <c r="F65" i="125"/>
  <c r="E73" i="56"/>
  <c r="H57" i="42"/>
  <c r="D78" i="67"/>
  <c r="G71" i="119"/>
  <c r="H59" i="43"/>
  <c r="E71" i="119"/>
  <c r="J69" i="71"/>
  <c r="J107" i="18"/>
  <c r="K107" i="18"/>
  <c r="D107" i="18"/>
  <c r="G107" i="18"/>
  <c r="E107" i="18"/>
  <c r="F107" i="18"/>
  <c r="H107" i="18"/>
  <c r="C73" i="108"/>
  <c r="D73" i="108"/>
  <c r="H73" i="108"/>
  <c r="F73" i="108"/>
  <c r="G73" i="108"/>
  <c r="E73" i="108"/>
  <c r="C78" i="117"/>
  <c r="C65" i="118"/>
  <c r="D73" i="113"/>
  <c r="D78" i="49"/>
  <c r="I107" i="18"/>
  <c r="I60" i="18"/>
  <c r="C79" i="59"/>
  <c r="F79" i="59"/>
  <c r="E79" i="59"/>
  <c r="G79" i="59"/>
  <c r="C78" i="67"/>
  <c r="H69" i="75"/>
  <c r="F20" i="3"/>
  <c r="F71" i="119"/>
  <c r="H47" i="115"/>
  <c r="H71" i="115" s="1"/>
  <c r="H65" i="118"/>
  <c r="E73" i="113"/>
  <c r="D65" i="14"/>
  <c r="H65" i="14" s="1"/>
  <c r="H68" i="15"/>
  <c r="E71" i="89"/>
  <c r="X24" i="17"/>
  <c r="C71" i="89"/>
  <c r="D71" i="89"/>
  <c r="J71" i="89"/>
  <c r="K71" i="89"/>
  <c r="F71" i="89"/>
  <c r="H70" i="5"/>
  <c r="C69" i="71"/>
  <c r="D71" i="119"/>
  <c r="K71" i="115"/>
  <c r="AD24" i="17"/>
  <c r="F71" i="115"/>
  <c r="H73" i="73"/>
  <c r="C73" i="73"/>
  <c r="D73" i="73"/>
  <c r="E73" i="73"/>
  <c r="F73" i="73"/>
  <c r="G73" i="73"/>
  <c r="K65" i="110"/>
  <c r="AC18" i="17"/>
  <c r="G53" i="14"/>
  <c r="C53" i="14"/>
  <c r="C80" i="14" s="1"/>
  <c r="F53" i="14"/>
  <c r="H53" i="14"/>
  <c r="C24" i="2" s="1"/>
  <c r="E53" i="14"/>
  <c r="E80" i="14" s="1"/>
  <c r="K25" i="3"/>
  <c r="K22" i="3"/>
  <c r="K19" i="3"/>
  <c r="F65" i="110"/>
  <c r="D73" i="61"/>
  <c r="G67" i="114"/>
  <c r="F67" i="78"/>
  <c r="E71" i="105"/>
  <c r="C63" i="18"/>
  <c r="I155" i="18"/>
  <c r="C155" i="18" s="1"/>
  <c r="F53" i="56"/>
  <c r="E53" i="56"/>
  <c r="D53" i="56"/>
  <c r="C53" i="56"/>
  <c r="G67" i="43"/>
  <c r="C51" i="54"/>
  <c r="G51" i="54"/>
  <c r="D51" i="54"/>
  <c r="F51" i="54"/>
  <c r="E51" i="54"/>
  <c r="L13" i="3"/>
  <c r="L21" i="3" s="1"/>
  <c r="G65" i="110"/>
  <c r="K21" i="3"/>
  <c r="K17" i="3"/>
  <c r="K20" i="3" s="1"/>
  <c r="H60" i="44"/>
  <c r="G60" i="44"/>
  <c r="D60" i="44"/>
  <c r="F60" i="44"/>
  <c r="C60" i="44"/>
  <c r="E60" i="44"/>
  <c r="H76" i="13"/>
  <c r="Y26" i="17"/>
  <c r="X20" i="3"/>
  <c r="H25" i="3"/>
  <c r="H19" i="3"/>
  <c r="H21" i="3"/>
  <c r="H22" i="3"/>
  <c r="H18" i="3"/>
  <c r="H47" i="75"/>
  <c r="K47" i="75"/>
  <c r="I47" i="75"/>
  <c r="E47" i="75"/>
  <c r="J47" i="75"/>
  <c r="C47" i="75"/>
  <c r="G47" i="75"/>
  <c r="F47" i="75"/>
  <c r="D47" i="75"/>
  <c r="D67" i="78"/>
  <c r="I71" i="105"/>
  <c r="C51" i="48"/>
  <c r="E51" i="48"/>
  <c r="D51" i="48"/>
  <c r="G51" i="48"/>
  <c r="E65" i="113"/>
  <c r="F73" i="49"/>
  <c r="C73" i="49"/>
  <c r="G73" i="49"/>
  <c r="N18" i="2"/>
  <c r="D73" i="49"/>
  <c r="E73" i="49"/>
  <c r="J109" i="18"/>
  <c r="K109" i="18"/>
  <c r="G109" i="18"/>
  <c r="H109" i="18"/>
  <c r="F109" i="18"/>
  <c r="I109" i="18"/>
  <c r="E109" i="18"/>
  <c r="D109" i="18"/>
  <c r="H69" i="56"/>
  <c r="C67" i="78"/>
  <c r="D65" i="110"/>
  <c r="I58" i="115"/>
  <c r="H64" i="34"/>
  <c r="H65" i="110"/>
  <c r="F142" i="18"/>
  <c r="G142" i="18"/>
  <c r="I142" i="18"/>
  <c r="AB24" i="17"/>
  <c r="AB26" i="17" s="1"/>
  <c r="K71" i="105"/>
  <c r="H71" i="105"/>
  <c r="H73" i="40"/>
  <c r="H73" i="56"/>
  <c r="F65" i="113"/>
  <c r="H36" i="54"/>
  <c r="I25" i="56"/>
  <c r="H53" i="56"/>
  <c r="O24" i="2" s="1"/>
  <c r="E142" i="18"/>
  <c r="I46" i="18"/>
  <c r="I24" i="44"/>
  <c r="H48" i="44"/>
  <c r="M13" i="3"/>
  <c r="M17" i="3" s="1"/>
  <c r="L4" i="18"/>
  <c r="F73" i="32"/>
  <c r="K73" i="32"/>
  <c r="C73" i="32"/>
  <c r="I73" i="32"/>
  <c r="L23" i="32"/>
  <c r="H73" i="32"/>
  <c r="G73" i="32"/>
  <c r="J73" i="32"/>
  <c r="E73" i="32"/>
  <c r="I65" i="110"/>
  <c r="L22" i="3"/>
  <c r="C58" i="115"/>
  <c r="J58" i="115"/>
  <c r="D65" i="118"/>
  <c r="C67" i="114"/>
  <c r="H68" i="5"/>
  <c r="L24" i="26"/>
  <c r="L10" i="18"/>
  <c r="D140" i="18"/>
  <c r="C140" i="18" s="1"/>
  <c r="C48" i="18"/>
  <c r="G65" i="5"/>
  <c r="E65" i="5"/>
  <c r="L11" i="2"/>
  <c r="D65" i="5"/>
  <c r="C65" i="5"/>
  <c r="D79" i="33"/>
  <c r="L22" i="2"/>
  <c r="D78" i="5"/>
  <c r="F78" i="5"/>
  <c r="C78" i="5"/>
  <c r="G78" i="5"/>
  <c r="E78" i="5"/>
  <c r="N13" i="3"/>
  <c r="N18" i="3" s="1"/>
  <c r="H53" i="4"/>
  <c r="F80" i="4" s="1"/>
  <c r="I25" i="4"/>
  <c r="C79" i="34"/>
  <c r="H79" i="34" s="1"/>
  <c r="E79" i="34"/>
  <c r="G79" i="34"/>
  <c r="F79" i="34"/>
  <c r="I56" i="18"/>
  <c r="I25" i="34"/>
  <c r="H44" i="48"/>
  <c r="H60" i="43"/>
  <c r="C60" i="43"/>
  <c r="D60" i="43"/>
  <c r="F60" i="43"/>
  <c r="E60" i="43"/>
  <c r="G60" i="43"/>
  <c r="D65" i="113"/>
  <c r="H72" i="5"/>
  <c r="C65" i="110"/>
  <c r="P26" i="17"/>
  <c r="J65" i="110"/>
  <c r="E67" i="114"/>
  <c r="T13" i="3"/>
  <c r="I53" i="79"/>
  <c r="H80" i="79" s="1"/>
  <c r="J25" i="79"/>
  <c r="H77" i="5"/>
  <c r="G79" i="33"/>
  <c r="I57" i="18"/>
  <c r="I25" i="33"/>
  <c r="F79" i="33"/>
  <c r="C79" i="33"/>
  <c r="E67" i="78"/>
  <c r="E53" i="49"/>
  <c r="G53" i="49"/>
  <c r="F53" i="49"/>
  <c r="C53" i="49"/>
  <c r="M18" i="2"/>
  <c r="E73" i="4"/>
  <c r="F73" i="4"/>
  <c r="C73" i="4"/>
  <c r="G73" i="4"/>
  <c r="D73" i="4"/>
  <c r="D142" i="18"/>
  <c r="C50" i="18"/>
  <c r="I24" i="43"/>
  <c r="I47" i="18"/>
  <c r="H48" i="43"/>
  <c r="H73" i="43" s="1"/>
  <c r="C48" i="43"/>
  <c r="F48" i="43"/>
  <c r="D48" i="43"/>
  <c r="E48" i="43"/>
  <c r="E73" i="43" s="1"/>
  <c r="C65" i="113"/>
  <c r="E47" i="115"/>
  <c r="E65" i="110"/>
  <c r="G53" i="56"/>
  <c r="G80" i="56" s="1"/>
  <c r="D67" i="123"/>
  <c r="L23" i="30"/>
  <c r="K73" i="30"/>
  <c r="I73" i="30"/>
  <c r="E73" i="30"/>
  <c r="G73" i="30"/>
  <c r="H73" i="30"/>
  <c r="L6" i="18"/>
  <c r="J73" i="30"/>
  <c r="C73" i="30"/>
  <c r="D73" i="30"/>
  <c r="F73" i="30"/>
  <c r="F53" i="13"/>
  <c r="G53" i="13"/>
  <c r="C53" i="13"/>
  <c r="E53" i="13"/>
  <c r="C73" i="31"/>
  <c r="I73" i="31"/>
  <c r="J73" i="31"/>
  <c r="K73" i="31"/>
  <c r="H73" i="31"/>
  <c r="E73" i="31"/>
  <c r="D73" i="31"/>
  <c r="L23" i="31"/>
  <c r="L5" i="18"/>
  <c r="G73" i="31"/>
  <c r="E58" i="115"/>
  <c r="D58" i="115"/>
  <c r="I65" i="118"/>
  <c r="F67" i="114"/>
  <c r="D67" i="114"/>
  <c r="H73" i="79"/>
  <c r="I73" i="79"/>
  <c r="T18" i="2"/>
  <c r="F73" i="79"/>
  <c r="G73" i="79"/>
  <c r="D73" i="79"/>
  <c r="E73" i="79"/>
  <c r="G67" i="78"/>
  <c r="G71" i="105"/>
  <c r="C67" i="43"/>
  <c r="W24" i="17"/>
  <c r="D71" i="88"/>
  <c r="K71" i="88"/>
  <c r="H71" i="88"/>
  <c r="I71" i="88"/>
  <c r="E71" i="88"/>
  <c r="F71" i="88"/>
  <c r="C71" i="88"/>
  <c r="C47" i="110"/>
  <c r="G5" i="112" s="1"/>
  <c r="G47" i="110"/>
  <c r="G41" i="112" s="1"/>
  <c r="H47" i="110"/>
  <c r="D46" i="112" s="1"/>
  <c r="D47" i="110"/>
  <c r="J8" i="112" s="1"/>
  <c r="J47" i="110"/>
  <c r="J29" i="112" s="1"/>
  <c r="E47" i="110"/>
  <c r="C16" i="112" s="1"/>
  <c r="F47" i="110"/>
  <c r="J38" i="112" s="1"/>
  <c r="I47" i="110"/>
  <c r="C31" i="112" s="1"/>
  <c r="H70" i="56"/>
  <c r="H73" i="55"/>
  <c r="I73" i="55"/>
  <c r="G73" i="55"/>
  <c r="K73" i="55"/>
  <c r="L17" i="18"/>
  <c r="E73" i="55"/>
  <c r="J73" i="55"/>
  <c r="F73" i="55"/>
  <c r="C73" i="55"/>
  <c r="D73" i="55"/>
  <c r="D26" i="17"/>
  <c r="H71" i="61"/>
  <c r="O13" i="3"/>
  <c r="O22" i="3" s="1"/>
  <c r="H71" i="114"/>
  <c r="C71" i="114"/>
  <c r="E71" i="114"/>
  <c r="F71" i="114"/>
  <c r="G71" i="114"/>
  <c r="D71" i="114"/>
  <c r="AB21" i="3"/>
  <c r="AB22" i="3"/>
  <c r="AB17" i="3"/>
  <c r="AB19" i="3"/>
  <c r="AB20" i="3" s="1"/>
  <c r="D80" i="125"/>
  <c r="C80" i="125"/>
  <c r="E80" i="125"/>
  <c r="D65" i="125"/>
  <c r="F80" i="125"/>
  <c r="C65" i="125"/>
  <c r="G65" i="125"/>
  <c r="E65" i="125"/>
  <c r="G69" i="126"/>
  <c r="I69" i="126"/>
  <c r="H69" i="126"/>
  <c r="J69" i="126"/>
  <c r="D73" i="127"/>
  <c r="E65" i="117"/>
  <c r="C65" i="117"/>
  <c r="D65" i="117"/>
  <c r="G47" i="122"/>
  <c r="H47" i="122"/>
  <c r="I47" i="122"/>
  <c r="D47" i="122"/>
  <c r="C47" i="122"/>
  <c r="D78" i="117"/>
  <c r="E69" i="126"/>
  <c r="D71" i="73"/>
  <c r="K123" i="22"/>
  <c r="G5" i="116"/>
  <c r="C71" i="115"/>
  <c r="K47" i="126"/>
  <c r="H77" i="13"/>
  <c r="H70" i="14"/>
  <c r="H62" i="56"/>
  <c r="N11" i="2"/>
  <c r="E65" i="49"/>
  <c r="F65" i="49"/>
  <c r="G65" i="49"/>
  <c r="C65" i="49"/>
  <c r="D65" i="49"/>
  <c r="G65" i="117"/>
  <c r="D13" i="3"/>
  <c r="I25" i="13"/>
  <c r="H53" i="13"/>
  <c r="G58" i="115"/>
  <c r="F73" i="123"/>
  <c r="D47" i="118"/>
  <c r="G47" i="118"/>
  <c r="H47" i="118"/>
  <c r="C47" i="118"/>
  <c r="E47" i="118"/>
  <c r="I47" i="118"/>
  <c r="F47" i="118"/>
  <c r="J47" i="118"/>
  <c r="E78" i="117"/>
  <c r="I71" i="115"/>
  <c r="C31" i="116"/>
  <c r="AG22" i="17"/>
  <c r="K69" i="126"/>
  <c r="F60" i="119"/>
  <c r="D53" i="61"/>
  <c r="E53" i="61"/>
  <c r="C53" i="61"/>
  <c r="G53" i="61"/>
  <c r="F53" i="61"/>
  <c r="H53" i="61"/>
  <c r="P24" i="2" s="1"/>
  <c r="C78" i="121"/>
  <c r="C73" i="125"/>
  <c r="K58" i="110"/>
  <c r="AC11" i="17"/>
  <c r="I58" i="110"/>
  <c r="J58" i="110"/>
  <c r="H58" i="110"/>
  <c r="C58" i="110"/>
  <c r="E58" i="110"/>
  <c r="D58" i="110"/>
  <c r="F58" i="110"/>
  <c r="G58" i="110"/>
  <c r="G78" i="121"/>
  <c r="I25" i="49"/>
  <c r="H53" i="49"/>
  <c r="I25" i="121"/>
  <c r="AF24" i="2" s="1"/>
  <c r="H53" i="121"/>
  <c r="F80" i="121" s="1"/>
  <c r="AA13" i="3"/>
  <c r="K65" i="118"/>
  <c r="AF18" i="17"/>
  <c r="H72" i="56"/>
  <c r="F65" i="117"/>
  <c r="D73" i="125"/>
  <c r="E79" i="48"/>
  <c r="I25" i="48"/>
  <c r="I58" i="18"/>
  <c r="D79" i="48"/>
  <c r="G79" i="48"/>
  <c r="C79" i="48"/>
  <c r="F73" i="125"/>
  <c r="J47" i="126"/>
  <c r="F47" i="126"/>
  <c r="C47" i="126"/>
  <c r="E47" i="126"/>
  <c r="H47" i="126"/>
  <c r="G47" i="126"/>
  <c r="I47" i="126"/>
  <c r="J29" i="116"/>
  <c r="J71" i="115"/>
  <c r="G73" i="61"/>
  <c r="D60" i="119"/>
  <c r="E65" i="121"/>
  <c r="AC24" i="17"/>
  <c r="AD26" i="17" s="1"/>
  <c r="J71" i="110"/>
  <c r="G71" i="110"/>
  <c r="H71" i="110"/>
  <c r="K71" i="110"/>
  <c r="D71" i="110"/>
  <c r="E71" i="110"/>
  <c r="D78" i="121"/>
  <c r="H60" i="4"/>
  <c r="C112" i="18"/>
  <c r="K47" i="118"/>
  <c r="K34" i="22"/>
  <c r="L11" i="17" s="1"/>
  <c r="D73" i="121"/>
  <c r="J47" i="122"/>
  <c r="F47" i="122"/>
  <c r="R26" i="17"/>
  <c r="G60" i="119"/>
  <c r="H60" i="119"/>
  <c r="C71" i="73"/>
  <c r="AE24" i="17"/>
  <c r="AE26" i="17" s="1"/>
  <c r="K71" i="122"/>
  <c r="E60" i="119"/>
  <c r="E78" i="121"/>
  <c r="G73" i="121"/>
  <c r="D11" i="2"/>
  <c r="G65" i="13"/>
  <c r="F65" i="13"/>
  <c r="E65" i="13"/>
  <c r="C65" i="13"/>
  <c r="D65" i="13"/>
  <c r="G73" i="13"/>
  <c r="D18" i="2"/>
  <c r="D73" i="13"/>
  <c r="E73" i="13"/>
  <c r="C73" i="13"/>
  <c r="F73" i="13"/>
  <c r="D46" i="116"/>
  <c r="G73" i="119"/>
  <c r="H73" i="119"/>
  <c r="F73" i="119"/>
  <c r="D53" i="117"/>
  <c r="F53" i="117"/>
  <c r="C53" i="117"/>
  <c r="E53" i="117"/>
  <c r="G53" i="117"/>
  <c r="F69" i="126"/>
  <c r="F71" i="73"/>
  <c r="E47" i="122"/>
  <c r="E73" i="61"/>
  <c r="I24" i="38"/>
  <c r="I52" i="18"/>
  <c r="K58" i="115"/>
  <c r="AD11" i="17"/>
  <c r="C65" i="121"/>
  <c r="G73" i="127"/>
  <c r="D53" i="121"/>
  <c r="G53" i="121"/>
  <c r="E53" i="121"/>
  <c r="L108" i="18"/>
  <c r="C16" i="18"/>
  <c r="H73" i="60"/>
  <c r="F73" i="60"/>
  <c r="J73" i="60"/>
  <c r="G73" i="60"/>
  <c r="L18" i="18"/>
  <c r="D73" i="60"/>
  <c r="E73" i="60"/>
  <c r="I73" i="60"/>
  <c r="K73" i="60"/>
  <c r="C73" i="60"/>
  <c r="AA17" i="3"/>
  <c r="F73" i="5"/>
  <c r="D73" i="5"/>
  <c r="L18" i="2"/>
  <c r="G73" i="5"/>
  <c r="E73" i="5"/>
  <c r="C73" i="5"/>
  <c r="G73" i="113"/>
  <c r="C73" i="119"/>
  <c r="E73" i="119"/>
  <c r="E73" i="121"/>
  <c r="F73" i="127"/>
  <c r="C73" i="123"/>
  <c r="L15" i="18"/>
  <c r="I73" i="21"/>
  <c r="L23" i="21"/>
  <c r="H73" i="21"/>
  <c r="D73" i="21"/>
  <c r="G73" i="21"/>
  <c r="E73" i="21"/>
  <c r="J73" i="21"/>
  <c r="C73" i="21"/>
  <c r="F73" i="21"/>
  <c r="K73" i="21"/>
  <c r="G73" i="123"/>
  <c r="F78" i="121"/>
  <c r="E73" i="127"/>
  <c r="I25" i="5"/>
  <c r="H53" i="5"/>
  <c r="C73" i="121"/>
  <c r="F79" i="48"/>
  <c r="Y22" i="3"/>
  <c r="Y19" i="3"/>
  <c r="Y18" i="3"/>
  <c r="F78" i="117"/>
  <c r="C69" i="126"/>
  <c r="E71" i="73"/>
  <c r="H77" i="54"/>
  <c r="D47" i="126"/>
  <c r="C73" i="127"/>
  <c r="F73" i="61"/>
  <c r="D65" i="121"/>
  <c r="E73" i="123"/>
  <c r="I25" i="117"/>
  <c r="AE24" i="2" s="1"/>
  <c r="H53" i="117"/>
  <c r="Z13" i="3"/>
  <c r="D73" i="123"/>
  <c r="D22" i="2"/>
  <c r="G78" i="13"/>
  <c r="C78" i="13"/>
  <c r="F78" i="13"/>
  <c r="D78" i="13"/>
  <c r="E78" i="13"/>
  <c r="C136" i="22"/>
  <c r="E136" i="22"/>
  <c r="J136" i="22"/>
  <c r="F47" i="22"/>
  <c r="G136" i="22"/>
  <c r="I136" i="22"/>
  <c r="I47" i="22"/>
  <c r="F136" i="22"/>
  <c r="H47" i="22"/>
  <c r="E47" i="22"/>
  <c r="G47" i="22"/>
  <c r="D136" i="22"/>
  <c r="C47" i="22"/>
  <c r="J47" i="22"/>
  <c r="D47" i="22"/>
  <c r="H136" i="22"/>
  <c r="E53" i="113"/>
  <c r="E80" i="113" s="1"/>
  <c r="G53" i="113"/>
  <c r="G80" i="113" s="1"/>
  <c r="D53" i="113"/>
  <c r="D80" i="113" s="1"/>
  <c r="C53" i="113"/>
  <c r="C80" i="113" s="1"/>
  <c r="F53" i="113"/>
  <c r="F80" i="113" s="1"/>
  <c r="C108" i="18" l="1"/>
  <c r="O26" i="17"/>
  <c r="N26" i="17"/>
  <c r="D80" i="67"/>
  <c r="C71" i="75"/>
  <c r="C80" i="67"/>
  <c r="U24" i="17"/>
  <c r="W26" i="17" s="1"/>
  <c r="K71" i="76"/>
  <c r="J71" i="76"/>
  <c r="I71" i="110"/>
  <c r="E80" i="61"/>
  <c r="F80" i="67"/>
  <c r="C80" i="79"/>
  <c r="D80" i="56"/>
  <c r="D71" i="115"/>
  <c r="H65" i="5"/>
  <c r="I71" i="75"/>
  <c r="F80" i="61"/>
  <c r="F71" i="75"/>
  <c r="H20" i="3"/>
  <c r="E80" i="67"/>
  <c r="G71" i="76"/>
  <c r="H67" i="43"/>
  <c r="G80" i="67"/>
  <c r="C142" i="18"/>
  <c r="AA26" i="17"/>
  <c r="X26" i="17"/>
  <c r="H78" i="49"/>
  <c r="L113" i="18"/>
  <c r="C113" i="18" s="1"/>
  <c r="C21" i="18"/>
  <c r="F73" i="43"/>
  <c r="H73" i="49"/>
  <c r="D80" i="14"/>
  <c r="H79" i="59"/>
  <c r="G80" i="121"/>
  <c r="H73" i="61"/>
  <c r="D80" i="117"/>
  <c r="D71" i="75"/>
  <c r="I152" i="18"/>
  <c r="C152" i="18" s="1"/>
  <c r="C60" i="18"/>
  <c r="W18" i="3"/>
  <c r="W19" i="3"/>
  <c r="W23" i="3"/>
  <c r="W21" i="3"/>
  <c r="W22" i="3"/>
  <c r="W17" i="3"/>
  <c r="G71" i="115"/>
  <c r="D80" i="108"/>
  <c r="G80" i="108"/>
  <c r="H80" i="108"/>
  <c r="E80" i="108"/>
  <c r="C80" i="108"/>
  <c r="F80" i="108"/>
  <c r="K71" i="71"/>
  <c r="C71" i="71"/>
  <c r="I71" i="71"/>
  <c r="G71" i="71"/>
  <c r="D71" i="71"/>
  <c r="E71" i="71"/>
  <c r="S24" i="17"/>
  <c r="J71" i="71"/>
  <c r="F71" i="71"/>
  <c r="H51" i="48"/>
  <c r="J71" i="75"/>
  <c r="R24" i="2"/>
  <c r="H80" i="67"/>
  <c r="C4" i="18"/>
  <c r="L96" i="18"/>
  <c r="C96" i="18" s="1"/>
  <c r="D80" i="121"/>
  <c r="F71" i="110"/>
  <c r="D73" i="43"/>
  <c r="E71" i="75"/>
  <c r="L19" i="3"/>
  <c r="L18" i="3"/>
  <c r="L17" i="3"/>
  <c r="L25" i="3"/>
  <c r="C80" i="56"/>
  <c r="G73" i="43"/>
  <c r="C80" i="121"/>
  <c r="O25" i="3"/>
  <c r="O17" i="3"/>
  <c r="O21" i="3"/>
  <c r="O18" i="3"/>
  <c r="O19" i="3"/>
  <c r="L109" i="18"/>
  <c r="C109" i="18" s="1"/>
  <c r="C17" i="18"/>
  <c r="L97" i="18"/>
  <c r="C97" i="18" s="1"/>
  <c r="C5" i="18"/>
  <c r="C73" i="43"/>
  <c r="H73" i="4"/>
  <c r="I80" i="79"/>
  <c r="T24" i="2"/>
  <c r="G80" i="79"/>
  <c r="F80" i="79"/>
  <c r="H78" i="5"/>
  <c r="H73" i="44"/>
  <c r="F73" i="44"/>
  <c r="G73" i="44"/>
  <c r="D73" i="44"/>
  <c r="E73" i="44"/>
  <c r="C73" i="44"/>
  <c r="D80" i="79"/>
  <c r="T24" i="17"/>
  <c r="K71" i="75"/>
  <c r="E80" i="56"/>
  <c r="L98" i="18"/>
  <c r="C98" i="18" s="1"/>
  <c r="C6" i="18"/>
  <c r="H79" i="33"/>
  <c r="T21" i="3"/>
  <c r="T23" i="3"/>
  <c r="T22" i="3"/>
  <c r="T19" i="3"/>
  <c r="T18" i="3"/>
  <c r="T17" i="3"/>
  <c r="M24" i="2"/>
  <c r="D80" i="4"/>
  <c r="G80" i="4"/>
  <c r="E80" i="4"/>
  <c r="E80" i="79"/>
  <c r="H71" i="75"/>
  <c r="F80" i="56"/>
  <c r="F80" i="14"/>
  <c r="AB25" i="3"/>
  <c r="M22" i="3"/>
  <c r="M25" i="3"/>
  <c r="M18" i="3"/>
  <c r="F24" i="112"/>
  <c r="I139" i="18"/>
  <c r="C139" i="18" s="1"/>
  <c r="C47" i="18"/>
  <c r="C10" i="18"/>
  <c r="L102" i="18"/>
  <c r="C102" i="18" s="1"/>
  <c r="C46" i="18"/>
  <c r="I138" i="18"/>
  <c r="C138" i="18" s="1"/>
  <c r="Z26" i="17"/>
  <c r="Y25" i="3"/>
  <c r="AC26" i="17"/>
  <c r="D80" i="61"/>
  <c r="E71" i="115"/>
  <c r="C16" i="116"/>
  <c r="F24" i="116" s="1"/>
  <c r="C56" i="18"/>
  <c r="I148" i="18"/>
  <c r="C148" i="18" s="1"/>
  <c r="N17" i="3"/>
  <c r="N22" i="3"/>
  <c r="N25" i="3"/>
  <c r="N19" i="3"/>
  <c r="N21" i="3"/>
  <c r="M19" i="3"/>
  <c r="G71" i="75"/>
  <c r="G80" i="14"/>
  <c r="E80" i="121"/>
  <c r="C71" i="110"/>
  <c r="I149" i="18"/>
  <c r="C149" i="18" s="1"/>
  <c r="C57" i="18"/>
  <c r="M21" i="3"/>
  <c r="H51" i="54"/>
  <c r="C80" i="4"/>
  <c r="K136" i="22"/>
  <c r="Z18" i="3"/>
  <c r="Z17" i="3"/>
  <c r="Z21" i="3"/>
  <c r="Z22" i="3"/>
  <c r="Z19" i="3"/>
  <c r="E71" i="122"/>
  <c r="C16" i="120"/>
  <c r="G5" i="128"/>
  <c r="C71" i="126"/>
  <c r="I150" i="18"/>
  <c r="C150" i="18" s="1"/>
  <c r="C58" i="18"/>
  <c r="AA18" i="3"/>
  <c r="AA22" i="3"/>
  <c r="AA19" i="3"/>
  <c r="C31" i="124"/>
  <c r="I71" i="118"/>
  <c r="G80" i="13"/>
  <c r="F80" i="13"/>
  <c r="D80" i="13"/>
  <c r="D24" i="2"/>
  <c r="C80" i="13"/>
  <c r="E80" i="13"/>
  <c r="H71" i="122"/>
  <c r="D46" i="120"/>
  <c r="C16" i="128"/>
  <c r="E71" i="126"/>
  <c r="I71" i="122"/>
  <c r="C31" i="120"/>
  <c r="AF24" i="17"/>
  <c r="AF26" i="17" s="1"/>
  <c r="K71" i="118"/>
  <c r="J38" i="128"/>
  <c r="F71" i="126"/>
  <c r="C16" i="124"/>
  <c r="E71" i="118"/>
  <c r="G71" i="122"/>
  <c r="G41" i="120"/>
  <c r="J29" i="128"/>
  <c r="J71" i="126"/>
  <c r="G5" i="124"/>
  <c r="C71" i="118"/>
  <c r="D17" i="3"/>
  <c r="D25" i="3"/>
  <c r="D21" i="3"/>
  <c r="D19" i="3"/>
  <c r="D22" i="3"/>
  <c r="D18" i="3"/>
  <c r="D71" i="126"/>
  <c r="J8" i="128"/>
  <c r="C18" i="18"/>
  <c r="L110" i="18"/>
  <c r="C110" i="18" s="1"/>
  <c r="H73" i="5"/>
  <c r="G80" i="117"/>
  <c r="C80" i="49"/>
  <c r="N24" i="2"/>
  <c r="E80" i="49"/>
  <c r="D80" i="49"/>
  <c r="F80" i="49"/>
  <c r="G80" i="49"/>
  <c r="D46" i="124"/>
  <c r="H71" i="118"/>
  <c r="K47" i="22"/>
  <c r="L24" i="17" s="1"/>
  <c r="H78" i="13"/>
  <c r="E80" i="5"/>
  <c r="L24" i="2"/>
  <c r="G80" i="5"/>
  <c r="F80" i="5"/>
  <c r="D80" i="5"/>
  <c r="C80" i="5"/>
  <c r="C15" i="18"/>
  <c r="L107" i="18"/>
  <c r="C107" i="18" s="1"/>
  <c r="E80" i="117"/>
  <c r="H65" i="13"/>
  <c r="C31" i="128"/>
  <c r="I71" i="126"/>
  <c r="AA21" i="3"/>
  <c r="G80" i="61"/>
  <c r="G41" i="124"/>
  <c r="G71" i="118"/>
  <c r="F71" i="118"/>
  <c r="J38" i="124"/>
  <c r="I144" i="18"/>
  <c r="C144" i="18" s="1"/>
  <c r="C52" i="18"/>
  <c r="C80" i="117"/>
  <c r="J38" i="120"/>
  <c r="F71" i="122"/>
  <c r="G41" i="128"/>
  <c r="G71" i="126"/>
  <c r="H79" i="48"/>
  <c r="C80" i="61"/>
  <c r="J8" i="124"/>
  <c r="D71" i="118"/>
  <c r="H65" i="49"/>
  <c r="AG24" i="17"/>
  <c r="K71" i="126"/>
  <c r="G5" i="120"/>
  <c r="C71" i="122"/>
  <c r="Y20" i="3"/>
  <c r="F80" i="117"/>
  <c r="H73" i="13"/>
  <c r="J29" i="120"/>
  <c r="J71" i="122"/>
  <c r="H71" i="126"/>
  <c r="D46" i="128"/>
  <c r="J29" i="124"/>
  <c r="J71" i="118"/>
  <c r="D71" i="122"/>
  <c r="J8" i="120"/>
  <c r="AG26" i="17" l="1"/>
  <c r="AH26" i="17"/>
  <c r="AA20" i="3"/>
  <c r="O20" i="3"/>
  <c r="T20" i="3"/>
  <c r="N20" i="3"/>
  <c r="M20" i="3"/>
  <c r="W25" i="3"/>
  <c r="H80" i="14"/>
  <c r="U26" i="17"/>
  <c r="S26" i="17"/>
  <c r="W20" i="3"/>
  <c r="T26" i="17"/>
  <c r="V26" i="17"/>
  <c r="H80" i="4"/>
  <c r="H80" i="49"/>
  <c r="H80" i="56"/>
  <c r="H80" i="13"/>
  <c r="F24" i="120"/>
  <c r="AA25" i="3"/>
  <c r="T25" i="3"/>
  <c r="L20" i="3"/>
  <c r="H80" i="5"/>
  <c r="L26" i="17"/>
  <c r="M26" i="17"/>
  <c r="F24" i="124"/>
  <c r="H80" i="61"/>
  <c r="D20" i="3"/>
  <c r="F24" i="128"/>
  <c r="Z20" i="3"/>
  <c r="Z25" i="3"/>
</calcChain>
</file>

<file path=xl/sharedStrings.xml><?xml version="1.0" encoding="utf-8"?>
<sst xmlns="http://schemas.openxmlformats.org/spreadsheetml/2006/main" count="9750" uniqueCount="1421">
  <si>
    <t>ARRA</t>
  </si>
  <si>
    <t>Expenditures by Object by Enrollment Category FY2009</t>
  </si>
  <si>
    <t>09/Pupil Salaries &amp; Benefits</t>
  </si>
  <si>
    <t>09/Pupil Purchased Services</t>
  </si>
  <si>
    <t>09/Pupil Supplies</t>
  </si>
  <si>
    <t>09/Pupil Capital Outlay</t>
  </si>
  <si>
    <t>09/Pupil Total Expenditures</t>
  </si>
  <si>
    <t>Expenditures Percentage to Total  FY2009</t>
  </si>
  <si>
    <t>Revenues By Enrollment Category</t>
  </si>
  <si>
    <t>FY09</t>
  </si>
  <si>
    <t xml:space="preserve">Revenues Per ANB </t>
  </si>
  <si>
    <t xml:space="preserve">Percent by  Revenue Type </t>
  </si>
  <si>
    <t>09/Pupil Property Tax</t>
  </si>
  <si>
    <t>09/Pupil Non Levy Revenue</t>
  </si>
  <si>
    <t>09/Pupil County Revenue</t>
  </si>
  <si>
    <t>09/Pupil State Revenue</t>
  </si>
  <si>
    <t>09/Pupil Federal Revenue</t>
  </si>
  <si>
    <t>09/Pupil Total Revenue</t>
  </si>
  <si>
    <t>09/ARRA Revenue</t>
  </si>
  <si>
    <t>09/Rev Per ANB with ARRA</t>
  </si>
  <si>
    <t>09/Rev Per ANB NO ARRA</t>
  </si>
  <si>
    <t>7XXX</t>
  </si>
  <si>
    <t>Federal ARRA Revenues</t>
  </si>
  <si>
    <t>Total with ARRA</t>
  </si>
  <si>
    <t>Total NO ARRA</t>
  </si>
  <si>
    <t>2009 ARRA</t>
  </si>
  <si>
    <t>2009 NO ARRA</t>
  </si>
  <si>
    <t>09 ANB</t>
  </si>
  <si>
    <t>2009 With ARRA</t>
  </si>
  <si>
    <t>08 ANB</t>
  </si>
  <si>
    <t>Revenues Per ANB FY2007</t>
  </si>
  <si>
    <t>Percent by  Revenue Type  FY2007</t>
  </si>
  <si>
    <t>Expenditures by Function by Enrollment Category FY2007</t>
  </si>
  <si>
    <t>07/Pupil Instruction</t>
  </si>
  <si>
    <t>07/Pupil Student Services</t>
  </si>
  <si>
    <t>07/Pupil General Admin</t>
  </si>
  <si>
    <t>07/Pupil Bldg Admin</t>
  </si>
  <si>
    <t>07/Pupil Bldg OM</t>
  </si>
  <si>
    <t>07/Pupil Transport</t>
  </si>
  <si>
    <t>07/Pupil Other</t>
  </si>
  <si>
    <t>07/Pupil Bonds/ Facilities</t>
  </si>
  <si>
    <t>07/Pupil Total</t>
  </si>
  <si>
    <t>Percent Spent by Function FY2007</t>
  </si>
  <si>
    <t>Expenditures Per ANB  FY2007</t>
  </si>
  <si>
    <t>07 ANB</t>
  </si>
  <si>
    <t>Expenditures by Object by Enrollment Category FY2007</t>
  </si>
  <si>
    <t>07/Pupil Salaries &amp; Benefits</t>
  </si>
  <si>
    <t>07/Pupil Purchased Services</t>
  </si>
  <si>
    <t>07/Pupil Supplies</t>
  </si>
  <si>
    <t>07/Pupil Capital Outlay</t>
  </si>
  <si>
    <t>07/Pupil Total Expenditures</t>
  </si>
  <si>
    <t>Expenditures Percentage to Total  FY2007</t>
  </si>
  <si>
    <t>Expenditures Per ANB  FY2006</t>
  </si>
  <si>
    <t>06/Pupil Other</t>
  </si>
  <si>
    <t>ANB06</t>
  </si>
  <si>
    <t>Expenditures by Function by Enrollment Category FY2006</t>
  </si>
  <si>
    <t>Percent Spent by Function FY2006</t>
  </si>
  <si>
    <t>06/Pupil Instruction</t>
  </si>
  <si>
    <t>06/Pupil Student Services</t>
  </si>
  <si>
    <t>06/Pupil General Admin</t>
  </si>
  <si>
    <t>06/Pupil Bldg Admin</t>
  </si>
  <si>
    <t>06/Pupil Bldg OM</t>
  </si>
  <si>
    <t>06/Pupil Transport</t>
  </si>
  <si>
    <t>06/Pupil Bonds/ Facilities</t>
  </si>
  <si>
    <t>06/Pupil Total</t>
  </si>
  <si>
    <t>06/Pupil Property Tax</t>
  </si>
  <si>
    <t>06/Pupil Non Levy Revenue</t>
  </si>
  <si>
    <t>06/Pupil County Revenue</t>
  </si>
  <si>
    <t>06/Pupil State Revenue</t>
  </si>
  <si>
    <t>06/Pupil Federal Revenue</t>
  </si>
  <si>
    <t>06/Pupil Total Revenue</t>
  </si>
  <si>
    <t>06/Rev Per ANB</t>
  </si>
  <si>
    <t>Revenues By Enrollment Category FY2006</t>
  </si>
  <si>
    <t>Revenues Per ANB FY2006</t>
  </si>
  <si>
    <t>Percent by  Revenue Type  FY2006</t>
  </si>
  <si>
    <t>06 ANB</t>
  </si>
  <si>
    <t>Elementary 851-2500</t>
  </si>
  <si>
    <t>Elementary 401-850</t>
  </si>
  <si>
    <t>Elementary 151-400</t>
  </si>
  <si>
    <t>Elementary 41-150</t>
  </si>
  <si>
    <t>Elementary &lt; 40</t>
  </si>
  <si>
    <t>High School &gt; 1250</t>
  </si>
  <si>
    <t>High School 401-1250</t>
  </si>
  <si>
    <t>High School 201-400</t>
  </si>
  <si>
    <t>High School 76-200</t>
  </si>
  <si>
    <t>High School 75 or less</t>
  </si>
  <si>
    <t>K-12 &gt; 399</t>
  </si>
  <si>
    <t>K-12 &lt; 400</t>
  </si>
  <si>
    <t>Description</t>
  </si>
  <si>
    <t>Salaries &amp; Benefits</t>
  </si>
  <si>
    <t>Purchased Services</t>
  </si>
  <si>
    <t>Supplies</t>
  </si>
  <si>
    <t>Capital Outlay</t>
  </si>
  <si>
    <t>Other</t>
  </si>
  <si>
    <t>Instruction</t>
  </si>
  <si>
    <t>Student Services</t>
  </si>
  <si>
    <t>General Admin</t>
  </si>
  <si>
    <t>Bldg Admin</t>
  </si>
  <si>
    <t>Bldg OM</t>
  </si>
  <si>
    <t>Pupil Trans</t>
  </si>
  <si>
    <t>Bonds/Facilities</t>
  </si>
  <si>
    <t>94 ANB</t>
  </si>
  <si>
    <t>Elementary &gt; 2500</t>
  </si>
  <si>
    <t>Total Elementary</t>
  </si>
  <si>
    <t>Total High School</t>
  </si>
  <si>
    <t>Total K-12</t>
  </si>
  <si>
    <t>TOTAL</t>
  </si>
  <si>
    <t>Total all Schools</t>
  </si>
  <si>
    <t>Total Elementary Percentage</t>
  </si>
  <si>
    <t>Total High School Percentage</t>
  </si>
  <si>
    <t>Total K-12 Percentage</t>
  </si>
  <si>
    <t>Percentage/ANB all Montana Schools</t>
  </si>
  <si>
    <t>ALL MONTANA SCHOOLS</t>
  </si>
  <si>
    <t>Total</t>
  </si>
  <si>
    <t>Total Montana</t>
  </si>
  <si>
    <t>Bonds/ Facilities</t>
  </si>
  <si>
    <t>Property Tax</t>
  </si>
  <si>
    <t>Non Levy Rev</t>
  </si>
  <si>
    <t>State Rev</t>
  </si>
  <si>
    <t>Fed Rev</t>
  </si>
  <si>
    <t>County Rev</t>
  </si>
  <si>
    <t>95 ANB</t>
  </si>
  <si>
    <t>96 ANB</t>
  </si>
  <si>
    <t xml:space="preserve">Student </t>
  </si>
  <si>
    <t>General</t>
  </si>
  <si>
    <t>Building</t>
  </si>
  <si>
    <t xml:space="preserve">Pupil    </t>
  </si>
  <si>
    <t xml:space="preserve">Bonds/ </t>
  </si>
  <si>
    <t>97 ANB</t>
  </si>
  <si>
    <t>Services</t>
  </si>
  <si>
    <t xml:space="preserve">Admin </t>
  </si>
  <si>
    <t xml:space="preserve">OM     </t>
  </si>
  <si>
    <t>Transport</t>
  </si>
  <si>
    <t>Facilities</t>
  </si>
  <si>
    <t>Total Per Elementary Pupil</t>
  </si>
  <si>
    <t>Total Per High School Pupil</t>
  </si>
  <si>
    <t>Total Per K-12 Pupil</t>
  </si>
  <si>
    <t>Total Per Montana Pupil</t>
  </si>
  <si>
    <t xml:space="preserve">Total    </t>
  </si>
  <si>
    <t>Salaries &amp;</t>
  </si>
  <si>
    <t>Purchased</t>
  </si>
  <si>
    <t>Capital</t>
  </si>
  <si>
    <t>Expended</t>
  </si>
  <si>
    <t xml:space="preserve">Benefits  </t>
  </si>
  <si>
    <t xml:space="preserve">Services  </t>
  </si>
  <si>
    <t>Outlay</t>
  </si>
  <si>
    <t xml:space="preserve">Per ANB </t>
  </si>
  <si>
    <t>Property</t>
  </si>
  <si>
    <t>Non Levy</t>
  </si>
  <si>
    <t xml:space="preserve">County  </t>
  </si>
  <si>
    <t xml:space="preserve">State   </t>
  </si>
  <si>
    <t xml:space="preserve">Federal </t>
  </si>
  <si>
    <t>Revenue</t>
  </si>
  <si>
    <t xml:space="preserve">Tax     </t>
  </si>
  <si>
    <t>County</t>
  </si>
  <si>
    <t>State</t>
  </si>
  <si>
    <t>Federal</t>
  </si>
  <si>
    <t>Tax</t>
  </si>
  <si>
    <t>1998</t>
  </si>
  <si>
    <t>Benefits</t>
  </si>
  <si>
    <t>98 ANB</t>
  </si>
  <si>
    <t>Student</t>
  </si>
  <si>
    <t>Pupil</t>
  </si>
  <si>
    <t>Bonds/</t>
  </si>
  <si>
    <t>Admin</t>
  </si>
  <si>
    <t>OM</t>
  </si>
  <si>
    <t>98 Property Tx</t>
  </si>
  <si>
    <t>98 Non Levy Rev</t>
  </si>
  <si>
    <t>98 County Rev</t>
  </si>
  <si>
    <t>98 State Rev</t>
  </si>
  <si>
    <t>98 Fed Rev</t>
  </si>
  <si>
    <t>Total Elementary Revenue</t>
  </si>
  <si>
    <t>Total High School Revenue</t>
  </si>
  <si>
    <t>Total K-12 Revenue</t>
  </si>
  <si>
    <t>Total Montana Revenue</t>
  </si>
  <si>
    <t>98/Pupil Property Tx</t>
  </si>
  <si>
    <t>98/Pupil Non Levy Rev</t>
  </si>
  <si>
    <t>98/Pupil County Rev</t>
  </si>
  <si>
    <t>98/Pupil State Rev</t>
  </si>
  <si>
    <t>98/Pupil Fed Rev</t>
  </si>
  <si>
    <t>99 ANB</t>
  </si>
  <si>
    <t xml:space="preserve">TOTAL MT </t>
  </si>
  <si>
    <t xml:space="preserve">Pupil     </t>
  </si>
  <si>
    <t xml:space="preserve">Bonds/  </t>
  </si>
  <si>
    <t>TOTALS</t>
  </si>
  <si>
    <t>99/Pupil Non Levy Rev</t>
  </si>
  <si>
    <t>99/Pupil County Rev</t>
  </si>
  <si>
    <t>99/Pupil State Rev</t>
  </si>
  <si>
    <t>99/Pupil Fed Rev</t>
  </si>
  <si>
    <t>Local</t>
  </si>
  <si>
    <t>Local Non-levy</t>
  </si>
  <si>
    <t>NCES Natl Avg</t>
  </si>
  <si>
    <t>Fed</t>
  </si>
  <si>
    <t>Appendix L  Per Pupil Expenditures by Function 1998-99</t>
  </si>
  <si>
    <t>Appendix L Per Pupil Expenditures by Object</t>
  </si>
  <si>
    <t>1994</t>
  </si>
  <si>
    <t>1995</t>
  </si>
  <si>
    <t>1996</t>
  </si>
  <si>
    <t>1997</t>
  </si>
  <si>
    <t>1999</t>
  </si>
  <si>
    <t>Office of Public Instruction</t>
  </si>
  <si>
    <t>ANB00</t>
  </si>
  <si>
    <t>00/Pupil Property Tax</t>
  </si>
  <si>
    <t>00/Pupil Non Levy Revenue</t>
  </si>
  <si>
    <t>00/Pupil County Revenue</t>
  </si>
  <si>
    <t>00/Pupil State Revenue</t>
  </si>
  <si>
    <t>00/Pupil Federal Revenue</t>
  </si>
  <si>
    <t>00/Pupil Total Revenue</t>
  </si>
  <si>
    <t>Total Percentage/MT Pupil</t>
  </si>
  <si>
    <t>TOTAL MT SCHOOLS</t>
  </si>
  <si>
    <t>00/Pupil Instruction</t>
  </si>
  <si>
    <t>00/Pupil Student Services</t>
  </si>
  <si>
    <t>00/Pupil General Admin</t>
  </si>
  <si>
    <t>00/Pupil Bldg Admin</t>
  </si>
  <si>
    <t>00/Pupil Bldg OM</t>
  </si>
  <si>
    <t>00/Pupil Transport</t>
  </si>
  <si>
    <t>00/Pupil Other</t>
  </si>
  <si>
    <t>00/Pupil Bonds/ Facilities</t>
  </si>
  <si>
    <t>00/Pupil Total</t>
  </si>
  <si>
    <t>Total/Elementary Pupil</t>
  </si>
  <si>
    <t>Total/High School Pupil</t>
  </si>
  <si>
    <t>Total/K-12 Pupil</t>
  </si>
  <si>
    <t>Total/Montana Pupil</t>
  </si>
  <si>
    <t>00/Pupil Building Admin</t>
  </si>
  <si>
    <t>00/Pupil Building OM</t>
  </si>
  <si>
    <t>00/Pupil Salaries &amp; Benefits</t>
  </si>
  <si>
    <t>00/Pupil Purchased Services</t>
  </si>
  <si>
    <t>00/Pupil Supplies</t>
  </si>
  <si>
    <t>00/Pupil Capital Outlay</t>
  </si>
  <si>
    <t>00/Pupil Total Expenditures</t>
  </si>
  <si>
    <t>Percent/ANB all Montana Schools</t>
  </si>
  <si>
    <t>00 ANB</t>
  </si>
  <si>
    <t>% Change</t>
  </si>
  <si>
    <t>Revenues By Enrollment Category FY1994</t>
  </si>
  <si>
    <t>Revenues By Enrollment Category FY1997</t>
  </si>
  <si>
    <t>ANB01</t>
  </si>
  <si>
    <t>01/Pupil Instruction</t>
  </si>
  <si>
    <t>01/Pupil tudent Services</t>
  </si>
  <si>
    <t>01/Pupil General Admin</t>
  </si>
  <si>
    <t>01/Pupil Bldg Admin</t>
  </si>
  <si>
    <t>01/Pupil Bldg OM</t>
  </si>
  <si>
    <t>01/Pupil Transport</t>
  </si>
  <si>
    <t>01/Pupil Other</t>
  </si>
  <si>
    <t>01/Pupil Bonds/ Facilities</t>
  </si>
  <si>
    <t>01/Pupil Total</t>
  </si>
  <si>
    <t>Enrollment Category</t>
  </si>
  <si>
    <t>01/Pupil Student Services</t>
  </si>
  <si>
    <t>Montana Office of Public Instruction</t>
  </si>
  <si>
    <t>Expenditures by Function by Enrollment Category FY2001</t>
  </si>
  <si>
    <t>Expenditures Per ANB  FY2001</t>
  </si>
  <si>
    <t>Percent Spent by Function FY2001</t>
  </si>
  <si>
    <t>Expenditures by Function by Enrollment Category FY1999</t>
  </si>
  <si>
    <t>Expenditures by Function by Enrollment Category FY2000</t>
  </si>
  <si>
    <t>Expenditures by Function by Enrollment Category FY1994</t>
  </si>
  <si>
    <t>Expenditures by Function by Enrollment Category FY1995</t>
  </si>
  <si>
    <t>Expenditures by Function by Enrollment Category FY1996</t>
  </si>
  <si>
    <t>Expenditures by Function by Enrollment Category FY1997</t>
  </si>
  <si>
    <t>Expenditures by Function by Enrollment Category FY1998</t>
  </si>
  <si>
    <t>Expenditures Per ANB  FY1994</t>
  </si>
  <si>
    <t>Expenditures Per ANB  FY1995</t>
  </si>
  <si>
    <t>Expenditures Per ANB  FY1996</t>
  </si>
  <si>
    <t>Expenditures Per ANB  FY1997</t>
  </si>
  <si>
    <t>Expenditures Per ANB  FY1998</t>
  </si>
  <si>
    <t>Expenditures Per ANB  FY1999</t>
  </si>
  <si>
    <t>Expenditures Per ANB  FY2000</t>
  </si>
  <si>
    <t>Percent Spent by Function FY1994</t>
  </si>
  <si>
    <t>Percent Spent by Function FY1995</t>
  </si>
  <si>
    <t>Percent Spent by Function FY1996</t>
  </si>
  <si>
    <t>Percent Spent by Function FY1997</t>
  </si>
  <si>
    <t>Percent Spent by Function FY1998</t>
  </si>
  <si>
    <t>Percent Spent by Function FY1999</t>
  </si>
  <si>
    <t>Percent Spent by Function FY2000</t>
  </si>
  <si>
    <t>01 ANB</t>
  </si>
  <si>
    <t>Expenditures by Object by Enrollment Category FY2000</t>
  </si>
  <si>
    <t>Percent Spent by Object FY2000</t>
  </si>
  <si>
    <t>Expenditures by Object by Enrollment Category FY2001</t>
  </si>
  <si>
    <t>01/Pupil Salaries &amp; Benefits</t>
  </si>
  <si>
    <t>01/Pupil Purchased Services</t>
  </si>
  <si>
    <t>01/Pupil Supplies</t>
  </si>
  <si>
    <t>01/Pupil Capital Outlay</t>
  </si>
  <si>
    <t>01/Pupil Total Expenditures</t>
  </si>
  <si>
    <t>Percent Spent by Object FY2001</t>
  </si>
  <si>
    <t>Expenditures by Object by Enrollment Category FY1999</t>
  </si>
  <si>
    <t>Percent Spent by Object FY1998</t>
  </si>
  <si>
    <t>Percent Spent by Object FY1999</t>
  </si>
  <si>
    <t>Percent Spent by Object FY1994</t>
  </si>
  <si>
    <t>Percent Spent by Object FY1995</t>
  </si>
  <si>
    <t>Percent Spent by Object FY1996</t>
  </si>
  <si>
    <t>Percent Spent by Object FY1997</t>
  </si>
  <si>
    <t>Expenditures by Object by Enrollment Category FY1998</t>
  </si>
  <si>
    <t>Expenditures by Object by Enrollment Category FY1997</t>
  </si>
  <si>
    <t>Expenditures by Object by Enrollment Category FY1994</t>
  </si>
  <si>
    <t>Expenditures by Object by Enrollment Category FY1996</t>
  </si>
  <si>
    <t>Expenditures by Object by Enrollment Category FY1995</t>
  </si>
  <si>
    <t>Revenues By Enrollment Category FY1995</t>
  </si>
  <si>
    <t>Revenues By Enrollment Category FY2000</t>
  </si>
  <si>
    <t>Revenues By Enrollment Category FY1999</t>
  </si>
  <si>
    <t>Revenues By Enrollment Category FY1998</t>
  </si>
  <si>
    <t>Revenues By Enrollment Category FY1996</t>
  </si>
  <si>
    <t>Revenues By Enrollment Category FY2001</t>
  </si>
  <si>
    <t>01/Pupil Property Tax</t>
  </si>
  <si>
    <t>01/Pupil Non Levy Revenue</t>
  </si>
  <si>
    <t>01/Pupil County Revenue</t>
  </si>
  <si>
    <t>01/Pupil State Revenue</t>
  </si>
  <si>
    <t>01/Pupil Federal Revenue</t>
  </si>
  <si>
    <t>01/Pupil Total Revenue</t>
  </si>
  <si>
    <t>Revenues Per ANB FY2000</t>
  </si>
  <si>
    <t>Percent by  Revenue Type  FY2000</t>
  </si>
  <si>
    <t>Percent by  Revenue Type  FY2001</t>
  </si>
  <si>
    <t>Revenues Per ANB FY2001</t>
  </si>
  <si>
    <t>Year</t>
  </si>
  <si>
    <t>Instruction % to Total</t>
  </si>
  <si>
    <t>Salaries % to Total</t>
  </si>
  <si>
    <t>Expenditures by Object by Enrollment Category FY1991</t>
  </si>
  <si>
    <t>91 ANB</t>
  </si>
  <si>
    <t>Expenditures Per ANB  FY1991</t>
  </si>
  <si>
    <t>Percent Spent by Object FY1991</t>
  </si>
  <si>
    <t>Expenditures by Function by Enrollment Category FY1991</t>
  </si>
  <si>
    <t>Percent Spent by Function FY1991</t>
  </si>
  <si>
    <t>ANB91</t>
  </si>
  <si>
    <t>91/Pupil Instruction</t>
  </si>
  <si>
    <t>91/Pupil General Admin</t>
  </si>
  <si>
    <t>91/Pupil Bldg Admin</t>
  </si>
  <si>
    <t>91/Pupil Bldg OM</t>
  </si>
  <si>
    <t>91/Pupil Transport</t>
  </si>
  <si>
    <t>91/Pupil Other</t>
  </si>
  <si>
    <t>91/Pupil Bonds/ Facilities</t>
  </si>
  <si>
    <t>91/Pupil Total</t>
  </si>
  <si>
    <t>91/Pupil Student Services</t>
  </si>
  <si>
    <t>Expenditures by Object by Enrollment Category FY1992</t>
  </si>
  <si>
    <t>92 ANB</t>
  </si>
  <si>
    <t>Expenditures Per ANB  FY1992</t>
  </si>
  <si>
    <t>Percent Spent by Object FY1992</t>
  </si>
  <si>
    <t>Expenditures by Function by Enrollment Category FY1992</t>
  </si>
  <si>
    <t>ANB92</t>
  </si>
  <si>
    <t>92/Pupil Instruction</t>
  </si>
  <si>
    <t>92/Pupil Student Services</t>
  </si>
  <si>
    <t>92/Pupil General Admin</t>
  </si>
  <si>
    <t>92/Pupil Bldg Admin</t>
  </si>
  <si>
    <t>92/Pupil Bldg OM</t>
  </si>
  <si>
    <t>92/Pupil Transport</t>
  </si>
  <si>
    <t>92/Pupil Other</t>
  </si>
  <si>
    <t>92/Pupil Bonds/ Facilities</t>
  </si>
  <si>
    <t>92/Pupil Total</t>
  </si>
  <si>
    <t>Expenditures by Object by Enrollment Category FY1993</t>
  </si>
  <si>
    <t>93 ANB</t>
  </si>
  <si>
    <t>Expenditures Per ANB  FY1993</t>
  </si>
  <si>
    <t>Percent Spent by Object FY1993</t>
  </si>
  <si>
    <t>Expenditures by Function by Enrollment Category FY1993</t>
  </si>
  <si>
    <t>ANB93</t>
  </si>
  <si>
    <t>93/Pupil Instruction</t>
  </si>
  <si>
    <t>93/Pupil Student Services</t>
  </si>
  <si>
    <t>93/Pupil General Admin</t>
  </si>
  <si>
    <t>93/Pupil Bldg Admin</t>
  </si>
  <si>
    <t>93/Pupil Bldg OM</t>
  </si>
  <si>
    <t>93/Pupil Transport</t>
  </si>
  <si>
    <t>93/Pupil Other</t>
  </si>
  <si>
    <t>93/Pupil Bonds/ Facilities</t>
  </si>
  <si>
    <t>93/Pupil Total</t>
  </si>
  <si>
    <t>Percent Spent by Function FY1993</t>
  </si>
  <si>
    <t>1991</t>
  </si>
  <si>
    <t>1992</t>
  </si>
  <si>
    <t>1993</t>
  </si>
  <si>
    <t xml:space="preserve">Total Elementary </t>
  </si>
  <si>
    <t xml:space="preserve">Total K-12 </t>
  </si>
  <si>
    <t>K-12 &gt; 399 - Not Until FY93</t>
  </si>
  <si>
    <t>K-12 &lt; 400 - Not Until FY93</t>
  </si>
  <si>
    <t>Total K-12 Per Pupil</t>
  </si>
  <si>
    <t xml:space="preserve">Total ANB Montana </t>
  </si>
  <si>
    <t>Revenues By Enrollment Category FY1991</t>
  </si>
  <si>
    <t>91/Pupil Property Tax</t>
  </si>
  <si>
    <t>91/Pupil Non Levy Revenue</t>
  </si>
  <si>
    <t>91/Pupil County Revenue</t>
  </si>
  <si>
    <t>91/Pupil State Revenue</t>
  </si>
  <si>
    <t>91/Pupil Federal Revenue</t>
  </si>
  <si>
    <t>91/Pupil Total Revenue</t>
  </si>
  <si>
    <t>K-12 &lt; 400 Not Until FY1993</t>
  </si>
  <si>
    <t>K-12 &gt; 399 Not Until FY1993</t>
  </si>
  <si>
    <t>Revenues By Enrollment Category FY1992</t>
  </si>
  <si>
    <t>92/Pupil Property Tax</t>
  </si>
  <si>
    <t>92/Pupil Non Levy Revenue</t>
  </si>
  <si>
    <t>92/Pupil County Revenue</t>
  </si>
  <si>
    <t>92/Pupil State Revenue</t>
  </si>
  <si>
    <t>92/Pupil Total Revenue</t>
  </si>
  <si>
    <t>92/Pupil Federal Revenue</t>
  </si>
  <si>
    <t>Percent by  Revenue Type  FY1992</t>
  </si>
  <si>
    <t>Revenues Per ANB FY1992</t>
  </si>
  <si>
    <t>Revenues By Enrollment Category FY1993</t>
  </si>
  <si>
    <t>93/Pupil Property Tax</t>
  </si>
  <si>
    <t>93/Pupil Non Levy Revenue</t>
  </si>
  <si>
    <t>93/Pupil County Revenue</t>
  </si>
  <si>
    <t>93/Pupil State Revenue</t>
  </si>
  <si>
    <t>93/Pupil Federal Revenue</t>
  </si>
  <si>
    <t>93/Pupil Total Revenue</t>
  </si>
  <si>
    <t>Percent by  Revenue Type  FY1993</t>
  </si>
  <si>
    <t>Revenues Per ANB FY1993</t>
  </si>
  <si>
    <t>ANB</t>
  </si>
  <si>
    <t>Expenditures by Function by Enrollment Category FY2002</t>
  </si>
  <si>
    <t>Expenditures Per ANB  FY2002</t>
  </si>
  <si>
    <t>02/Pupil Instruction</t>
  </si>
  <si>
    <t>02/Pupil Student Services</t>
  </si>
  <si>
    <t>02/Pupil General Admin</t>
  </si>
  <si>
    <t>02/Pupil Bldg Admin</t>
  </si>
  <si>
    <t>02/Pupil Bldg OM</t>
  </si>
  <si>
    <t>02/Pupil Transport</t>
  </si>
  <si>
    <t>02/Pupil Other</t>
  </si>
  <si>
    <t>02/Pupil Bonds/ Facilities</t>
  </si>
  <si>
    <t>02/Pupil Total</t>
  </si>
  <si>
    <t>ANB02</t>
  </si>
  <si>
    <t>Percent Spent by Function FY2002</t>
  </si>
  <si>
    <t>02/Pupil Property Tax</t>
  </si>
  <si>
    <t>02/Pupil Non Levy Revenue</t>
  </si>
  <si>
    <t>02/Pupil County Revenue</t>
  </si>
  <si>
    <t>02/Pupil State Revenue</t>
  </si>
  <si>
    <t>02/Pupil Federal Revenue</t>
  </si>
  <si>
    <t>02/Pupil Total Revenue</t>
  </si>
  <si>
    <t>Percent by  Revenue Type  FY2002</t>
  </si>
  <si>
    <t>Revenues Per ANB FY2002</t>
  </si>
  <si>
    <t>Revenues By Enrollment Category FY2002</t>
  </si>
  <si>
    <t>Expenditures by Object by Enrollment Category FY2002</t>
  </si>
  <si>
    <t>02/Pupil Salaries &amp; Benefits</t>
  </si>
  <si>
    <t>02/Pupil Purchased Services</t>
  </si>
  <si>
    <t>02/Pupil Supplies</t>
  </si>
  <si>
    <t>02/Pupil Capital Outlay</t>
  </si>
  <si>
    <t>02/Pupil Total Expenditures</t>
  </si>
  <si>
    <t>02 ANB</t>
  </si>
  <si>
    <t>Tuition between Districts and Refunding Bonds are also excluded.</t>
  </si>
  <si>
    <t>Transfer between funds, districts, and special education coops are excluded.</t>
  </si>
  <si>
    <t>Total Local</t>
  </si>
  <si>
    <t xml:space="preserve">Includes all funds, except Funds 17, 60,70-80, 81, 84, 85 Building, Enterprise Type, Adult Ed, and Trust Funds. </t>
  </si>
  <si>
    <r>
      <t>a</t>
    </r>
    <r>
      <rPr>
        <b/>
        <sz val="10"/>
        <rFont val="Arial"/>
        <family val="2"/>
      </rPr>
      <t xml:space="preserve"> School Profile Definition:</t>
    </r>
  </si>
  <si>
    <r>
      <t xml:space="preserve">Trend in Expenditures Per Pupil by Enrollment Category   -  School Profile Definition </t>
    </r>
    <r>
      <rPr>
        <b/>
        <vertAlign val="superscript"/>
        <sz val="10"/>
        <rFont val="Arial"/>
        <family val="2"/>
      </rPr>
      <t>a</t>
    </r>
  </si>
  <si>
    <t xml:space="preserve">Trend in ANB/Enrollment by Enrollment Category </t>
  </si>
  <si>
    <r>
      <t xml:space="preserve">Trend in Revenue Per Pupil by Enrollment Category   -  School Profile Definition </t>
    </r>
    <r>
      <rPr>
        <b/>
        <vertAlign val="superscript"/>
        <sz val="10"/>
        <rFont val="Arial"/>
        <family val="2"/>
      </rPr>
      <t>a</t>
    </r>
  </si>
  <si>
    <t>Revenues Per ANB FY1991</t>
  </si>
  <si>
    <t>Percent by  Revenue Type  FY1991</t>
  </si>
  <si>
    <t>Percent Spent by Function FY1992</t>
  </si>
  <si>
    <t>99/Pupil Property Tax</t>
  </si>
  <si>
    <t>02/Rev Per ANB</t>
  </si>
  <si>
    <t>01/Rev Per ANB</t>
  </si>
  <si>
    <t>91/Rev Per ANB</t>
  </si>
  <si>
    <t>92/Rev Per ANB</t>
  </si>
  <si>
    <t>93/Rev Per ANB</t>
  </si>
  <si>
    <t>94/Rev Per ANB</t>
  </si>
  <si>
    <t>95/Rev Per ANB</t>
  </si>
  <si>
    <t>97/Rev Per</t>
  </si>
  <si>
    <t>Anb</t>
  </si>
  <si>
    <t>99/Rev Per ANB</t>
  </si>
  <si>
    <t>98/Rev Per ANB</t>
  </si>
  <si>
    <t>00/Rev Per ANB</t>
  </si>
  <si>
    <t>96/Rev Per ANB</t>
  </si>
  <si>
    <t>Func Per ANB</t>
  </si>
  <si>
    <t>Obj per Anb</t>
  </si>
  <si>
    <t>Obj per</t>
  </si>
  <si>
    <t>Obj Per</t>
  </si>
  <si>
    <t xml:space="preserve"> </t>
  </si>
  <si>
    <t>Local Non-Levy</t>
  </si>
  <si>
    <t>Accounts</t>
  </si>
  <si>
    <t>2000-2999</t>
  </si>
  <si>
    <t>4000-4999</t>
  </si>
  <si>
    <t>Real and Personal Property Taxes</t>
  </si>
  <si>
    <t>County Retirement and Transportation</t>
  </si>
  <si>
    <t>Federal Revenues</t>
  </si>
  <si>
    <t>DSA, GTB,  SpEd, Trans, Career Tech Ed, G &amp; T, Driver's Ed, Technology, Flexibility, State grants, FWP In lieu of, Medicaid reim</t>
  </si>
  <si>
    <t>Expenditures by Function by Enrollment Category FY2003</t>
  </si>
  <si>
    <t>ANB03</t>
  </si>
  <si>
    <t>Expenditures Per ANB  FY2003</t>
  </si>
  <si>
    <t>03/Pupil Instruction</t>
  </si>
  <si>
    <t>03/Pupil Student Services</t>
  </si>
  <si>
    <t>03/Pupil General Admin</t>
  </si>
  <si>
    <t>03/Pupil Bldg Admin</t>
  </si>
  <si>
    <t>03/Pupil Bldg OM</t>
  </si>
  <si>
    <t>03/Pupil Transport</t>
  </si>
  <si>
    <t>03/Pupil Other</t>
  </si>
  <si>
    <t>03/Pupil Bonds/ Facilities</t>
  </si>
  <si>
    <t>03/Pupil Total</t>
  </si>
  <si>
    <t>Percent Spent by Function FY2003</t>
  </si>
  <si>
    <t>Expenditures by Object by Enrollment Category FY2003</t>
  </si>
  <si>
    <t>Expenditures Percentage to Total  FY2003</t>
  </si>
  <si>
    <t>03/Pupil Salaries &amp; Benefits</t>
  </si>
  <si>
    <t>03/Pupil Purchased Services</t>
  </si>
  <si>
    <t>03/Pupil Supplies</t>
  </si>
  <si>
    <t>03/Pupil Capital Outlay</t>
  </si>
  <si>
    <t>03/Pupil Total Expenditures</t>
  </si>
  <si>
    <t>03/Pupil Property Tax</t>
  </si>
  <si>
    <t>03/Pupil Non Levy Revenue</t>
  </si>
  <si>
    <t>03/Pupil County Revenue</t>
  </si>
  <si>
    <t>03/Pupil State Revenue</t>
  </si>
  <si>
    <t>03/Pupil Federal Revenue</t>
  </si>
  <si>
    <t>03/Pupil Total Revenue</t>
  </si>
  <si>
    <t>03/Rev Per ANB</t>
  </si>
  <si>
    <t>Revenues Per ANB FY2003</t>
  </si>
  <si>
    <t>Percent by  Revenue Type  FY2003</t>
  </si>
  <si>
    <t>Revenues By Enrollment Category FY2003</t>
  </si>
  <si>
    <t>03 ANB</t>
  </si>
  <si>
    <r>
      <t xml:space="preserve">Trend in Funding - All Funds - School Profile Definition </t>
    </r>
    <r>
      <rPr>
        <b/>
        <vertAlign val="superscript"/>
        <sz val="8"/>
        <rFont val="Arial"/>
        <family val="2"/>
      </rPr>
      <t>a</t>
    </r>
  </si>
  <si>
    <r>
      <t>a</t>
    </r>
    <r>
      <rPr>
        <b/>
        <sz val="8"/>
        <rFont val="Arial"/>
        <family val="2"/>
      </rPr>
      <t xml:space="preserve"> School Profile Definition:</t>
    </r>
  </si>
  <si>
    <t>Expenditures by Object by Enrollment Category FY2004</t>
  </si>
  <si>
    <t>ANB04</t>
  </si>
  <si>
    <t>Expenditures Per ANB  FY2004</t>
  </si>
  <si>
    <t>04/Pupil Instruction</t>
  </si>
  <si>
    <t>04/Pupil Student Services</t>
  </si>
  <si>
    <t>04/Pupil General Admin</t>
  </si>
  <si>
    <t>04/Pupil Bldg Admin</t>
  </si>
  <si>
    <t>04/Pupil Bldg OM</t>
  </si>
  <si>
    <t>04/Pupil Transport</t>
  </si>
  <si>
    <t>04/Pupil Other</t>
  </si>
  <si>
    <t>04/Pupil Bonds/ Facilities</t>
  </si>
  <si>
    <t>04/Pupil Total</t>
  </si>
  <si>
    <t>Percent Spent by Function FY2004</t>
  </si>
  <si>
    <t>Expenditures by Function by Enrollment Category FY2004</t>
  </si>
  <si>
    <t>04/Pupil Salaries &amp; Benefits</t>
  </si>
  <si>
    <t>04/Pupil Purchased Services</t>
  </si>
  <si>
    <t>04/Pupil Supplies</t>
  </si>
  <si>
    <t>04/Pupil Capital Outlay</t>
  </si>
  <si>
    <t>04/Pupil Total Expenditures</t>
  </si>
  <si>
    <t>Expenditures Percentage to Total  FY2004</t>
  </si>
  <si>
    <t>Percentage Increase</t>
  </si>
  <si>
    <t>Revenues By Enrollment Category FY2004</t>
  </si>
  <si>
    <t>04/Pupil Property Tax</t>
  </si>
  <si>
    <t>04/Pupil Non Levy Revenue</t>
  </si>
  <si>
    <t>04/Pupil County Revenue</t>
  </si>
  <si>
    <t>04/Pupil State Revenue</t>
  </si>
  <si>
    <t>04/Pupil Federal Revenue</t>
  </si>
  <si>
    <t>04/Pupil Total Revenue</t>
  </si>
  <si>
    <t>04/Rev Per ANB</t>
  </si>
  <si>
    <t>Percent by  Revenue Type  FY2004</t>
  </si>
  <si>
    <t>Revenues Per ANB FY2004</t>
  </si>
  <si>
    <t>04 ANB</t>
  </si>
  <si>
    <t>Expenditures by Object by Enrollment Category FY2005</t>
  </si>
  <si>
    <t>ANB05</t>
  </si>
  <si>
    <t>Expenditures Per ANB  FY2005</t>
  </si>
  <si>
    <t>05/Pupil Salaries &amp; Benefits</t>
  </si>
  <si>
    <t>05/Pupil Purchased Services</t>
  </si>
  <si>
    <t>05/Pupil Supplies</t>
  </si>
  <si>
    <t>05/Pupil Capital Outlay</t>
  </si>
  <si>
    <t>05/Pupil Other</t>
  </si>
  <si>
    <t>05/Pupil Total Expenditures</t>
  </si>
  <si>
    <t>Expenditures by Function by Enrollment Category FY2005</t>
  </si>
  <si>
    <t>05/Pupil Instruction</t>
  </si>
  <si>
    <t>05/Pupil Student Services</t>
  </si>
  <si>
    <t>05/Pupil General Admin</t>
  </si>
  <si>
    <t>05/Pupil Bldg Admin</t>
  </si>
  <si>
    <t>05/Pupil Bldg OM</t>
  </si>
  <si>
    <t>05/Pupil Transport</t>
  </si>
  <si>
    <t>05/Pupil Bonds/ Facilities</t>
  </si>
  <si>
    <t>05/Pupil Total</t>
  </si>
  <si>
    <t>Revenues By Enrollment Category FY2005</t>
  </si>
  <si>
    <t>05/Pupil Property Tax</t>
  </si>
  <si>
    <t>05/Pupil Non Levy Revenue</t>
  </si>
  <si>
    <t>05/Pupil County Revenue</t>
  </si>
  <si>
    <t>05/Pupil State Revenue</t>
  </si>
  <si>
    <t>05/Pupil Federal Revenue</t>
  </si>
  <si>
    <t>05/Pupil Total Revenue</t>
  </si>
  <si>
    <t>05/Rev Per ANB</t>
  </si>
  <si>
    <t>05 ANB</t>
  </si>
  <si>
    <t>Exp Per ANB</t>
  </si>
  <si>
    <t>Percent by  Revenue Type  FY2005</t>
  </si>
  <si>
    <t>Revenues Per ANB FY2005</t>
  </si>
  <si>
    <t xml:space="preserve">3. The data is collected and reviewed by OPI’s School Budgeting and Accounting unit.   </t>
  </si>
  <si>
    <t>4. To be able to answer the question of  “What are the total (financial) resources allocated to K-12 public school education?”, we determined to include all expenditures in all funds, except those expenditures which would appear as “double counting” or are not connected to the services provided by the school district or cooperative (student extracurricular activities).</t>
  </si>
  <si>
    <t xml:space="preserve">Current expenditures:      </t>
  </si>
  <si>
    <t>Montana School Profile Definitions - Revenues and Expenditures Per ANB</t>
  </si>
  <si>
    <t xml:space="preserve">Function and Object Definitions: </t>
  </si>
  <si>
    <t>Long-Term Expenditures:</t>
  </si>
  <si>
    <t>3000-3399 or 3600-3999</t>
  </si>
  <si>
    <t>MV Fees, Corp Lic, Aeronatics Fee, HB 20 SB417, SB184, HB124, Combined Block Grant, LGST, MT Oil And Gas</t>
  </si>
  <si>
    <t xml:space="preserve">2. The revenue and expenditure data is collected from every school district and special education cooperative on an annual basis.  OPI staff conduct a series of edit checks via MAEFAIRS and through desk reviews and follow-up contacts with school districts.  </t>
  </si>
  <si>
    <t>Expenditures by Object by Enrollment Category FY2006</t>
  </si>
  <si>
    <t>Expenditures Percentage to Total  FY2006</t>
  </si>
  <si>
    <t>06/Pupil Salaries &amp; Benefits</t>
  </si>
  <si>
    <t>06/Pupil Purchased Services</t>
  </si>
  <si>
    <t>06/Pupil Supplies</t>
  </si>
  <si>
    <t>06/Pupil Capital Outlay</t>
  </si>
  <si>
    <t>06/Pupil Total Expenditures</t>
  </si>
  <si>
    <t>Revenues By Enrollment Category FY2007</t>
  </si>
  <si>
    <t>07/Pupil Property Tax</t>
  </si>
  <si>
    <t>07/Pupil Non Levy Revenue</t>
  </si>
  <si>
    <t>07/Pupil County Revenue</t>
  </si>
  <si>
    <t>07/Pupil State Revenue</t>
  </si>
  <si>
    <t>07/Pupil Federal Revenue</t>
  </si>
  <si>
    <t>07/Pupil Total Revenue</t>
  </si>
  <si>
    <t>07/Rev Per ANB</t>
  </si>
  <si>
    <t>ANB07</t>
  </si>
  <si>
    <t>Expenditures by Object by Enrollment Category FY2008</t>
  </si>
  <si>
    <t>08/Pupil Salaries &amp; Benefits</t>
  </si>
  <si>
    <t>08/Pupil Purchased Services</t>
  </si>
  <si>
    <t>08/Pupil Supplies</t>
  </si>
  <si>
    <t>08/Pupil Capital Outlay</t>
  </si>
  <si>
    <t>08/Pupil Other</t>
  </si>
  <si>
    <t>08/Pupil Total Expenditures</t>
  </si>
  <si>
    <t>Expenditures Percentage to Total  FY2008</t>
  </si>
  <si>
    <t>Expenditures Per ANB  FY2008</t>
  </si>
  <si>
    <t>ANB08</t>
  </si>
  <si>
    <t>Expenditures by Function by Enrollment Category FY2008</t>
  </si>
  <si>
    <t>08/Pupil Instruction</t>
  </si>
  <si>
    <t>08/Pupil Student Services</t>
  </si>
  <si>
    <t>08/Pupil General Admin</t>
  </si>
  <si>
    <t>08/Pupil Bldg Admin</t>
  </si>
  <si>
    <t>08/Pupil Bldg OM</t>
  </si>
  <si>
    <t>08/Pupil Transport</t>
  </si>
  <si>
    <t>08/Pupil Bonds/ Facilities</t>
  </si>
  <si>
    <t>08/Pupil Total</t>
  </si>
  <si>
    <t>08/Pupil Property Tax</t>
  </si>
  <si>
    <t>08/Pupil Non Levy Revenue</t>
  </si>
  <si>
    <t>08/Pupil County Revenue</t>
  </si>
  <si>
    <t>08/Pupil State Revenue</t>
  </si>
  <si>
    <t>08/Pupil Federal Revenue</t>
  </si>
  <si>
    <t>08/Pupil Total Revenue</t>
  </si>
  <si>
    <t>08/Rev Per ANB</t>
  </si>
  <si>
    <t>Percent Spent by Function FY2008</t>
  </si>
  <si>
    <t>Percent by  Revenue Type  FY2008</t>
  </si>
  <si>
    <t>Revenues Per ANB FY2008</t>
  </si>
  <si>
    <t>Revenues By Enrollment Category FY2008</t>
  </si>
  <si>
    <t>Expenditures by Function by Enrollment Category FY2009</t>
  </si>
  <si>
    <t>09/Pupil Instruction</t>
  </si>
  <si>
    <t>09/Pupil Student Services</t>
  </si>
  <si>
    <t>09/Pupil General Admin</t>
  </si>
  <si>
    <t>09/Pupil Bldg Admin</t>
  </si>
  <si>
    <t>09/Pupil Bldg OM</t>
  </si>
  <si>
    <t>09/Pupil Transport</t>
  </si>
  <si>
    <t>09/Pupil Other</t>
  </si>
  <si>
    <t>09/Pupil Bonds/ Facilities</t>
  </si>
  <si>
    <t>09/Pupil Total</t>
  </si>
  <si>
    <t>ANB09</t>
  </si>
  <si>
    <t>Percent Spent by Function FY2009</t>
  </si>
  <si>
    <t>Expenditures Per ANB  FY2009</t>
  </si>
  <si>
    <t>ARRA - IDEA, Part B</t>
  </si>
  <si>
    <t>ARRA - IDEA Preschool</t>
  </si>
  <si>
    <t>ARRA - Title I, Part A</t>
  </si>
  <si>
    <t>ARRA - Impact Aid, Formula Construction</t>
  </si>
  <si>
    <t>ARRA - School Nutrition Equipment Assistance</t>
  </si>
  <si>
    <t>5. The data set that we extracted is expenditures reported by school districts and special education cooperatives for the budgeted and non-budgeted funds, excluding the adult education fund, internal services funds, the building fund, the student extracurricular activities fund, and all fiduciary funds (with the exception of the Interlocal Agreement Fund, which is included in the data set.)  The set reflects total expenditures by districts and cooperatives for K-12 educational services.</t>
  </si>
  <si>
    <t>6. Funds Included:  General Fund (01), Transportation (10), Bus Depreciation (11), Food Services (12), Tuition (13), Retirement (14), Miscellaneous Programs (15), Traffic Education (18), Non-operating (19), Lease-Rental Agreement (20), Compensated Absence Fund (21), Metal Mines Tax Reserve (24), State Mining Impact (25), Impact Aid (26), Litigation Reserve (27), Technology Acquisition (28), Flexibility Fund (29),  Debt Service(50), Building Reserve (61), Interlocal Agreement (82).</t>
  </si>
  <si>
    <t>8. In addition to defining the set of funds to be included in the data set, we also discussed the exclusion of certain expenditure categories and transfers, again, to avoid “double counting.”  Transfers are excluded because they represent the movement of monies from one fund to another or from one district to another, but do not represent the purchase of goods and services.  The expenditures for goods and services, which are purchased with the transferred funds, are shown as separate transactions and are included in the data set.  The excluded expenditure categories are Tuition to Other School Districts Within the State (Object Code 561), Refunding Bonds (Revenue Source 5120 and Function 6300), Operating Transfers to Other Funds (910), Resources Transferred to Other School Districts or Cooperatives (920 and 930), and Residual Equity Transfers Out (971).</t>
  </si>
  <si>
    <t>10. This data set differs from the data set included for the Common Core of Data (CCD) in that CCD includes the following funds in its definition of current expenditures: Day Care/Pre-school (70), Industrial Arts (71), Enterprise-Miscellaneous (72), Endowment (81), Student Extracurricular Activities (84), and  Miscellaneous Trust Fund (85).  CCD also includes the Building Fund (60) in its definition of Facilities Acquisition.</t>
  </si>
  <si>
    <t>11. The expenditures per ANB presented in this summary are the total of current per-pupil spending and long-term per-pupil spending.  Current and long-term expenditures are expressed in terms of expenditure function and object codes as defined below:</t>
  </si>
  <si>
    <t xml:space="preserve">Fund                                                 </t>
  </si>
  <si>
    <t xml:space="preserve">Include Function </t>
  </si>
  <si>
    <t xml:space="preserve"> Include All Objects Except </t>
  </si>
  <si>
    <t xml:space="preserve">01  General Fund                   </t>
  </si>
  <si>
    <t>1XXX, 2XXX, 3XXX, 9XXX</t>
  </si>
  <si>
    <t>7XX, 9XX</t>
  </si>
  <si>
    <t>10  Transportation</t>
  </si>
  <si>
    <t xml:space="preserve">11  Bus Depreciation                        </t>
  </si>
  <si>
    <t>N/A</t>
  </si>
  <si>
    <t>12  Lunch</t>
  </si>
  <si>
    <t>13  Tuition</t>
  </si>
  <si>
    <t>14  Retirement</t>
  </si>
  <si>
    <t>18  Traffic Education</t>
  </si>
  <si>
    <t>19  Non-operating</t>
  </si>
  <si>
    <t>20  Lease Rental</t>
  </si>
  <si>
    <t>21  Comp Absences</t>
  </si>
  <si>
    <t>24  Metal Mines Tax Res</t>
  </si>
  <si>
    <t>25  Mining Impact</t>
  </si>
  <si>
    <t>26  Impact Aid</t>
  </si>
  <si>
    <t>27  Litigation Reserve</t>
  </si>
  <si>
    <t>28  Technology Fund</t>
  </si>
  <si>
    <t>29  Flexibility Fund</t>
  </si>
  <si>
    <t>50  Debt Service</t>
  </si>
  <si>
    <t>82 Interlocal Agmt</t>
  </si>
  <si>
    <t xml:space="preserve">Fund                                             </t>
  </si>
  <si>
    <t xml:space="preserve">Function </t>
  </si>
  <si>
    <t xml:space="preserve">01  General Fund                     </t>
  </si>
  <si>
    <t>4XXX, 5XXX</t>
  </si>
  <si>
    <t>7XX, 830, 840, 850, 860</t>
  </si>
  <si>
    <t xml:space="preserve">10  Transportation                  </t>
  </si>
  <si>
    <t xml:space="preserve">4XXX, 5XXX </t>
  </si>
  <si>
    <t>27XX, 5XXX</t>
  </si>
  <si>
    <t xml:space="preserve">12  Lunch Fund                   </t>
  </si>
  <si>
    <t>14 Retirement</t>
  </si>
  <si>
    <t xml:space="preserve">21 Comp Absences </t>
  </si>
  <si>
    <t>24 Metal Mines</t>
  </si>
  <si>
    <t>25 Mining Impact</t>
  </si>
  <si>
    <t>26 Impact Aid</t>
  </si>
  <si>
    <t>27 Litigation Reserve</t>
  </si>
  <si>
    <t>28 Technology Fund</t>
  </si>
  <si>
    <t>29 Flexibility Fund</t>
  </si>
  <si>
    <t>5XXX</t>
  </si>
  <si>
    <t>82  Interlocal Agmt</t>
  </si>
  <si>
    <t>Function  1XXX</t>
  </si>
  <si>
    <t>Function  2XXX</t>
  </si>
  <si>
    <t>Function  3XXX</t>
  </si>
  <si>
    <t>Function  4XXX</t>
  </si>
  <si>
    <t>Function  5XXX</t>
  </si>
  <si>
    <t>Debt Service</t>
  </si>
  <si>
    <t>Function  9XXX</t>
  </si>
  <si>
    <t>Object  1XX</t>
  </si>
  <si>
    <t>Salaries</t>
  </si>
  <si>
    <t>Object  2XX</t>
  </si>
  <si>
    <t>Employee Benefits</t>
  </si>
  <si>
    <t>Object  3XX</t>
  </si>
  <si>
    <t>Purchase Professional and Technical Services</t>
  </si>
  <si>
    <t>Object  4XX</t>
  </si>
  <si>
    <t>Purchased Property Services</t>
  </si>
  <si>
    <t>Object  5XX</t>
  </si>
  <si>
    <t>Other Purchased Services</t>
  </si>
  <si>
    <t>Object  6XX</t>
  </si>
  <si>
    <t>Supplies, Textbooks, and Materials</t>
  </si>
  <si>
    <t>Object  7XX</t>
  </si>
  <si>
    <t>Property and Equipment Acquisition</t>
  </si>
  <si>
    <t>Object  8XX</t>
  </si>
  <si>
    <t>Other Expenditures</t>
  </si>
  <si>
    <t>Object  830</t>
  </si>
  <si>
    <t>Special Assessments</t>
  </si>
  <si>
    <t>Object  840</t>
  </si>
  <si>
    <t>Principal on Debt</t>
  </si>
  <si>
    <t>Object  850</t>
  </si>
  <si>
    <t>Interest on Debt</t>
  </si>
  <si>
    <t>Object  860</t>
  </si>
  <si>
    <t>Agent Fees</t>
  </si>
  <si>
    <t>Object  9XX</t>
  </si>
  <si>
    <t>Transfers</t>
  </si>
  <si>
    <t xml:space="preserve"> School Profile Definition for Expenditure Per ANB</t>
  </si>
  <si>
    <t xml:space="preserve"> School Profile Definition for Revenue Per ANB</t>
  </si>
  <si>
    <t>1320</t>
  </si>
  <si>
    <t>3630</t>
  </si>
  <si>
    <t>OTO State Energy Cost Relief &amp; Transportation</t>
  </si>
  <si>
    <t>3640</t>
  </si>
  <si>
    <t>OTO Weatherization &amp; Deferred Maintenance</t>
  </si>
  <si>
    <t>3650</t>
  </si>
  <si>
    <t>OTO Indian Education for All</t>
  </si>
  <si>
    <t>3660</t>
  </si>
  <si>
    <t>OTO Capital Invest &amp;  Deferred Maintenance</t>
  </si>
  <si>
    <t>3670</t>
  </si>
  <si>
    <t>OTO Full-Time Kindergarten Start-up</t>
  </si>
  <si>
    <t>3680</t>
  </si>
  <si>
    <t>K-12 Education Data Systems</t>
  </si>
  <si>
    <t>5110</t>
  </si>
  <si>
    <t>Sale of Bonds</t>
  </si>
  <si>
    <t>5120</t>
  </si>
  <si>
    <t>Proceeds from Refunding Bonds</t>
  </si>
  <si>
    <t>5200</t>
  </si>
  <si>
    <t>Sale or Compensation for Loss of Assets</t>
  </si>
  <si>
    <t>5300</t>
  </si>
  <si>
    <t>Operating Transfers from Other Funds</t>
  </si>
  <si>
    <t>5400</t>
  </si>
  <si>
    <t>Proceeds from Long-Term Liabilities</t>
  </si>
  <si>
    <t>5700</t>
  </si>
  <si>
    <t>Resources Transferred from Other School Districts or Cooperatives</t>
  </si>
  <si>
    <t>5710</t>
  </si>
  <si>
    <t>Special Education Resources Transferred from Other School Districts or Cooperatives</t>
  </si>
  <si>
    <t>6100</t>
  </si>
  <si>
    <t>Material Prior Period Revenue Adjustments</t>
  </si>
  <si>
    <t>9710</t>
  </si>
  <si>
    <t>Residual Equity Transfers In</t>
  </si>
  <si>
    <t>Revenue Code</t>
  </si>
  <si>
    <t>Revenues Excluded</t>
  </si>
  <si>
    <t>Grouping</t>
  </si>
  <si>
    <t>1110</t>
  </si>
  <si>
    <t>District Tax Levy</t>
  </si>
  <si>
    <t>Prop Tax</t>
  </si>
  <si>
    <t>1111</t>
  </si>
  <si>
    <t>District Levy - Real Property</t>
  </si>
  <si>
    <t>1112</t>
  </si>
  <si>
    <t>District Levy - Personal Property</t>
  </si>
  <si>
    <t>1113</t>
  </si>
  <si>
    <t>District Levy - Heavy Motor Vehicles</t>
  </si>
  <si>
    <t>1114</t>
  </si>
  <si>
    <t>1116</t>
  </si>
  <si>
    <t>District Levy - Net and Gross Proceeds</t>
  </si>
  <si>
    <t>1117</t>
  </si>
  <si>
    <t>1118</t>
  </si>
  <si>
    <t>1123</t>
  </si>
  <si>
    <t>Coal Gross Proceeds</t>
  </si>
  <si>
    <t>NLR</t>
  </si>
  <si>
    <t>1130</t>
  </si>
  <si>
    <t>Tax Title and Property Sales</t>
  </si>
  <si>
    <t>1190</t>
  </si>
  <si>
    <t>Penalties and Interest on Taxes</t>
  </si>
  <si>
    <t>1310</t>
  </si>
  <si>
    <t>Individual Tuition</t>
  </si>
  <si>
    <t>1311</t>
  </si>
  <si>
    <t>Driver's Education Fees</t>
  </si>
  <si>
    <t>1330</t>
  </si>
  <si>
    <t>1410</t>
  </si>
  <si>
    <t>Individual Transportation Fees</t>
  </si>
  <si>
    <t>1420</t>
  </si>
  <si>
    <t>1440</t>
  </si>
  <si>
    <t>Other Transportation Fees</t>
  </si>
  <si>
    <t>1510</t>
  </si>
  <si>
    <t>Interest Earnings</t>
  </si>
  <si>
    <t>1520</t>
  </si>
  <si>
    <t>Dividends on Investments</t>
  </si>
  <si>
    <t>1530</t>
  </si>
  <si>
    <t>Net Increase (Decrease) in the Fair Value of Investments</t>
  </si>
  <si>
    <t>1611</t>
  </si>
  <si>
    <t>National School Lunch Program</t>
  </si>
  <si>
    <t>1612</t>
  </si>
  <si>
    <t>School Breakfast Program</t>
  </si>
  <si>
    <t>1613</t>
  </si>
  <si>
    <t>Special Milk Program</t>
  </si>
  <si>
    <t>1621</t>
  </si>
  <si>
    <t>Lunch Sales</t>
  </si>
  <si>
    <t>1622</t>
  </si>
  <si>
    <t>Breakfast Sales</t>
  </si>
  <si>
    <t>1623</t>
  </si>
  <si>
    <t>Milk Sales</t>
  </si>
  <si>
    <t>1630</t>
  </si>
  <si>
    <t>Catering Sales</t>
  </si>
  <si>
    <t>1632</t>
  </si>
  <si>
    <t>Daily Adult Sales</t>
  </si>
  <si>
    <t>1634</t>
  </si>
  <si>
    <t>Daily Ala Carte Sales</t>
  </si>
  <si>
    <t>1636</t>
  </si>
  <si>
    <t>Summer Program - Adult Sales</t>
  </si>
  <si>
    <t>1700</t>
  </si>
  <si>
    <t>Student Extracurricular Activity Receipts</t>
  </si>
  <si>
    <t>1800</t>
  </si>
  <si>
    <t>Revenue from Community Services Activities</t>
  </si>
  <si>
    <t>1900</t>
  </si>
  <si>
    <t>Other Revenue from Local Sources</t>
  </si>
  <si>
    <t>1910</t>
  </si>
  <si>
    <t>Rentals</t>
  </si>
  <si>
    <t>1912</t>
  </si>
  <si>
    <t>Private Insurance - Physical Therapy</t>
  </si>
  <si>
    <t>1914</t>
  </si>
  <si>
    <t>Private Insurance - Speech Therapy</t>
  </si>
  <si>
    <t>1915</t>
  </si>
  <si>
    <t>Dormitory Charges</t>
  </si>
  <si>
    <t>1920</t>
  </si>
  <si>
    <t>Contributions/Donations from Private Sources</t>
  </si>
  <si>
    <t>1940</t>
  </si>
  <si>
    <t>Textbook Sales and Rentals</t>
  </si>
  <si>
    <t>1945</t>
  </si>
  <si>
    <t>Fees - Users/Resale of Supplies</t>
  </si>
  <si>
    <t>1950</t>
  </si>
  <si>
    <t>Services Provided Other School Districts or Coops</t>
  </si>
  <si>
    <t>1960</t>
  </si>
  <si>
    <t>1970</t>
  </si>
  <si>
    <t>Services Provided Other Funds</t>
  </si>
  <si>
    <t>1981</t>
  </si>
  <si>
    <t>Summer School Fees</t>
  </si>
  <si>
    <t>1982</t>
  </si>
  <si>
    <t>Summer Session - Driver's Education Fees</t>
  </si>
  <si>
    <t>2114</t>
  </si>
  <si>
    <t>County Metal Mines License Taxes</t>
  </si>
  <si>
    <t>2115</t>
  </si>
  <si>
    <t>County Hard Rock Mining Impact Trust Reserve Proceeds</t>
  </si>
  <si>
    <t>2220</t>
  </si>
  <si>
    <t>2240</t>
  </si>
  <si>
    <t>County Retirement Distribution</t>
  </si>
  <si>
    <t>3110</t>
  </si>
  <si>
    <t>Direct State Aid</t>
  </si>
  <si>
    <t>3111</t>
  </si>
  <si>
    <t>Quality Educator</t>
  </si>
  <si>
    <t>3112</t>
  </si>
  <si>
    <t>At Risk Student</t>
  </si>
  <si>
    <t>3113</t>
  </si>
  <si>
    <t>Indian Education For All</t>
  </si>
  <si>
    <t>3114</t>
  </si>
  <si>
    <t>American Indian Achievement Gap</t>
  </si>
  <si>
    <t>3115</t>
  </si>
  <si>
    <t>3117</t>
  </si>
  <si>
    <t>State Tuition for State Placement</t>
  </si>
  <si>
    <t>3120</t>
  </si>
  <si>
    <t>State Guaranteed Tax Base Aid</t>
  </si>
  <si>
    <t>3210</t>
  </si>
  <si>
    <t>3220</t>
  </si>
  <si>
    <t>State Food Services Match</t>
  </si>
  <si>
    <t>3235</t>
  </si>
  <si>
    <t>State Audiology Contracts</t>
  </si>
  <si>
    <t>3260</t>
  </si>
  <si>
    <t>State Driver's Education Reimbursement</t>
  </si>
  <si>
    <t>3270</t>
  </si>
  <si>
    <t>State - Advancing Agriculture Education</t>
  </si>
  <si>
    <t>3281</t>
  </si>
  <si>
    <t>State Technology Aid</t>
  </si>
  <si>
    <t>3290</t>
  </si>
  <si>
    <t>State - Other State Grants</t>
  </si>
  <si>
    <t>3302</t>
  </si>
  <si>
    <t>State Payment in Lieu of Taxes - FWP</t>
  </si>
  <si>
    <t>3340</t>
  </si>
  <si>
    <t>State Coal Board Grants</t>
  </si>
  <si>
    <t>3351</t>
  </si>
  <si>
    <t>Medicaid - Audiological</t>
  </si>
  <si>
    <t>3352</t>
  </si>
  <si>
    <t>Medicaid - Physical Therapy</t>
  </si>
  <si>
    <t>3353</t>
  </si>
  <si>
    <t>Medicaid - Occupational Therapy</t>
  </si>
  <si>
    <t>3354</t>
  </si>
  <si>
    <t>Medicaid - Speech Therapy</t>
  </si>
  <si>
    <t>3355</t>
  </si>
  <si>
    <t>Medicaid - Miscellaneous</t>
  </si>
  <si>
    <t>3356</t>
  </si>
  <si>
    <t>Medicaid Comprehensive School &amp; Community Treatment Services (CSCT)</t>
  </si>
  <si>
    <t>3357</t>
  </si>
  <si>
    <t>Montana Administrative Claiming Reimbursement</t>
  </si>
  <si>
    <t>3358</t>
  </si>
  <si>
    <t>Medicaid Paraprofessionals</t>
  </si>
  <si>
    <t>3444</t>
  </si>
  <si>
    <t>State School Block Grant</t>
  </si>
  <si>
    <t>3445</t>
  </si>
  <si>
    <t>State Combined Fund School Block Grant</t>
  </si>
  <si>
    <t>3460</t>
  </si>
  <si>
    <t>Montana Oil and Gas Tax</t>
  </si>
  <si>
    <t>3470</t>
  </si>
  <si>
    <t>Montana Bentonite Tax</t>
  </si>
  <si>
    <t>3600</t>
  </si>
  <si>
    <t>State Gifted &amp; Talented Reimbursement</t>
  </si>
  <si>
    <t>3610</t>
  </si>
  <si>
    <t>Services for Significant Needs Students</t>
  </si>
  <si>
    <t>3620</t>
  </si>
  <si>
    <t>State Adult Basic &amp; Literacy Education</t>
  </si>
  <si>
    <t>3730</t>
  </si>
  <si>
    <t>HB645 State Special Education Allowable Costs</t>
  </si>
  <si>
    <t>3900</t>
  </si>
  <si>
    <t>State Career &amp; Technical Ed Entitlement</t>
  </si>
  <si>
    <t>4100</t>
  </si>
  <si>
    <t>Federal Miscellaneous Grants - Direct from Feds</t>
  </si>
  <si>
    <t>4110</t>
  </si>
  <si>
    <t>Head Start</t>
  </si>
  <si>
    <t>4120</t>
  </si>
  <si>
    <t>Title VI, Part B, Subpart 1, Small Rural Schools (SRS)</t>
  </si>
  <si>
    <t>4130</t>
  </si>
  <si>
    <t>Title VII Indian Education</t>
  </si>
  <si>
    <t>4140</t>
  </si>
  <si>
    <t>Federal Johnson O'Malley (JOM)</t>
  </si>
  <si>
    <t>4200</t>
  </si>
  <si>
    <t>Title I, Part A, Improving Basic Programs</t>
  </si>
  <si>
    <t>4210</t>
  </si>
  <si>
    <t>Title I, Part A, Accountability</t>
  </si>
  <si>
    <t>4220</t>
  </si>
  <si>
    <t>Title I, Part A, Improvement Grants</t>
  </si>
  <si>
    <t>4230</t>
  </si>
  <si>
    <t>4240</t>
  </si>
  <si>
    <t>Title I, Part B, Subpart 3, Even Start</t>
  </si>
  <si>
    <t>4250</t>
  </si>
  <si>
    <t>Title I, Part C, Migrant Education</t>
  </si>
  <si>
    <t>4270</t>
  </si>
  <si>
    <t>Title I, Part D, Neglected, Delinquent &amp; At-Risk Youth</t>
  </si>
  <si>
    <t>4280</t>
  </si>
  <si>
    <t>Title I, Part F, Comprehensive School Reform</t>
  </si>
  <si>
    <t>4290</t>
  </si>
  <si>
    <t>Title I, Part G, Advanced Placement</t>
  </si>
  <si>
    <t>4300</t>
  </si>
  <si>
    <t>Title II, Part A, Teacher &amp; Principal Training &amp; Recruiting Fund</t>
  </si>
  <si>
    <t>4310</t>
  </si>
  <si>
    <t>Title II, Part D, Educational Technology</t>
  </si>
  <si>
    <t>4320</t>
  </si>
  <si>
    <t>Title III, Part A, English Language Acquisition &amp; Language Enhancement</t>
  </si>
  <si>
    <t>4330</t>
  </si>
  <si>
    <t>Title IV, Part A, Safe &amp; Drug-Free Schools &amp; Communities</t>
  </si>
  <si>
    <t>4340</t>
  </si>
  <si>
    <t>Title IV, Part B, 21st Century Community Learning Centers</t>
  </si>
  <si>
    <t>4350</t>
  </si>
  <si>
    <t>Title V, Part A, Innovative Programs</t>
  </si>
  <si>
    <t>4360</t>
  </si>
  <si>
    <t>Title V, Part D, Subpart 3, Character Education</t>
  </si>
  <si>
    <t>4370</t>
  </si>
  <si>
    <t>Title VI, Part B, Subpart 2, Rural Low-Income Schools (RLI)</t>
  </si>
  <si>
    <t>4380</t>
  </si>
  <si>
    <t>Title X, Part C, Education of Homeless Children &amp; Youth</t>
  </si>
  <si>
    <t>4390</t>
  </si>
  <si>
    <t>Title I, Part G, School Improvement</t>
  </si>
  <si>
    <t>4510</t>
  </si>
  <si>
    <t>Carl Perkins (Federal Vo-Ed) - Basic Grant</t>
  </si>
  <si>
    <t>4520</t>
  </si>
  <si>
    <t>Carl Perkins (Federal Vo-Ed) - Competitive</t>
  </si>
  <si>
    <t>4530</t>
  </si>
  <si>
    <t>Adult Basic Education TANF</t>
  </si>
  <si>
    <t>4540</t>
  </si>
  <si>
    <t>Adult Basic &amp; Literacy Education (ABLE)</t>
  </si>
  <si>
    <t>4550</t>
  </si>
  <si>
    <t>Federal Child Nutrition</t>
  </si>
  <si>
    <t>4552</t>
  </si>
  <si>
    <t>Fresh Fruit And Vegetable</t>
  </si>
  <si>
    <t>4555</t>
  </si>
  <si>
    <t>School Foods Summer Program - 10.559</t>
  </si>
  <si>
    <t>4560</t>
  </si>
  <si>
    <t>IDEA, Part B, Children with Disabilities</t>
  </si>
  <si>
    <t>4570</t>
  </si>
  <si>
    <t>IDEA Preschool</t>
  </si>
  <si>
    <t>4580</t>
  </si>
  <si>
    <t>IDEA, Part D, State Program Improvement</t>
  </si>
  <si>
    <t>4650</t>
  </si>
  <si>
    <t>Federal Miscellaneous Grants from OPI</t>
  </si>
  <si>
    <t>4700</t>
  </si>
  <si>
    <t>Federal Miscellaneous Grants from other State Agencies</t>
  </si>
  <si>
    <t>4710</t>
  </si>
  <si>
    <t>GEAR UP</t>
  </si>
  <si>
    <t>4720</t>
  </si>
  <si>
    <t>Carl Perkins (Federal Vo-Ed) - Tech Prep</t>
  </si>
  <si>
    <t>4730</t>
  </si>
  <si>
    <t>Public Health Emergency Preparedness</t>
  </si>
  <si>
    <t>4800</t>
  </si>
  <si>
    <t>Federal Revenue in Lieu of Taxes</t>
  </si>
  <si>
    <t>4820</t>
  </si>
  <si>
    <t>Federal Impact Aid - Title VIII</t>
  </si>
  <si>
    <t>4821</t>
  </si>
  <si>
    <t>Impact Aid Discretionary Construction</t>
  </si>
  <si>
    <t>4930</t>
  </si>
  <si>
    <t>Federal Indirect Cost Recoveries/Aggregate of Reimbursements</t>
  </si>
  <si>
    <t>4940</t>
  </si>
  <si>
    <t>Schoolwide Program</t>
  </si>
  <si>
    <t>7500</t>
  </si>
  <si>
    <t>7510</t>
  </si>
  <si>
    <t>7520</t>
  </si>
  <si>
    <t>7530</t>
  </si>
  <si>
    <t>ARRA - School Improvement 1003g</t>
  </si>
  <si>
    <t>7540</t>
  </si>
  <si>
    <t>7550</t>
  </si>
  <si>
    <t>ARRA - McKinney-Vento Homeless Children &amp; Youth</t>
  </si>
  <si>
    <t>7560</t>
  </si>
  <si>
    <t>7600</t>
  </si>
  <si>
    <t>7610</t>
  </si>
  <si>
    <t>ARRA - Impact Aid, Discretionary Construction</t>
  </si>
  <si>
    <t>7620</t>
  </si>
  <si>
    <t>7630</t>
  </si>
  <si>
    <t>ARRA - National Clean Diesel</t>
  </si>
  <si>
    <t>7640</t>
  </si>
  <si>
    <t>ARRA - TANF School Foods Summer Program</t>
  </si>
  <si>
    <t>7800</t>
  </si>
  <si>
    <t>ARRA - State Fiscal Stabilization Fund</t>
  </si>
  <si>
    <t>Revenues Included</t>
  </si>
  <si>
    <t>3720</t>
  </si>
  <si>
    <t>Quality Schools Facility Grant Program</t>
  </si>
  <si>
    <t>Quick Start Energy Grants</t>
  </si>
  <si>
    <t>3710</t>
  </si>
  <si>
    <t>Deferred Maintenance &amp; Energy Efficiency Improvements</t>
  </si>
  <si>
    <t>3700</t>
  </si>
  <si>
    <t>3233</t>
  </si>
  <si>
    <t>State Special Education - Direct Payments to Cooperatives</t>
  </si>
  <si>
    <t>3234</t>
  </si>
  <si>
    <t>Quality Educator  - Direct payment to Cooperatives</t>
  </si>
  <si>
    <t>FY10</t>
  </si>
  <si>
    <t>ANB10</t>
  </si>
  <si>
    <t>10/Pupil Property Tax</t>
  </si>
  <si>
    <t>10/Pupil Non Levy Revenue</t>
  </si>
  <si>
    <t>10/Pupil County Revenue</t>
  </si>
  <si>
    <t>10/Pupil Federal Revenue</t>
  </si>
  <si>
    <t>10/ARRA Revenue</t>
  </si>
  <si>
    <t>10/Pupil Total Revenue</t>
  </si>
  <si>
    <t>10/State Revenue NO SFSF (ARRA)</t>
  </si>
  <si>
    <t>*State Revenue includes Revenue Type 7800 ARRA - State Fiscal Stabilization Fund which is a portion of State DSA</t>
  </si>
  <si>
    <r>
      <rPr>
        <b/>
        <sz val="8"/>
        <color indexed="10"/>
        <rFont val="Arial"/>
        <family val="2"/>
      </rPr>
      <t>*</t>
    </r>
    <r>
      <rPr>
        <b/>
        <sz val="8"/>
        <rFont val="Arial"/>
        <family val="2"/>
      </rPr>
      <t>10/Pupil State Revenue</t>
    </r>
  </si>
  <si>
    <r>
      <rPr>
        <b/>
        <sz val="8"/>
        <color indexed="10"/>
        <rFont val="Arial"/>
        <family val="2"/>
      </rPr>
      <t>*</t>
    </r>
    <r>
      <rPr>
        <b/>
        <sz val="8"/>
        <rFont val="Arial"/>
        <family val="2"/>
      </rPr>
      <t>10/Rev Per ANB with ARRA</t>
    </r>
  </si>
  <si>
    <r>
      <rPr>
        <b/>
        <sz val="8"/>
        <color indexed="10"/>
        <rFont val="Arial"/>
        <family val="2"/>
      </rPr>
      <t>*</t>
    </r>
    <r>
      <rPr>
        <b/>
        <sz val="8"/>
        <rFont val="Arial"/>
        <family val="2"/>
      </rPr>
      <t>10/Rev Per ANB NO ARRA</t>
    </r>
  </si>
  <si>
    <t>10/Rev Per ANB NO ARRA or SFSF</t>
  </si>
  <si>
    <t>Total NO ARRA (7800 SFSF included in State)</t>
  </si>
  <si>
    <r>
      <rPr>
        <b/>
        <sz val="8"/>
        <color indexed="10"/>
        <rFont val="Arial"/>
        <family val="2"/>
      </rPr>
      <t>*</t>
    </r>
    <r>
      <rPr>
        <b/>
        <sz val="8"/>
        <rFont val="Arial"/>
        <family val="2"/>
      </rPr>
      <t>State</t>
    </r>
  </si>
  <si>
    <t>2010 ARRA</t>
  </si>
  <si>
    <t>2010 NO ARRA or SFSF</t>
  </si>
  <si>
    <t>See Tab Exp&amp;RevDefinition</t>
  </si>
  <si>
    <t>10/Pupil Salaries &amp; Benefits</t>
  </si>
  <si>
    <t>10/Pupil Purchased Services</t>
  </si>
  <si>
    <t>10/Pupil Supplies</t>
  </si>
  <si>
    <t>10/Pupil Capital Outlay</t>
  </si>
  <si>
    <t>10/Pupil Other</t>
  </si>
  <si>
    <t>10/Pupil Total Expenditures</t>
  </si>
  <si>
    <t>Expenditures by Object by Enrollment Category FY2010</t>
  </si>
  <si>
    <t>Expenditures Per ANB  FY2010</t>
  </si>
  <si>
    <t>Expenditures Percentage to Total  FY2010</t>
  </si>
  <si>
    <t>Expenditures by Function by Enrollment Category FY2010</t>
  </si>
  <si>
    <t>10/Pupil Instruction</t>
  </si>
  <si>
    <t>10/Pupil Student Services</t>
  </si>
  <si>
    <t>10/Pupil General Admin</t>
  </si>
  <si>
    <t>10/Pupil Bldg Admin</t>
  </si>
  <si>
    <t>10/Pupil Bldg OM</t>
  </si>
  <si>
    <t>10/Pupil Transport</t>
  </si>
  <si>
    <t>10/Pupil Bonds/ Facilities</t>
  </si>
  <si>
    <t>10/Pupil Total</t>
  </si>
  <si>
    <t>Percent Spent by Function FY2010</t>
  </si>
  <si>
    <t>2010 ARRA&amp;SFSF</t>
  </si>
  <si>
    <t>2010 NO ARRA With SFSF</t>
  </si>
  <si>
    <t>2010 NO ARRA &amp; NO SFSF</t>
  </si>
  <si>
    <t>2010 With ARRA&amp;SFSF</t>
  </si>
  <si>
    <t>2010 NO ARRA WITH SFSF</t>
  </si>
  <si>
    <t>2010 NO ARRA NO SFSF</t>
  </si>
  <si>
    <t>10 ANB</t>
  </si>
  <si>
    <t>3250</t>
  </si>
  <si>
    <t>Montana Digital Academy</t>
  </si>
  <si>
    <t>ARRA - Education Jobs Fund</t>
  </si>
  <si>
    <t>Expenditures by Object by Enrollment Category FY2011</t>
  </si>
  <si>
    <t>ANB11</t>
  </si>
  <si>
    <t>11/Pupil Salaries &amp; Benefits</t>
  </si>
  <si>
    <t>11/Pupil Purchased Services</t>
  </si>
  <si>
    <t>11/Pupil Supplies</t>
  </si>
  <si>
    <t>11/Pupil Capital Outlay</t>
  </si>
  <si>
    <t>11/Pupil Other</t>
  </si>
  <si>
    <t>11/Pupil Total Expenditures</t>
  </si>
  <si>
    <t>Expenditures Per ANB  FY2011</t>
  </si>
  <si>
    <t>Expenditures Percentage to Total  FY2011</t>
  </si>
  <si>
    <t>Expenditures by Function by Enrollment Category FY2011</t>
  </si>
  <si>
    <t>11/Pupil Instruction</t>
  </si>
  <si>
    <t>11/Pupil Student Services</t>
  </si>
  <si>
    <t>11/Pupil General Admin</t>
  </si>
  <si>
    <t>11/Pupil Bldg Admin</t>
  </si>
  <si>
    <t>11/Pupil Bldg OM</t>
  </si>
  <si>
    <t>11/Pupil Transport</t>
  </si>
  <si>
    <t>11/Pupil Bonds/ Facilities</t>
  </si>
  <si>
    <t>11/Pupil Total</t>
  </si>
  <si>
    <t>Percent Spent by Function FY2011</t>
  </si>
  <si>
    <t>FY11</t>
  </si>
  <si>
    <t>11/Pupil Property Tax</t>
  </si>
  <si>
    <t>11/Pupil Non Levy Revenue</t>
  </si>
  <si>
    <t>11/Pupil County Revenue</t>
  </si>
  <si>
    <r>
      <rPr>
        <b/>
        <sz val="8"/>
        <color indexed="10"/>
        <rFont val="Arial"/>
        <family val="2"/>
      </rPr>
      <t>*</t>
    </r>
    <r>
      <rPr>
        <b/>
        <sz val="8"/>
        <rFont val="Arial"/>
        <family val="2"/>
      </rPr>
      <t>11/Pupil State Revenue</t>
    </r>
  </si>
  <si>
    <t>11/Pupil Federal Revenue</t>
  </si>
  <si>
    <t>11/ARRA Revenue</t>
  </si>
  <si>
    <t>11/State Revenue NO SFSF (ARRA)</t>
  </si>
  <si>
    <t>11/Pupil Total Revenue</t>
  </si>
  <si>
    <t>11/Rev Per ANB NO ARRA or SFSF</t>
  </si>
  <si>
    <r>
      <rPr>
        <b/>
        <sz val="16"/>
        <color indexed="10"/>
        <rFont val="Arial"/>
        <family val="2"/>
      </rPr>
      <t>*</t>
    </r>
    <r>
      <rPr>
        <b/>
        <sz val="8"/>
        <rFont val="Arial"/>
        <family val="2"/>
      </rPr>
      <t>11/Rev Per ANB with ARRA</t>
    </r>
  </si>
  <si>
    <r>
      <rPr>
        <b/>
        <sz val="16"/>
        <color indexed="10"/>
        <rFont val="Arial"/>
        <family val="2"/>
      </rPr>
      <t>*</t>
    </r>
    <r>
      <rPr>
        <b/>
        <sz val="8"/>
        <rFont val="Arial"/>
        <family val="2"/>
      </rPr>
      <t>11/Rev Per ANB NO ARRA</t>
    </r>
  </si>
  <si>
    <r>
      <rPr>
        <sz val="16"/>
        <color indexed="10"/>
        <rFont val="Arial"/>
        <family val="2"/>
      </rPr>
      <t>*</t>
    </r>
    <r>
      <rPr>
        <sz val="8"/>
        <color indexed="10"/>
        <rFont val="Arial"/>
        <family val="2"/>
      </rPr>
      <t>State Revenue includes Revenue Types 7800, 7810 ARRA - State Fiscal Stabilization Fund which is a portion of State DSA</t>
    </r>
  </si>
  <si>
    <t>Pupil Instruction</t>
  </si>
  <si>
    <t>/Pupil</t>
  </si>
  <si>
    <t>Bonds &amp; Facilities</t>
  </si>
  <si>
    <t>School Administration</t>
  </si>
  <si>
    <t>Educating Montana's Students</t>
  </si>
  <si>
    <t xml:space="preserve">Building Operations and Maintenance </t>
  </si>
  <si>
    <t xml:space="preserve">Pupil Transportation </t>
  </si>
  <si>
    <t xml:space="preserve">General Administration </t>
  </si>
  <si>
    <t>A</t>
  </si>
  <si>
    <t>Investment</t>
  </si>
  <si>
    <t>2011 ARRA&amp;SFSF</t>
  </si>
  <si>
    <t>2011 NO ARRA With SFSF</t>
  </si>
  <si>
    <t>2011 NO ARRA &amp; NO SFSF</t>
  </si>
  <si>
    <t>2011 With ARRA&amp;SFSF</t>
  </si>
  <si>
    <t>2011 NO ARRA WITH SFSF</t>
  </si>
  <si>
    <t>2011 NO ARRA NO SFSF</t>
  </si>
  <si>
    <r>
      <rPr>
        <b/>
        <sz val="16"/>
        <color indexed="10"/>
        <rFont val="Arial"/>
        <family val="2"/>
      </rPr>
      <t>*</t>
    </r>
    <r>
      <rPr>
        <b/>
        <sz val="10"/>
        <rFont val="Arial"/>
        <family val="2"/>
      </rPr>
      <t>2010NO ARRA</t>
    </r>
  </si>
  <si>
    <r>
      <rPr>
        <sz val="16"/>
        <color indexed="10"/>
        <rFont val="Arial"/>
        <family val="2"/>
      </rPr>
      <t>*</t>
    </r>
    <r>
      <rPr>
        <sz val="8"/>
        <color indexed="10"/>
        <rFont val="Arial"/>
        <family val="2"/>
      </rPr>
      <t>State Revenue includes Revenue Type 7800 ARRA - State Fiscal Stabilization Fund which is a portion of State DSA</t>
    </r>
  </si>
  <si>
    <t>2011 ARRA</t>
  </si>
  <si>
    <r>
      <rPr>
        <b/>
        <sz val="16"/>
        <color indexed="10"/>
        <rFont val="Arial"/>
        <family val="2"/>
      </rPr>
      <t>*</t>
    </r>
    <r>
      <rPr>
        <b/>
        <sz val="10"/>
        <rFont val="Arial"/>
        <family val="2"/>
      </rPr>
      <t>2011NO ARRA</t>
    </r>
  </si>
  <si>
    <t>2011 NO ARRA or SFSF</t>
  </si>
  <si>
    <t>11 ANB</t>
  </si>
  <si>
    <t>1000-1118</t>
  </si>
  <si>
    <t>1119-1999 and 3400-3599</t>
  </si>
  <si>
    <t>ANB12</t>
  </si>
  <si>
    <t>12/Pupil Instruction</t>
  </si>
  <si>
    <t>12/Pupil Student Services</t>
  </si>
  <si>
    <t>12/Pupil General Admin</t>
  </si>
  <si>
    <t>12/Pupil Bldg Admin</t>
  </si>
  <si>
    <t>12/Pupil Bldg OM</t>
  </si>
  <si>
    <t>12/Pupil Transport</t>
  </si>
  <si>
    <t>12/Pupil Other</t>
  </si>
  <si>
    <t>12/Pupil Bonds/ Facilities</t>
  </si>
  <si>
    <t>12/Pupil Total</t>
  </si>
  <si>
    <t>Expenditures by Function by Enrollment Category FY2012</t>
  </si>
  <si>
    <t>Expenditures Per ANB  FY2012</t>
  </si>
  <si>
    <t>Percent Spent by Function FY2012</t>
  </si>
  <si>
    <t>Expenditures by Object by Enrollment Category FY2012</t>
  </si>
  <si>
    <t>12/Pupil Salaries &amp; Benefits</t>
  </si>
  <si>
    <t>12/Pupil Purchased Services</t>
  </si>
  <si>
    <t>12/Pupil Supplies</t>
  </si>
  <si>
    <t>12/Pupil Capital Outlay</t>
  </si>
  <si>
    <t>12/Pupil Total Expenditures</t>
  </si>
  <si>
    <t>Expenditures Percentage to Total  FY2012</t>
  </si>
  <si>
    <t>3240</t>
  </si>
  <si>
    <t>7810</t>
  </si>
  <si>
    <t>Graduation Matters Montana</t>
  </si>
  <si>
    <t>Title I, Part E, Striving Readers</t>
  </si>
  <si>
    <t>FY12</t>
  </si>
  <si>
    <t>12/Pupil Property Tax</t>
  </si>
  <si>
    <t>12/Pupil Non Levy Revenue</t>
  </si>
  <si>
    <t>12/Pupil County Revenue</t>
  </si>
  <si>
    <r>
      <rPr>
        <b/>
        <sz val="8"/>
        <color indexed="10"/>
        <rFont val="Arial"/>
        <family val="2"/>
      </rPr>
      <t>*</t>
    </r>
    <r>
      <rPr>
        <b/>
        <sz val="8"/>
        <rFont val="Arial"/>
        <family val="2"/>
      </rPr>
      <t>12/Pupil State Revenue</t>
    </r>
  </si>
  <si>
    <t>12/Pupil Federal Revenue</t>
  </si>
  <si>
    <t>12/ARRA Revenue</t>
  </si>
  <si>
    <t>12/Pupil Total Revenue</t>
  </si>
  <si>
    <r>
      <rPr>
        <b/>
        <sz val="16"/>
        <color indexed="10"/>
        <rFont val="Arial"/>
        <family val="2"/>
      </rPr>
      <t>*</t>
    </r>
    <r>
      <rPr>
        <b/>
        <sz val="8"/>
        <rFont val="Arial"/>
        <family val="2"/>
      </rPr>
      <t>12/Rev Per ANB with ARRA</t>
    </r>
  </si>
  <si>
    <r>
      <rPr>
        <b/>
        <sz val="16"/>
        <color indexed="10"/>
        <rFont val="Arial"/>
        <family val="2"/>
      </rPr>
      <t>*</t>
    </r>
    <r>
      <rPr>
        <b/>
        <sz val="8"/>
        <rFont val="Arial"/>
        <family val="2"/>
      </rPr>
      <t>12/Rev Per ANB NO ARRA</t>
    </r>
  </si>
  <si>
    <r>
      <rPr>
        <sz val="16"/>
        <color indexed="10"/>
        <rFont val="Arial"/>
        <family val="2"/>
      </rPr>
      <t>*</t>
    </r>
    <r>
      <rPr>
        <sz val="8"/>
        <color indexed="10"/>
        <rFont val="Arial"/>
        <family val="2"/>
      </rPr>
      <t>State Revenue includes Revenue Types 7810 ARRA - State Fiscal Stabilization Fund which is a portion of State DSA</t>
    </r>
  </si>
  <si>
    <t>12 ANB</t>
  </si>
  <si>
    <t>12. ANB is defined as MAEFAIRS Budgeted Budget Limitation Average Number Belonging.</t>
  </si>
  <si>
    <r>
      <t xml:space="preserve">Include </t>
    </r>
    <r>
      <rPr>
        <b/>
        <i/>
        <sz val="11"/>
        <color indexed="8"/>
        <rFont val="Calibri"/>
        <family val="2"/>
      </rPr>
      <t>Only</t>
    </r>
    <r>
      <rPr>
        <b/>
        <sz val="11"/>
        <color indexed="8"/>
        <rFont val="Calibri"/>
        <family val="2"/>
      </rPr>
      <t xml:space="preserve"> Objects</t>
    </r>
  </si>
  <si>
    <t>Support Services, Administration, Building Maintenance, and Transportation</t>
  </si>
  <si>
    <t>Undistributed  Expenditures, Prior Period Adjustments</t>
  </si>
  <si>
    <t>Non-educational Services,  Lunch, Student Activities, Community Services</t>
  </si>
  <si>
    <t xml:space="preserve">7. Funds Excluded:  Adult Education (17), Permanent Endowment Fund (45), Building Fund (60), Beginning in FY04, Impact Aid Discretionary Construction Grants in the Miscellaneous Programs (15), Enterprise funds (70-72), Internal Service funds (73-80), Endowment (81), Student Extracurricular Activities (84), Miscellaneous Trust fund (85), and Agency funds (86-97). </t>
  </si>
  <si>
    <t>Tuition from School Districts Within State</t>
  </si>
  <si>
    <t>Non-Levy Revenue</t>
  </si>
  <si>
    <t>District Levy - Personal Property/Mobile Homes</t>
  </si>
  <si>
    <t>District Levy - Distribution of Prior Year's Protested/Delinquent Taxes</t>
  </si>
  <si>
    <t>District Levy - Department of Revenue Tax Audit Receipts</t>
  </si>
  <si>
    <t>Tuition from School Districts Outside State</t>
  </si>
  <si>
    <t>Transportation Fees from Other School Districts Within State</t>
  </si>
  <si>
    <t>County On-Schedule Transportation Reimbursement</t>
  </si>
  <si>
    <t xml:space="preserve">9. OPI prorates expenditures in the Retirement Fund (14) to each program and function on the basis of salaries reported in each program and function for all funds.  OPI also prorates undistributed employee benefits reported in any single fund to each program and function on the basis of salaries reported in each program and function in only that fund. </t>
  </si>
  <si>
    <t>61  Building Reserve</t>
  </si>
  <si>
    <t>Facilities Acquisition</t>
  </si>
  <si>
    <t>Services Provided Other Local Governmental Units</t>
  </si>
  <si>
    <t>State Spec Ed Allowable Cost Payment to Districts</t>
  </si>
  <si>
    <t>State On-Schedule Trans Reimbursement</t>
  </si>
  <si>
    <t>ARRA - Title II-D Competitive</t>
  </si>
  <si>
    <t>15  Misc. Programs</t>
  </si>
  <si>
    <t>15 Misc. Programs Fund</t>
  </si>
  <si>
    <r>
      <t>7. Funds Excluded:  Adult Education (17)</t>
    </r>
    <r>
      <rPr>
        <sz val="10"/>
        <color indexed="10"/>
        <rFont val="Arial"/>
        <family val="2"/>
      </rPr>
      <t xml:space="preserve"> Starting in FY11 Program 362 State Adult Basic &amp; Literacy Education, 453 Adult Basic Education TANF, 4540 Adult Basic &amp; Literacy Ed (ABLE)</t>
    </r>
    <r>
      <rPr>
        <sz val="10"/>
        <rFont val="Arial"/>
        <family val="2"/>
      </rPr>
      <t xml:space="preserve">, Permanent Endowment Fund (45), Building Fund (60), Beginning in FY04, Impact Aid Discretionary Construction Grants in the Misc. Programs Fund 15, Enterprise funds (70-72), Internal Service funds (73-80), Endowment (81), Student Extracurricular Activities (84), Miscellaneous Trust fund (85), and Agency funds (86-97). </t>
    </r>
  </si>
  <si>
    <t>FY13</t>
  </si>
  <si>
    <t>13/Pupil Property Tax</t>
  </si>
  <si>
    <t>13/Pupil Non Levy Revenue</t>
  </si>
  <si>
    <t>13/Pupil County Revenue</t>
  </si>
  <si>
    <t>13/Pupil Federal Revenue</t>
  </si>
  <si>
    <t>13/Pupil Total Revenue</t>
  </si>
  <si>
    <t>13 ANB</t>
  </si>
  <si>
    <t>ANB13</t>
  </si>
  <si>
    <t>13/Pupil Instruction</t>
  </si>
  <si>
    <t>13/Pupil Student Services</t>
  </si>
  <si>
    <t>13/Pupil General Admin</t>
  </si>
  <si>
    <t>13/Pupil Bldg Admin</t>
  </si>
  <si>
    <t>13/Pupil Bldg OM</t>
  </si>
  <si>
    <t>13/Pupil Transport</t>
  </si>
  <si>
    <t>13/Pupil Other</t>
  </si>
  <si>
    <t>13/Pupil Bonds/ Facilities</t>
  </si>
  <si>
    <t>13/Pupil Total</t>
  </si>
  <si>
    <t>\</t>
  </si>
  <si>
    <t>Expenditures by Function by Enrollment Category</t>
  </si>
  <si>
    <t xml:space="preserve"> FY2013</t>
  </si>
  <si>
    <t>Expenditures Per ANB</t>
  </si>
  <si>
    <t>Percent Spent by Function</t>
  </si>
  <si>
    <t>Expenditures by Object by Enrollment Category</t>
  </si>
  <si>
    <t>FY2013</t>
  </si>
  <si>
    <t xml:space="preserve">Expenditures Per ANB </t>
  </si>
  <si>
    <t>Expenditures Percentage to Total</t>
  </si>
  <si>
    <t>13/Pupil Salaries &amp; Benefits</t>
  </si>
  <si>
    <t>13/Pupil Purchased Services</t>
  </si>
  <si>
    <t>13/Pupil Supplies</t>
  </si>
  <si>
    <t>13/Pupil Capital Outlay</t>
  </si>
  <si>
    <t>13/Pupil Total Expenditures</t>
  </si>
  <si>
    <t>1911</t>
  </si>
  <si>
    <t>Private Insurance - Audiological</t>
  </si>
  <si>
    <t>3446</t>
  </si>
  <si>
    <t>3447</t>
  </si>
  <si>
    <t>3221</t>
  </si>
  <si>
    <t>School Foods New Program Grant</t>
  </si>
  <si>
    <t>13/Rev Per ANB</t>
  </si>
  <si>
    <t>13/Pupil State Revenue</t>
  </si>
  <si>
    <t>3116</t>
  </si>
  <si>
    <t>Data for Achievement</t>
  </si>
  <si>
    <t>3750</t>
  </si>
  <si>
    <t>Oil and Narural Gas Impact Grant</t>
  </si>
  <si>
    <t>FY14</t>
  </si>
  <si>
    <t>14/Pupil Property Tax</t>
  </si>
  <si>
    <t>14/Pupil Non Levy Revenue</t>
  </si>
  <si>
    <t>14/Pupil County Revenue</t>
  </si>
  <si>
    <t>14/Pupil State Revenue</t>
  </si>
  <si>
    <t>14/Pupil Federal Revenue</t>
  </si>
  <si>
    <t>14/Pupil Total Revenue</t>
  </si>
  <si>
    <t>14/Rev Per ANB</t>
  </si>
  <si>
    <t>ANB14</t>
  </si>
  <si>
    <t>14 ANB</t>
  </si>
  <si>
    <t>FY2014</t>
  </si>
  <si>
    <t>14/Pupil Salaries &amp; Benefits</t>
  </si>
  <si>
    <t>14/Pupil Purchased Services</t>
  </si>
  <si>
    <t>14/Pupil Supplies</t>
  </si>
  <si>
    <t>14/Pupil Capital Outlay</t>
  </si>
  <si>
    <t>14/Pupil Other</t>
  </si>
  <si>
    <t>14/Pupil Total Expenditures</t>
  </si>
  <si>
    <t xml:space="preserve"> FY2014</t>
  </si>
  <si>
    <t>14/Pupil Instruction</t>
  </si>
  <si>
    <t>14/Pupil Student Services</t>
  </si>
  <si>
    <t>14/Pupil General Admin</t>
  </si>
  <si>
    <t>14/Pupil Bldg Admin</t>
  </si>
  <si>
    <t>14/Pupil Bldg OM</t>
  </si>
  <si>
    <t>14/Pupil Transport</t>
  </si>
  <si>
    <t>14/Pupil Bonds/ Facilities</t>
  </si>
  <si>
    <t>14/Pupil Total</t>
  </si>
  <si>
    <t>FY15</t>
  </si>
  <si>
    <t>ANB15</t>
  </si>
  <si>
    <t>15/Pupil Property Tax</t>
  </si>
  <si>
    <t>15/Pupil Non Levy Revenue</t>
  </si>
  <si>
    <t>15/Pupil County Revenue</t>
  </si>
  <si>
    <t>15/Pupil State Revenue</t>
  </si>
  <si>
    <t>15/Pupil Federal Revenue</t>
  </si>
  <si>
    <t>15/Pupil Total Revenue</t>
  </si>
  <si>
    <t>15/Rev Per ANB</t>
  </si>
  <si>
    <t>15 ANB</t>
  </si>
  <si>
    <t xml:space="preserve"> FY2015</t>
  </si>
  <si>
    <t>15/Pupil Instruction</t>
  </si>
  <si>
    <t>15/Pupil Student Services</t>
  </si>
  <si>
    <t>15/Pupil General Admin</t>
  </si>
  <si>
    <t>15/Pupil Bldg Admin</t>
  </si>
  <si>
    <t>15/Pupil Bldg OM</t>
  </si>
  <si>
    <t>15/Pupil Transport</t>
  </si>
  <si>
    <t>15/Pupil Other</t>
  </si>
  <si>
    <t>15/Pupil Bonds/ Facilities</t>
  </si>
  <si>
    <t>15/Pupil Total</t>
  </si>
  <si>
    <t>FY2015</t>
  </si>
  <si>
    <t>15/Pupil Salaries &amp; Benefits</t>
  </si>
  <si>
    <t>15/Pupil Purchased Services</t>
  </si>
  <si>
    <t>15/Pupil Supplies</t>
  </si>
  <si>
    <t>15/Pupil Capital Outlay</t>
  </si>
  <si>
    <t>15/Pupil Total Expenditures</t>
  </si>
  <si>
    <t>5111</t>
  </si>
  <si>
    <t>Premium on Sale of Bonds</t>
  </si>
  <si>
    <t>5301</t>
  </si>
  <si>
    <t>School Safety and Security Transfer</t>
  </si>
  <si>
    <t>1291</t>
  </si>
  <si>
    <t>TIF Distribution Post HB 114</t>
  </si>
  <si>
    <t>1292</t>
  </si>
  <si>
    <t>TIF Distribution Pre HB114 or Exempted</t>
  </si>
  <si>
    <t>3118</t>
  </si>
  <si>
    <t>Natural Resource Development</t>
  </si>
  <si>
    <t>SB96 Block Grant Reimbursement</t>
  </si>
  <si>
    <t>SB96 Combined Block Grant Reimbursement</t>
  </si>
  <si>
    <t>4556</t>
  </si>
  <si>
    <t>Adult/Child Care Program - 10.558</t>
  </si>
  <si>
    <t>1925</t>
  </si>
  <si>
    <t>Innovative Education Payment</t>
  </si>
  <si>
    <t>3740</t>
  </si>
  <si>
    <t>Indian Language Immersion Payment</t>
  </si>
  <si>
    <t>4610</t>
  </si>
  <si>
    <t>School Nutrition Equipment Assistance Grant</t>
  </si>
  <si>
    <t>4740</t>
  </si>
  <si>
    <t>Pre-Employment Transition Services (DPHHS)</t>
  </si>
  <si>
    <t>FY16</t>
  </si>
  <si>
    <t>ANB16</t>
  </si>
  <si>
    <t>16 ANB</t>
  </si>
  <si>
    <t xml:space="preserve"> FY2016</t>
  </si>
  <si>
    <t>16/Pupil Instruction</t>
  </si>
  <si>
    <t>16/Pupil Student Services</t>
  </si>
  <si>
    <t>16/Pupil General Admin</t>
  </si>
  <si>
    <t>16/Pupil Bldg Admin</t>
  </si>
  <si>
    <t>16/Pupil Bldg OM</t>
  </si>
  <si>
    <t>16/Pupil Transport</t>
  </si>
  <si>
    <t>16/Pupil Other</t>
  </si>
  <si>
    <t>16/Pupil Bonds/ Facilities</t>
  </si>
  <si>
    <t>16/Pupil Total</t>
  </si>
  <si>
    <t>FY2016</t>
  </si>
  <si>
    <t>16/Pupil Salaries &amp; Benefits</t>
  </si>
  <si>
    <t>16/Pupil Purchased Services</t>
  </si>
  <si>
    <t>16/Pupil Supplies</t>
  </si>
  <si>
    <t>16/Pupil Capital Outlay</t>
  </si>
  <si>
    <t>16/Pupil Total Expenditures</t>
  </si>
  <si>
    <t>4260</t>
  </si>
  <si>
    <t>Title I, Part C, Migrant Incentive</t>
  </si>
  <si>
    <t>FY17</t>
  </si>
  <si>
    <t>17 ANB</t>
  </si>
  <si>
    <t>FY2017</t>
  </si>
  <si>
    <t>1430</t>
  </si>
  <si>
    <t>Trans Fees from Other Schl Dists Outside State</t>
  </si>
  <si>
    <t>1511</t>
  </si>
  <si>
    <t>Building Reserve Permissive Sub Fund Revenues Interest Earnings</t>
  </si>
  <si>
    <t>3448</t>
  </si>
  <si>
    <t>School Block Grant State Lands</t>
  </si>
  <si>
    <t>3449</t>
  </si>
  <si>
    <t>School Block Grant Coal Mitigation</t>
  </si>
  <si>
    <t>FY18</t>
  </si>
  <si>
    <t>18 ANB</t>
  </si>
  <si>
    <t xml:space="preserve"> FY2018</t>
  </si>
  <si>
    <t>FY2018</t>
  </si>
  <si>
    <t>FY19</t>
  </si>
  <si>
    <t>19 ANB</t>
  </si>
  <si>
    <t xml:space="preserve"> FY2019</t>
  </si>
  <si>
    <t>FY2019</t>
  </si>
  <si>
    <t>4590</t>
  </si>
  <si>
    <t>3245</t>
  </si>
  <si>
    <t>Title IV ESEA, Student Support &amp; Academic Enrichment (SSAE)</t>
  </si>
  <si>
    <t>Professional Stipend State E-Grant</t>
  </si>
  <si>
    <t>20 ANB</t>
  </si>
  <si>
    <t>FY20</t>
  </si>
  <si>
    <t>2020 NO CARES</t>
  </si>
  <si>
    <t>FY2020</t>
  </si>
  <si>
    <t xml:space="preserve"> FY2020</t>
  </si>
  <si>
    <t>7650</t>
  </si>
  <si>
    <t xml:space="preserve">CARES - State School Emergency Relief Fund </t>
  </si>
  <si>
    <t>CARES</t>
  </si>
  <si>
    <t>3330</t>
  </si>
  <si>
    <t>State - Hard Rock Mining Impact Aid</t>
  </si>
  <si>
    <t>3283</t>
  </si>
  <si>
    <t>State - School Major Maintenance Aid (SMMA)</t>
  </si>
  <si>
    <t>7700</t>
  </si>
  <si>
    <t>CARES - Governor's Coronavirus Relief Fund Per-ANB</t>
  </si>
  <si>
    <t>4822</t>
  </si>
  <si>
    <t>Federal Impact Aid Formulary Construction, Title VII (Section 7007(A))</t>
  </si>
  <si>
    <t>3760</t>
  </si>
  <si>
    <t>State - Transformational Learning Aid</t>
  </si>
  <si>
    <t>FY21</t>
  </si>
  <si>
    <t>2021 NO CARES</t>
  </si>
  <si>
    <t>21 ANB</t>
  </si>
  <si>
    <t xml:space="preserve"> FY2021</t>
  </si>
  <si>
    <t>3770</t>
  </si>
  <si>
    <t>State - Advanced Opportunity Aid</t>
  </si>
  <si>
    <t>7720</t>
  </si>
  <si>
    <t>CARES - Governor's Coronavirus Relief Fund Technology</t>
  </si>
  <si>
    <t>7750</t>
  </si>
  <si>
    <t xml:space="preserve">CRRSA - State School Emergency Relief Fund </t>
  </si>
  <si>
    <t>CRRSA</t>
  </si>
  <si>
    <t>7710</t>
  </si>
  <si>
    <t>CARES - Governor's Coronavirus Relief Fund Transportation</t>
  </si>
  <si>
    <t>7730</t>
  </si>
  <si>
    <t>CARES - DPHHS/Governor's CRF Food Security</t>
  </si>
  <si>
    <t>7850</t>
  </si>
  <si>
    <t xml:space="preserve">ARP - State School Emergency Relief Fund </t>
  </si>
  <si>
    <t>ARP</t>
  </si>
  <si>
    <t>7380</t>
  </si>
  <si>
    <t>ARP - Homeless Children and Youth</t>
  </si>
  <si>
    <t>Federal Impact Aid Formulary Construction Title VII (Section 7007(A))</t>
  </si>
  <si>
    <t>Federal Impact Aid Discretionary Construction Title VII (Section 7007(B))</t>
  </si>
  <si>
    <t>3780</t>
  </si>
  <si>
    <t>State - BASE Limit Increase Payment</t>
  </si>
  <si>
    <t>7390</t>
  </si>
  <si>
    <t>ARP - FCC Emergency Connectivity Program Fund</t>
  </si>
  <si>
    <t>7370</t>
  </si>
  <si>
    <t>ARP - DPHHS - Reopening Schools Grant</t>
  </si>
  <si>
    <t>ARP - IDEA, Part B, Special Education</t>
  </si>
  <si>
    <t>7570</t>
  </si>
  <si>
    <t>ARP - IDEA, Special Education Preschool</t>
  </si>
  <si>
    <t>7400</t>
  </si>
  <si>
    <t>ARP - Coronavirus State &amp; Local Fiscal Recovery</t>
  </si>
  <si>
    <t>7360</t>
  </si>
  <si>
    <t>ARP - DPHHS - CDC Crisis Response Agreement</t>
  </si>
  <si>
    <t>7580</t>
  </si>
  <si>
    <t>ARP - DPHHS IDEA, Part C, Infants and Family</t>
  </si>
  <si>
    <t>22 ANB</t>
  </si>
  <si>
    <t>2022 NO CARES</t>
  </si>
  <si>
    <t>FY22</t>
  </si>
  <si>
    <t>FY2022</t>
  </si>
  <si>
    <t xml:space="preserve"> FY2022</t>
  </si>
  <si>
    <r>
      <t xml:space="preserve">Expenditures by Function FY1991-2022  -  School Profile Definition </t>
    </r>
    <r>
      <rPr>
        <b/>
        <vertAlign val="superscript"/>
        <sz val="8"/>
        <rFont val="Arial"/>
        <family val="2"/>
      </rPr>
      <t>a</t>
    </r>
  </si>
  <si>
    <t>Expenditures by Object FY1991-2022 -  School Profile Definition a</t>
  </si>
  <si>
    <t>1. The source of the data is the Trustees Financial Summaries for 1990-91 through 2021-22.</t>
  </si>
  <si>
    <t>FY2021</t>
  </si>
  <si>
    <t>FY23</t>
  </si>
  <si>
    <t xml:space="preserve"> FY2023</t>
  </si>
  <si>
    <t>FY2023</t>
  </si>
  <si>
    <t>2023 NO CARES</t>
  </si>
  <si>
    <t>23 ANB</t>
  </si>
  <si>
    <t>Updated 12/18/2023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</si>
</sst>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0.0%"/>
    <numFmt numFmtId="165" formatCode="0.000%"/>
    <numFmt numFmtId="166" formatCode="_(* #,##0_);_(* \(#,##0\);_(* &quot;-&quot;??_);_(@_)"/>
    <numFmt numFmtId="167" formatCode="&quot;$&quot;#,##0"/>
  </numFmts>
  <fonts count="49" x14ac:knownFonts="1">
    <font>
      <sz val="10"/>
      <name val="Arial"/>
    </font>
    <font>
      <sz val="11"/>
      <color theme="1"/>
      <name val="Calibri"/>
      <family val="2"/>
      <scheme val="minor"/>
    </font>
    <font>
      <sz val="10"/>
      <name val="Arial"/>
      <family val="2"/>
    </font>
    <font>
      <sz val="8"/>
      <name val="Arial"/>
      <family val="2"/>
    </font>
    <font>
      <b/>
      <u/>
      <sz val="8"/>
      <name val="Arial"/>
      <family val="2"/>
    </font>
    <font>
      <b/>
      <sz val="8"/>
      <name val="Arial"/>
      <family val="2"/>
    </font>
    <font>
      <u/>
      <sz val="8"/>
      <name val="Arial"/>
      <family val="2"/>
    </font>
    <font>
      <sz val="8"/>
      <name val="Arial"/>
      <family val="2"/>
    </font>
    <font>
      <b/>
      <sz val="10"/>
      <name val="Arial"/>
      <family val="2"/>
    </font>
    <font>
      <sz val="10"/>
      <name val="Arial"/>
      <family val="2"/>
    </font>
    <font>
      <b/>
      <sz val="14"/>
      <name val="Arial"/>
      <family val="2"/>
    </font>
    <font>
      <b/>
      <vertAlign val="superscript"/>
      <sz val="10"/>
      <name val="Arial"/>
      <family val="2"/>
    </font>
    <font>
      <b/>
      <vertAlign val="superscript"/>
      <sz val="8"/>
      <name val="Arial"/>
      <family val="2"/>
    </font>
    <font>
      <sz val="10"/>
      <color indexed="8"/>
      <name val="Arial"/>
      <family val="2"/>
    </font>
    <font>
      <sz val="8"/>
      <color indexed="8"/>
      <name val="Arial"/>
      <family val="2"/>
    </font>
    <font>
      <sz val="10"/>
      <name val="Arial"/>
      <family val="2"/>
    </font>
    <font>
      <sz val="10"/>
      <color indexed="8"/>
      <name val="Arial"/>
      <family val="2"/>
    </font>
    <font>
      <sz val="12"/>
      <name val="Arial"/>
      <family val="2"/>
    </font>
    <font>
      <b/>
      <sz val="8"/>
      <color indexed="10"/>
      <name val="Arial"/>
      <family val="2"/>
    </font>
    <font>
      <sz val="10"/>
      <color indexed="10"/>
      <name val="Arial"/>
      <family val="2"/>
    </font>
    <font>
      <sz val="8"/>
      <color indexed="10"/>
      <name val="Arial"/>
      <family val="2"/>
    </font>
    <font>
      <b/>
      <sz val="16"/>
      <color indexed="10"/>
      <name val="Arial"/>
      <family val="2"/>
    </font>
    <font>
      <sz val="16"/>
      <color indexed="10"/>
      <name val="Arial"/>
      <family val="2"/>
    </font>
    <font>
      <sz val="22"/>
      <name val="Arial"/>
      <family val="2"/>
    </font>
    <font>
      <b/>
      <sz val="12"/>
      <name val="Arial"/>
      <family val="2"/>
    </font>
    <font>
      <b/>
      <sz val="11"/>
      <color indexed="8"/>
      <name val="Calibri"/>
      <family val="2"/>
    </font>
    <font>
      <b/>
      <i/>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FF0000"/>
      <name val="Arial"/>
      <family val="2"/>
    </font>
    <font>
      <sz val="10"/>
      <color rgb="FFFF0000"/>
      <name val="Arial"/>
      <family val="2"/>
    </font>
    <font>
      <sz val="10"/>
      <color rgb="FFFF0000"/>
      <name val="Arial"/>
      <family val="2"/>
    </font>
    <font>
      <sz val="12"/>
      <color theme="1"/>
      <name val="Calibri"/>
      <family val="2"/>
      <scheme val="minor"/>
    </font>
    <font>
      <sz val="1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ECF1F8"/>
        <bgColor indexed="64"/>
      </patternFill>
    </fill>
    <fill>
      <patternFill patternType="solid">
        <fgColor rgb="FFFFCCFF"/>
        <bgColor indexed="64"/>
      </patternFill>
    </fill>
    <fill>
      <patternFill patternType="solid">
        <fgColor rgb="FFFFFF0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top style="double">
        <color indexed="64"/>
      </top>
      <bottom/>
      <diagonal/>
    </border>
    <border>
      <left/>
      <right/>
      <top style="double">
        <color indexed="64"/>
      </top>
      <bottom style="thin">
        <color indexed="64"/>
      </bottom>
      <diagonal/>
    </border>
    <border>
      <left style="thin">
        <color indexed="22"/>
      </left>
      <right style="thin">
        <color indexed="22"/>
      </right>
      <top style="thin">
        <color indexed="22"/>
      </top>
      <bottom style="thin">
        <color indexed="64"/>
      </bottom>
      <diagonal/>
    </border>
    <border>
      <left/>
      <right style="thin">
        <color indexed="22"/>
      </right>
      <top/>
      <bottom style="thin">
        <color indexed="64"/>
      </bottom>
      <diagonal/>
    </border>
    <border>
      <left style="thin">
        <color indexed="22"/>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8">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30" fillId="27" borderId="34" applyNumberFormat="0" applyAlignment="0" applyProtection="0"/>
    <xf numFmtId="0" fontId="31" fillId="28" borderId="35" applyNumberFormat="0" applyAlignment="0" applyProtection="0"/>
    <xf numFmtId="43" fontId="2" fillId="0" borderId="0" applyFont="0" applyFill="0" applyBorder="0" applyAlignment="0" applyProtection="0"/>
    <xf numFmtId="43" fontId="1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5"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15" fillId="0" borderId="0" applyFont="0" applyFill="0" applyBorder="0" applyAlignment="0" applyProtection="0"/>
    <xf numFmtId="43" fontId="9" fillId="0" borderId="0" applyFont="0" applyFill="0" applyBorder="0" applyAlignment="0" applyProtection="0"/>
    <xf numFmtId="43" fontId="15"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4" fillId="0" borderId="36" applyNumberFormat="0" applyFill="0" applyAlignment="0" applyProtection="0"/>
    <xf numFmtId="0" fontId="35" fillId="0" borderId="37" applyNumberFormat="0" applyFill="0" applyAlignment="0" applyProtection="0"/>
    <xf numFmtId="0" fontId="36" fillId="0" borderId="38" applyNumberFormat="0" applyFill="0" applyAlignment="0" applyProtection="0"/>
    <xf numFmtId="0" fontId="36" fillId="0" borderId="0" applyNumberFormat="0" applyFill="0" applyBorder="0" applyAlignment="0" applyProtection="0"/>
    <xf numFmtId="0" fontId="37" fillId="30" borderId="34" applyNumberFormat="0" applyAlignment="0" applyProtection="0"/>
    <xf numFmtId="0" fontId="38" fillId="0" borderId="39" applyNumberFormat="0" applyFill="0" applyAlignment="0" applyProtection="0"/>
    <xf numFmtId="0" fontId="39" fillId="31" borderId="0" applyNumberFormat="0" applyBorder="0" applyAlignment="0" applyProtection="0"/>
    <xf numFmtId="0" fontId="15" fillId="0" borderId="0"/>
    <xf numFmtId="0" fontId="9" fillId="0" borderId="0"/>
    <xf numFmtId="0" fontId="9" fillId="0" borderId="0"/>
    <xf numFmtId="0" fontId="15" fillId="0" borderId="0"/>
    <xf numFmtId="0" fontId="9" fillId="0" borderId="0"/>
    <xf numFmtId="0" fontId="27" fillId="0" borderId="0"/>
    <xf numFmtId="0" fontId="27" fillId="0" borderId="0"/>
    <xf numFmtId="0" fontId="27" fillId="0" borderId="0"/>
    <xf numFmtId="0" fontId="9" fillId="0" borderId="0"/>
    <xf numFmtId="0" fontId="15" fillId="0" borderId="0"/>
    <xf numFmtId="0" fontId="16" fillId="0" borderId="0"/>
    <xf numFmtId="0" fontId="16" fillId="0" borderId="0"/>
    <xf numFmtId="0" fontId="13" fillId="0" borderId="0"/>
    <xf numFmtId="0" fontId="13" fillId="0" borderId="0"/>
    <xf numFmtId="0" fontId="16" fillId="0" borderId="0"/>
    <xf numFmtId="0" fontId="7" fillId="0" borderId="0"/>
    <xf numFmtId="0" fontId="7" fillId="0" borderId="0"/>
    <xf numFmtId="0" fontId="7" fillId="0" borderId="0"/>
    <xf numFmtId="0" fontId="16" fillId="0" borderId="0"/>
    <xf numFmtId="0" fontId="27" fillId="32" borderId="40" applyNumberFormat="0" applyFont="0" applyAlignment="0" applyProtection="0"/>
    <xf numFmtId="0" fontId="40" fillId="27" borderId="41" applyNumberFormat="0" applyAlignment="0" applyProtection="0"/>
    <xf numFmtId="9" fontId="2" fillId="0" borderId="0" applyFont="0" applyFill="0" applyBorder="0" applyAlignment="0" applyProtection="0"/>
    <xf numFmtId="9" fontId="15" fillId="0" borderId="0" applyFont="0" applyFill="0" applyBorder="0" applyAlignment="0" applyProtection="0"/>
    <xf numFmtId="9" fontId="9" fillId="0" borderId="0" applyFont="0" applyFill="0" applyBorder="0" applyAlignment="0" applyProtection="0"/>
    <xf numFmtId="0" fontId="41" fillId="0" borderId="0" applyNumberFormat="0" applyFill="0" applyBorder="0" applyAlignment="0" applyProtection="0"/>
    <xf numFmtId="0" fontId="42" fillId="0" borderId="42" applyNumberFormat="0" applyFill="0" applyAlignment="0" applyProtection="0"/>
    <xf numFmtId="0" fontId="43" fillId="0" borderId="0" applyNumberFormat="0" applyFill="0" applyBorder="0" applyAlignment="0" applyProtection="0"/>
  </cellStyleXfs>
  <cellXfs count="376">
    <xf numFmtId="0" fontId="0" fillId="0" borderId="0" xfId="0"/>
    <xf numFmtId="0" fontId="3" fillId="0" borderId="0" xfId="0" applyFont="1"/>
    <xf numFmtId="0" fontId="3" fillId="0" borderId="0" xfId="0" applyFont="1" applyAlignment="1">
      <alignment horizontal="right"/>
    </xf>
    <xf numFmtId="1" fontId="3" fillId="0" borderId="0" xfId="0" applyNumberFormat="1" applyFont="1"/>
    <xf numFmtId="2" fontId="3" fillId="0" borderId="0" xfId="0" applyNumberFormat="1" applyFont="1"/>
    <xf numFmtId="3" fontId="4" fillId="0" borderId="0" xfId="0" applyNumberFormat="1" applyFont="1" applyAlignment="1">
      <alignment horizontal="right"/>
    </xf>
    <xf numFmtId="3" fontId="3" fillId="0" borderId="0" xfId="0" applyNumberFormat="1" applyFont="1"/>
    <xf numFmtId="3" fontId="3" fillId="0" borderId="2" xfId="0" applyNumberFormat="1" applyFont="1" applyBorder="1"/>
    <xf numFmtId="3" fontId="3" fillId="0" borderId="3" xfId="0" applyNumberFormat="1" applyFont="1" applyBorder="1"/>
    <xf numFmtId="164" fontId="3" fillId="0" borderId="0" xfId="0" applyNumberFormat="1" applyFont="1"/>
    <xf numFmtId="164" fontId="3" fillId="0" borderId="2" xfId="0" applyNumberFormat="1" applyFont="1" applyBorder="1"/>
    <xf numFmtId="164" fontId="3" fillId="0" borderId="3" xfId="0" applyNumberFormat="1" applyFont="1" applyBorder="1"/>
    <xf numFmtId="3" fontId="5" fillId="0" borderId="0" xfId="0" applyNumberFormat="1" applyFont="1" applyAlignment="1">
      <alignment horizontal="right" wrapText="1"/>
    </xf>
    <xf numFmtId="0" fontId="5" fillId="0" borderId="0" xfId="0" applyFont="1" applyAlignment="1">
      <alignment horizontal="right" wrapText="1"/>
    </xf>
    <xf numFmtId="0" fontId="3" fillId="0" borderId="2" xfId="0" applyFont="1" applyBorder="1"/>
    <xf numFmtId="0" fontId="3" fillId="0" borderId="3" xfId="0" applyFont="1" applyBorder="1"/>
    <xf numFmtId="3" fontId="4" fillId="0" borderId="0" xfId="0" applyNumberFormat="1" applyFont="1" applyAlignment="1">
      <alignment horizontal="right" wrapText="1"/>
    </xf>
    <xf numFmtId="0" fontId="4" fillId="0" borderId="0" xfId="0" applyFont="1" applyAlignment="1">
      <alignment horizontal="right" wrapText="1"/>
    </xf>
    <xf numFmtId="0" fontId="6" fillId="0" borderId="0" xfId="0" applyFont="1"/>
    <xf numFmtId="3" fontId="3" fillId="0" borderId="0" xfId="0" applyNumberFormat="1" applyFont="1" applyAlignment="1">
      <alignment horizontal="right"/>
    </xf>
    <xf numFmtId="0" fontId="5" fillId="0" borderId="0" xfId="0" applyFont="1" applyAlignment="1">
      <alignment wrapText="1"/>
    </xf>
    <xf numFmtId="3" fontId="5" fillId="0" borderId="0" xfId="0" applyNumberFormat="1" applyFont="1" applyAlignment="1">
      <alignment wrapText="1"/>
    </xf>
    <xf numFmtId="3" fontId="5" fillId="0" borderId="0" xfId="0" applyNumberFormat="1" applyFont="1"/>
    <xf numFmtId="3" fontId="5" fillId="0" borderId="0" xfId="0" applyNumberFormat="1" applyFont="1" applyAlignment="1">
      <alignment horizontal="right"/>
    </xf>
    <xf numFmtId="0" fontId="3" fillId="0" borderId="4" xfId="0" applyFont="1" applyBorder="1"/>
    <xf numFmtId="3" fontId="3" fillId="0" borderId="4" xfId="0" applyNumberFormat="1" applyFont="1" applyBorder="1"/>
    <xf numFmtId="0" fontId="3" fillId="0" borderId="5" xfId="0" applyFont="1" applyBorder="1"/>
    <xf numFmtId="3" fontId="3" fillId="0" borderId="5" xfId="0" applyNumberFormat="1" applyFont="1" applyBorder="1"/>
    <xf numFmtId="10" fontId="3" fillId="0" borderId="0" xfId="0" applyNumberFormat="1" applyFont="1"/>
    <xf numFmtId="10" fontId="3" fillId="0" borderId="2" xfId="0" applyNumberFormat="1" applyFont="1" applyBorder="1"/>
    <xf numFmtId="10" fontId="3" fillId="0" borderId="4" xfId="0" applyNumberFormat="1" applyFont="1" applyBorder="1"/>
    <xf numFmtId="0" fontId="3" fillId="0" borderId="6" xfId="0" applyFont="1" applyBorder="1"/>
    <xf numFmtId="10" fontId="3" fillId="0" borderId="6" xfId="0" applyNumberFormat="1" applyFont="1" applyBorder="1"/>
    <xf numFmtId="0" fontId="7" fillId="0" borderId="0" xfId="0" applyFont="1"/>
    <xf numFmtId="1" fontId="7" fillId="0" borderId="0" xfId="0" applyNumberFormat="1" applyFont="1" applyAlignment="1">
      <alignment horizontal="right"/>
    </xf>
    <xf numFmtId="1" fontId="5" fillId="0" borderId="0" xfId="0" applyNumberFormat="1" applyFont="1" applyAlignment="1">
      <alignment horizontal="right"/>
    </xf>
    <xf numFmtId="0" fontId="5" fillId="0" borderId="0" xfId="0" applyFont="1"/>
    <xf numFmtId="0" fontId="5" fillId="0" borderId="0" xfId="0" applyFont="1" applyAlignment="1">
      <alignment horizontal="right"/>
    </xf>
    <xf numFmtId="3" fontId="5" fillId="0" borderId="0" xfId="0" applyNumberFormat="1" applyFont="1" applyAlignment="1">
      <alignment horizontal="center"/>
    </xf>
    <xf numFmtId="3" fontId="3" fillId="0" borderId="6" xfId="0" applyNumberFormat="1" applyFont="1" applyBorder="1"/>
    <xf numFmtId="3" fontId="4" fillId="0" borderId="0" xfId="0" applyNumberFormat="1" applyFont="1"/>
    <xf numFmtId="0" fontId="3" fillId="0" borderId="7" xfId="0" applyFont="1" applyBorder="1"/>
    <xf numFmtId="3" fontId="3" fillId="0" borderId="7" xfId="0" applyNumberFormat="1" applyFont="1" applyBorder="1"/>
    <xf numFmtId="0" fontId="4" fillId="0" borderId="0" xfId="0" applyFont="1" applyAlignment="1">
      <alignment horizontal="center" wrapText="1"/>
    </xf>
    <xf numFmtId="164" fontId="3" fillId="0" borderId="7" xfId="0" applyNumberFormat="1" applyFont="1" applyBorder="1"/>
    <xf numFmtId="164" fontId="3" fillId="0" borderId="5" xfId="0" applyNumberFormat="1" applyFont="1" applyBorder="1"/>
    <xf numFmtId="0" fontId="7" fillId="0" borderId="3" xfId="0" applyFont="1" applyBorder="1"/>
    <xf numFmtId="0" fontId="4" fillId="0" borderId="0" xfId="0" applyFont="1" applyAlignment="1">
      <alignment horizontal="left"/>
    </xf>
    <xf numFmtId="0" fontId="4" fillId="0" borderId="0" xfId="0" applyFont="1" applyAlignment="1">
      <alignment horizontal="right"/>
    </xf>
    <xf numFmtId="1" fontId="4" fillId="0" borderId="0" xfId="0" applyNumberFormat="1" applyFont="1" applyAlignment="1">
      <alignment horizontal="right"/>
    </xf>
    <xf numFmtId="0" fontId="7" fillId="0" borderId="5" xfId="0" applyFont="1" applyBorder="1"/>
    <xf numFmtId="10" fontId="7" fillId="0" borderId="0" xfId="0" applyNumberFormat="1" applyFont="1" applyAlignment="1">
      <alignment horizontal="right"/>
    </xf>
    <xf numFmtId="164" fontId="7" fillId="0" borderId="0" xfId="0" applyNumberFormat="1" applyFont="1" applyAlignment="1">
      <alignment horizontal="right"/>
    </xf>
    <xf numFmtId="0" fontId="7" fillId="0" borderId="2" xfId="0" applyFont="1" applyBorder="1"/>
    <xf numFmtId="164" fontId="7" fillId="0" borderId="2" xfId="0" applyNumberFormat="1" applyFont="1" applyBorder="1" applyAlignment="1">
      <alignment horizontal="right"/>
    </xf>
    <xf numFmtId="0" fontId="7" fillId="0" borderId="4" xfId="0" applyFont="1" applyBorder="1"/>
    <xf numFmtId="164" fontId="7" fillId="0" borderId="4" xfId="0" applyNumberFormat="1" applyFont="1" applyBorder="1" applyAlignment="1">
      <alignment horizontal="right"/>
    </xf>
    <xf numFmtId="0" fontId="7" fillId="0" borderId="6" xfId="0" applyFont="1" applyBorder="1"/>
    <xf numFmtId="164" fontId="7" fillId="0" borderId="5" xfId="0" applyNumberFormat="1" applyFont="1" applyBorder="1" applyAlignment="1">
      <alignment horizontal="right"/>
    </xf>
    <xf numFmtId="165" fontId="3" fillId="0" borderId="0" xfId="0" applyNumberFormat="1" applyFont="1"/>
    <xf numFmtId="3" fontId="5" fillId="0" borderId="0" xfId="0" applyNumberFormat="1" applyFont="1" applyAlignment="1">
      <alignment horizontal="left"/>
    </xf>
    <xf numFmtId="164" fontId="5" fillId="0" borderId="0" xfId="0" applyNumberFormat="1" applyFont="1" applyAlignment="1">
      <alignment horizontal="center"/>
    </xf>
    <xf numFmtId="164" fontId="3" fillId="0" borderId="4" xfId="0" applyNumberFormat="1" applyFont="1" applyBorder="1"/>
    <xf numFmtId="164" fontId="3" fillId="0" borderId="6" xfId="0" applyNumberFormat="1" applyFont="1" applyBorder="1"/>
    <xf numFmtId="3" fontId="4" fillId="0" borderId="0" xfId="67" applyNumberFormat="1" applyFont="1" applyAlignment="1">
      <alignment horizontal="right" wrapText="1"/>
    </xf>
    <xf numFmtId="0" fontId="3" fillId="0" borderId="0" xfId="67" applyFont="1"/>
    <xf numFmtId="3" fontId="3" fillId="0" borderId="0" xfId="67" applyNumberFormat="1" applyFont="1"/>
    <xf numFmtId="0" fontId="3" fillId="0" borderId="2" xfId="67" applyFont="1" applyBorder="1"/>
    <xf numFmtId="3" fontId="3" fillId="0" borderId="2" xfId="67" applyNumberFormat="1" applyFont="1" applyBorder="1"/>
    <xf numFmtId="3" fontId="3" fillId="0" borderId="3" xfId="67" applyNumberFormat="1" applyFont="1" applyBorder="1"/>
    <xf numFmtId="0" fontId="3" fillId="0" borderId="3" xfId="67" applyFont="1" applyBorder="1"/>
    <xf numFmtId="3" fontId="3" fillId="0" borderId="5" xfId="67" applyNumberFormat="1" applyFont="1" applyBorder="1"/>
    <xf numFmtId="0" fontId="3" fillId="0" borderId="7" xfId="67" applyFont="1" applyBorder="1"/>
    <xf numFmtId="3" fontId="3" fillId="0" borderId="7" xfId="67" applyNumberFormat="1" applyFont="1" applyBorder="1"/>
    <xf numFmtId="0" fontId="3" fillId="0" borderId="5" xfId="67" applyFont="1" applyBorder="1"/>
    <xf numFmtId="164" fontId="3" fillId="0" borderId="0" xfId="67" applyNumberFormat="1" applyFont="1"/>
    <xf numFmtId="164" fontId="3" fillId="0" borderId="3" xfId="67" applyNumberFormat="1" applyFont="1" applyBorder="1"/>
    <xf numFmtId="164" fontId="3" fillId="0" borderId="2" xfId="67" applyNumberFormat="1" applyFont="1" applyBorder="1"/>
    <xf numFmtId="164" fontId="3" fillId="0" borderId="5" xfId="67" applyNumberFormat="1" applyFont="1" applyBorder="1"/>
    <xf numFmtId="0" fontId="7" fillId="0" borderId="0" xfId="67"/>
    <xf numFmtId="0" fontId="5" fillId="0" borderId="0" xfId="66" applyFont="1"/>
    <xf numFmtId="1" fontId="5" fillId="0" borderId="0" xfId="66" applyNumberFormat="1" applyFont="1" applyAlignment="1">
      <alignment horizontal="right"/>
    </xf>
    <xf numFmtId="0" fontId="7" fillId="0" borderId="0" xfId="66"/>
    <xf numFmtId="3" fontId="7" fillId="0" borderId="0" xfId="66" applyNumberFormat="1"/>
    <xf numFmtId="3" fontId="7" fillId="0" borderId="2" xfId="66" applyNumberFormat="1" applyBorder="1"/>
    <xf numFmtId="3" fontId="3" fillId="0" borderId="0" xfId="66" applyNumberFormat="1" applyFont="1"/>
    <xf numFmtId="0" fontId="3" fillId="0" borderId="0" xfId="66" applyFont="1"/>
    <xf numFmtId="0" fontId="4" fillId="0" borderId="0" xfId="66" applyFont="1" applyAlignment="1">
      <alignment horizontal="left"/>
    </xf>
    <xf numFmtId="0" fontId="4" fillId="0" borderId="0" xfId="66" applyFont="1" applyAlignment="1">
      <alignment horizontal="right"/>
    </xf>
    <xf numFmtId="1" fontId="4" fillId="0" borderId="0" xfId="66" applyNumberFormat="1" applyFont="1" applyAlignment="1">
      <alignment horizontal="right"/>
    </xf>
    <xf numFmtId="3" fontId="7" fillId="0" borderId="4" xfId="66" applyNumberFormat="1" applyBorder="1"/>
    <xf numFmtId="0" fontId="7" fillId="0" borderId="4" xfId="66" applyBorder="1"/>
    <xf numFmtId="3" fontId="7" fillId="0" borderId="5" xfId="66" applyNumberFormat="1" applyBorder="1"/>
    <xf numFmtId="1" fontId="7" fillId="0" borderId="0" xfId="66" applyNumberFormat="1" applyAlignment="1">
      <alignment horizontal="right"/>
    </xf>
    <xf numFmtId="10" fontId="7" fillId="0" borderId="0" xfId="66" applyNumberFormat="1" applyAlignment="1">
      <alignment horizontal="right"/>
    </xf>
    <xf numFmtId="164" fontId="7" fillId="0" borderId="0" xfId="66" applyNumberFormat="1" applyAlignment="1">
      <alignment horizontal="right"/>
    </xf>
    <xf numFmtId="10" fontId="3" fillId="0" borderId="0" xfId="66" applyNumberFormat="1" applyFont="1"/>
    <xf numFmtId="0" fontId="7" fillId="0" borderId="2" xfId="66" applyBorder="1"/>
    <xf numFmtId="164" fontId="7" fillId="0" borderId="2" xfId="66" applyNumberFormat="1" applyBorder="1" applyAlignment="1">
      <alignment horizontal="right"/>
    </xf>
    <xf numFmtId="164" fontId="7" fillId="0" borderId="4" xfId="66" applyNumberFormat="1" applyBorder="1" applyAlignment="1">
      <alignment horizontal="right"/>
    </xf>
    <xf numFmtId="0" fontId="7" fillId="0" borderId="6" xfId="66" applyBorder="1"/>
    <xf numFmtId="0" fontId="7" fillId="0" borderId="5" xfId="66" applyBorder="1"/>
    <xf numFmtId="164" fontId="7" fillId="0" borderId="5" xfId="66" applyNumberFormat="1" applyBorder="1" applyAlignment="1">
      <alignment horizontal="right"/>
    </xf>
    <xf numFmtId="165" fontId="3" fillId="0" borderId="0" xfId="66" applyNumberFormat="1" applyFont="1"/>
    <xf numFmtId="3" fontId="3" fillId="0" borderId="0" xfId="68" applyNumberFormat="1" applyFont="1"/>
    <xf numFmtId="3" fontId="5" fillId="0" borderId="0" xfId="68" applyNumberFormat="1" applyFont="1" applyAlignment="1">
      <alignment horizontal="right"/>
    </xf>
    <xf numFmtId="3" fontId="5" fillId="0" borderId="0" xfId="68" applyNumberFormat="1" applyFont="1" applyAlignment="1">
      <alignment horizontal="center"/>
    </xf>
    <xf numFmtId="0" fontId="7" fillId="0" borderId="0" xfId="68"/>
    <xf numFmtId="3" fontId="7" fillId="0" borderId="0" xfId="68" applyNumberFormat="1"/>
    <xf numFmtId="3" fontId="7" fillId="0" borderId="2" xfId="68" applyNumberFormat="1" applyBorder="1"/>
    <xf numFmtId="3" fontId="4" fillId="0" borderId="0" xfId="68" applyNumberFormat="1" applyFont="1" applyAlignment="1">
      <alignment horizontal="left"/>
    </xf>
    <xf numFmtId="3" fontId="4" fillId="0" borderId="0" xfId="68" applyNumberFormat="1" applyFont="1" applyAlignment="1">
      <alignment horizontal="right"/>
    </xf>
    <xf numFmtId="3" fontId="4" fillId="0" borderId="0" xfId="68" applyNumberFormat="1" applyFont="1" applyAlignment="1">
      <alignment horizontal="center"/>
    </xf>
    <xf numFmtId="3" fontId="5" fillId="0" borderId="0" xfId="68" applyNumberFormat="1" applyFont="1" applyAlignment="1">
      <alignment horizontal="left"/>
    </xf>
    <xf numFmtId="3" fontId="3" fillId="0" borderId="2" xfId="68" applyNumberFormat="1" applyFont="1" applyBorder="1"/>
    <xf numFmtId="3" fontId="3" fillId="0" borderId="4" xfId="68" applyNumberFormat="1" applyFont="1" applyBorder="1"/>
    <xf numFmtId="3" fontId="3" fillId="0" borderId="6" xfId="68" applyNumberFormat="1" applyFont="1" applyBorder="1"/>
    <xf numFmtId="164" fontId="3" fillId="0" borderId="0" xfId="68" applyNumberFormat="1" applyFont="1"/>
    <xf numFmtId="164" fontId="3" fillId="0" borderId="2" xfId="68" applyNumberFormat="1" applyFont="1" applyBorder="1"/>
    <xf numFmtId="164" fontId="3" fillId="0" borderId="4" xfId="68" applyNumberFormat="1" applyFont="1" applyBorder="1"/>
    <xf numFmtId="164" fontId="3" fillId="0" borderId="6" xfId="68" applyNumberFormat="1" applyFont="1" applyBorder="1"/>
    <xf numFmtId="10" fontId="0" fillId="0" borderId="0" xfId="0" applyNumberFormat="1"/>
    <xf numFmtId="3" fontId="0" fillId="0" borderId="0" xfId="0" applyNumberFormat="1"/>
    <xf numFmtId="0" fontId="3" fillId="0" borderId="0" xfId="0" applyFont="1" applyAlignment="1">
      <alignment horizontal="right" wrapText="1"/>
    </xf>
    <xf numFmtId="0" fontId="3" fillId="0" borderId="0" xfId="0" applyFont="1" applyAlignment="1">
      <alignment wrapText="1"/>
    </xf>
    <xf numFmtId="3" fontId="3" fillId="0" borderId="0" xfId="0" applyNumberFormat="1" applyFont="1" applyAlignment="1">
      <alignment wrapText="1"/>
    </xf>
    <xf numFmtId="3" fontId="3" fillId="0" borderId="8" xfId="0" applyNumberFormat="1" applyFont="1" applyBorder="1"/>
    <xf numFmtId="164" fontId="3" fillId="0" borderId="8" xfId="0" applyNumberFormat="1" applyFont="1" applyBorder="1"/>
    <xf numFmtId="0" fontId="3" fillId="0" borderId="8" xfId="0" applyFont="1" applyBorder="1"/>
    <xf numFmtId="166" fontId="0" fillId="0" borderId="0" xfId="28" applyNumberFormat="1" applyFont="1"/>
    <xf numFmtId="166" fontId="3" fillId="0" borderId="0" xfId="28" applyNumberFormat="1" applyFont="1"/>
    <xf numFmtId="166" fontId="3" fillId="0" borderId="0" xfId="28" applyNumberFormat="1" applyFont="1" applyBorder="1"/>
    <xf numFmtId="0" fontId="8" fillId="0" borderId="0" xfId="0" applyFont="1"/>
    <xf numFmtId="0" fontId="8" fillId="0" borderId="0" xfId="0" applyFont="1" applyAlignment="1">
      <alignment horizontal="right"/>
    </xf>
    <xf numFmtId="10" fontId="3" fillId="0" borderId="0" xfId="68" applyNumberFormat="1" applyFont="1"/>
    <xf numFmtId="166" fontId="3" fillId="0" borderId="2" xfId="28" applyNumberFormat="1" applyFont="1" applyBorder="1"/>
    <xf numFmtId="3" fontId="3" fillId="0" borderId="0" xfId="0" applyNumberFormat="1" applyFont="1" applyAlignment="1">
      <alignment horizontal="right" wrapText="1"/>
    </xf>
    <xf numFmtId="164" fontId="0" fillId="0" borderId="0" xfId="0" applyNumberFormat="1"/>
    <xf numFmtId="0" fontId="9" fillId="0" borderId="0" xfId="0" applyFont="1"/>
    <xf numFmtId="166" fontId="3" fillId="0" borderId="3" xfId="28" applyNumberFormat="1" applyFont="1" applyBorder="1"/>
    <xf numFmtId="0" fontId="11" fillId="0" borderId="0" xfId="0" applyFont="1"/>
    <xf numFmtId="3" fontId="5" fillId="0" borderId="2" xfId="0" applyNumberFormat="1" applyFont="1" applyBorder="1" applyAlignment="1">
      <alignment horizontal="right" wrapText="1"/>
    </xf>
    <xf numFmtId="3" fontId="3" fillId="0" borderId="3" xfId="68" applyNumberFormat="1" applyFont="1" applyBorder="1"/>
    <xf numFmtId="3" fontId="4" fillId="0" borderId="2" xfId="68" applyNumberFormat="1" applyFont="1" applyBorder="1" applyAlignment="1">
      <alignment horizontal="left"/>
    </xf>
    <xf numFmtId="3" fontId="5" fillId="0" borderId="2" xfId="0" applyNumberFormat="1" applyFont="1" applyBorder="1" applyAlignment="1">
      <alignment horizontal="right"/>
    </xf>
    <xf numFmtId="166" fontId="5" fillId="0" borderId="2" xfId="28" applyNumberFormat="1" applyFont="1" applyBorder="1" applyAlignment="1">
      <alignment horizontal="right"/>
    </xf>
    <xf numFmtId="0" fontId="8" fillId="0" borderId="2" xfId="0" quotePrefix="1" applyFont="1" applyBorder="1" applyAlignment="1">
      <alignment horizontal="right"/>
    </xf>
    <xf numFmtId="1" fontId="8" fillId="0" borderId="2" xfId="28" applyNumberFormat="1" applyFont="1" applyBorder="1" applyAlignment="1">
      <alignment horizontal="right"/>
    </xf>
    <xf numFmtId="166" fontId="0" fillId="0" borderId="0" xfId="28" applyNumberFormat="1" applyFont="1" applyAlignment="1">
      <alignment horizontal="right"/>
    </xf>
    <xf numFmtId="166" fontId="3" fillId="0" borderId="0" xfId="28" applyNumberFormat="1" applyFont="1" applyAlignment="1">
      <alignment horizontal="right"/>
    </xf>
    <xf numFmtId="166" fontId="3" fillId="0" borderId="0" xfId="28" applyNumberFormat="1" applyFont="1" applyBorder="1" applyAlignment="1">
      <alignment horizontal="right"/>
    </xf>
    <xf numFmtId="166" fontId="3" fillId="0" borderId="2" xfId="28" applyNumberFormat="1" applyFont="1" applyBorder="1" applyAlignment="1">
      <alignment horizontal="right"/>
    </xf>
    <xf numFmtId="166" fontId="5" fillId="0" borderId="0" xfId="28" applyNumberFormat="1" applyFont="1" applyBorder="1" applyAlignment="1">
      <alignment horizontal="right"/>
    </xf>
    <xf numFmtId="166" fontId="3" fillId="0" borderId="3" xfId="28" applyNumberFormat="1" applyFont="1" applyBorder="1" applyAlignment="1">
      <alignment horizontal="right"/>
    </xf>
    <xf numFmtId="166" fontId="3" fillId="0" borderId="0" xfId="28" applyNumberFormat="1" applyFont="1" applyAlignment="1"/>
    <xf numFmtId="3" fontId="5" fillId="0" borderId="2" xfId="0" applyNumberFormat="1" applyFont="1" applyBorder="1" applyAlignment="1">
      <alignment wrapText="1"/>
    </xf>
    <xf numFmtId="3" fontId="5" fillId="0" borderId="2" xfId="0" applyNumberFormat="1" applyFont="1" applyBorder="1"/>
    <xf numFmtId="3" fontId="5" fillId="0" borderId="2" xfId="68" applyNumberFormat="1" applyFont="1" applyBorder="1" applyAlignment="1">
      <alignment horizontal="right"/>
    </xf>
    <xf numFmtId="3" fontId="5" fillId="0" borderId="2" xfId="68" applyNumberFormat="1" applyFont="1" applyBorder="1" applyAlignment="1">
      <alignment horizontal="center"/>
    </xf>
    <xf numFmtId="3" fontId="5" fillId="0" borderId="2" xfId="68" applyNumberFormat="1" applyFont="1" applyBorder="1" applyAlignment="1">
      <alignment horizontal="left"/>
    </xf>
    <xf numFmtId="0" fontId="5" fillId="0" borderId="2" xfId="0" applyFont="1" applyBorder="1" applyAlignment="1">
      <alignment horizontal="right" wrapText="1"/>
    </xf>
    <xf numFmtId="3" fontId="4" fillId="0" borderId="2" xfId="0" applyNumberFormat="1" applyFont="1" applyBorder="1" applyAlignment="1">
      <alignment horizontal="right" wrapText="1"/>
    </xf>
    <xf numFmtId="0" fontId="4" fillId="0" borderId="2" xfId="66" applyFont="1" applyBorder="1" applyAlignment="1">
      <alignment horizontal="right"/>
    </xf>
    <xf numFmtId="1" fontId="5" fillId="0" borderId="2" xfId="66" applyNumberFormat="1" applyFont="1" applyBorder="1" applyAlignment="1">
      <alignment horizontal="right"/>
    </xf>
    <xf numFmtId="0" fontId="5" fillId="0" borderId="2" xfId="66" applyFont="1" applyBorder="1" applyAlignment="1">
      <alignment horizontal="right"/>
    </xf>
    <xf numFmtId="0" fontId="5" fillId="0" borderId="2" xfId="0" applyFont="1" applyBorder="1" applyAlignment="1">
      <alignment horizontal="right"/>
    </xf>
    <xf numFmtId="1" fontId="5" fillId="0" borderId="2" xfId="0" applyNumberFormat="1" applyFont="1" applyBorder="1" applyAlignment="1">
      <alignment horizontal="right"/>
    </xf>
    <xf numFmtId="0" fontId="5" fillId="0" borderId="2" xfId="0" applyFont="1" applyBorder="1" applyAlignment="1">
      <alignment wrapText="1"/>
    </xf>
    <xf numFmtId="0" fontId="4" fillId="0" borderId="2" xfId="0" applyFont="1" applyBorder="1" applyAlignment="1">
      <alignment horizontal="right" wrapText="1"/>
    </xf>
    <xf numFmtId="3" fontId="5" fillId="0" borderId="2" xfId="67" applyNumberFormat="1" applyFont="1" applyBorder="1" applyAlignment="1">
      <alignment wrapText="1"/>
    </xf>
    <xf numFmtId="3" fontId="5" fillId="0" borderId="2" xfId="67" applyNumberFormat="1" applyFont="1" applyBorder="1" applyAlignment="1">
      <alignment horizontal="right" wrapText="1"/>
    </xf>
    <xf numFmtId="3" fontId="5" fillId="0" borderId="2" xfId="67" applyNumberFormat="1" applyFont="1" applyBorder="1" applyAlignment="1">
      <alignment horizontal="center" wrapText="1"/>
    </xf>
    <xf numFmtId="3" fontId="5" fillId="0" borderId="2" xfId="0" applyNumberFormat="1" applyFont="1" applyBorder="1" applyAlignment="1">
      <alignment horizontal="center" wrapText="1"/>
    </xf>
    <xf numFmtId="3" fontId="5" fillId="0" borderId="2" xfId="0" applyNumberFormat="1" applyFont="1" applyBorder="1" applyAlignment="1">
      <alignment horizontal="left"/>
    </xf>
    <xf numFmtId="164" fontId="5" fillId="0" borderId="2" xfId="0" applyNumberFormat="1" applyFont="1" applyBorder="1" applyAlignment="1">
      <alignment horizontal="center"/>
    </xf>
    <xf numFmtId="3" fontId="5" fillId="0" borderId="2" xfId="0" applyNumberFormat="1" applyFont="1" applyBorder="1" applyAlignment="1">
      <alignment horizontal="center"/>
    </xf>
    <xf numFmtId="0" fontId="4" fillId="0" borderId="2" xfId="0" applyFont="1" applyBorder="1" applyAlignment="1">
      <alignment horizontal="right"/>
    </xf>
    <xf numFmtId="0" fontId="3" fillId="0" borderId="9" xfId="0" applyFont="1" applyBorder="1"/>
    <xf numFmtId="3" fontId="3" fillId="0" borderId="9" xfId="0" applyNumberFormat="1" applyFont="1" applyBorder="1"/>
    <xf numFmtId="3" fontId="7" fillId="0" borderId="3" xfId="68" applyNumberFormat="1" applyBorder="1"/>
    <xf numFmtId="3" fontId="7" fillId="0" borderId="8" xfId="68" applyNumberFormat="1" applyBorder="1"/>
    <xf numFmtId="0" fontId="5" fillId="0" borderId="0" xfId="66" applyFont="1" applyAlignment="1">
      <alignment horizontal="right"/>
    </xf>
    <xf numFmtId="3" fontId="7" fillId="0" borderId="0" xfId="0" applyNumberFormat="1" applyFont="1"/>
    <xf numFmtId="3" fontId="7" fillId="0" borderId="2" xfId="0" applyNumberFormat="1" applyFont="1" applyBorder="1"/>
    <xf numFmtId="3" fontId="3" fillId="0" borderId="10" xfId="0" applyNumberFormat="1" applyFont="1" applyBorder="1"/>
    <xf numFmtId="0" fontId="5" fillId="0" borderId="2" xfId="0" applyFont="1" applyBorder="1" applyAlignment="1">
      <alignment horizontal="center"/>
    </xf>
    <xf numFmtId="10" fontId="3" fillId="0" borderId="3" xfId="0" applyNumberFormat="1" applyFont="1" applyBorder="1"/>
    <xf numFmtId="10" fontId="5" fillId="0" borderId="0" xfId="0" applyNumberFormat="1" applyFont="1"/>
    <xf numFmtId="0" fontId="12" fillId="0" borderId="0" xfId="0" applyFont="1"/>
    <xf numFmtId="0" fontId="3" fillId="0" borderId="0" xfId="0" quotePrefix="1" applyFont="1"/>
    <xf numFmtId="0" fontId="3" fillId="0" borderId="0" xfId="0" applyFont="1" applyAlignment="1">
      <alignment horizontal="left"/>
    </xf>
    <xf numFmtId="164" fontId="7" fillId="0" borderId="0" xfId="0" applyNumberFormat="1" applyFont="1"/>
    <xf numFmtId="3" fontId="7" fillId="0" borderId="3" xfId="0" applyNumberFormat="1" applyFont="1" applyBorder="1"/>
    <xf numFmtId="164" fontId="7" fillId="0" borderId="2" xfId="0" applyNumberFormat="1" applyFont="1" applyBorder="1"/>
    <xf numFmtId="3" fontId="7" fillId="0" borderId="0" xfId="0" applyNumberFormat="1" applyFont="1" applyAlignment="1">
      <alignment wrapText="1"/>
    </xf>
    <xf numFmtId="164" fontId="7" fillId="0" borderId="3" xfId="0" applyNumberFormat="1" applyFont="1" applyBorder="1"/>
    <xf numFmtId="0" fontId="0" fillId="0" borderId="0" xfId="0" applyAlignment="1">
      <alignment wrapText="1"/>
    </xf>
    <xf numFmtId="3" fontId="3" fillId="0" borderId="2" xfId="0" applyNumberFormat="1" applyFont="1" applyBorder="1" applyAlignment="1">
      <alignment wrapText="1"/>
    </xf>
    <xf numFmtId="3" fontId="3" fillId="0" borderId="3" xfId="0" applyNumberFormat="1" applyFont="1" applyBorder="1" applyAlignment="1">
      <alignment wrapText="1"/>
    </xf>
    <xf numFmtId="164" fontId="3" fillId="0" borderId="0" xfId="28" applyNumberFormat="1" applyFont="1" applyBorder="1" applyAlignment="1">
      <alignment horizontal="right"/>
    </xf>
    <xf numFmtId="10" fontId="7" fillId="0" borderId="0" xfId="0" applyNumberFormat="1" applyFont="1"/>
    <xf numFmtId="0" fontId="5" fillId="0" borderId="0" xfId="0" applyFont="1" applyAlignment="1">
      <alignment horizontal="center" wrapText="1"/>
    </xf>
    <xf numFmtId="3" fontId="5" fillId="0" borderId="0" xfId="0" applyNumberFormat="1" applyFont="1" applyAlignment="1">
      <alignment horizontal="center" wrapText="1"/>
    </xf>
    <xf numFmtId="10" fontId="7" fillId="0" borderId="2" xfId="0" applyNumberFormat="1" applyFont="1" applyBorder="1"/>
    <xf numFmtId="10" fontId="7" fillId="0" borderId="3" xfId="0" applyNumberFormat="1" applyFont="1" applyBorder="1"/>
    <xf numFmtId="164" fontId="0" fillId="0" borderId="0" xfId="72" applyNumberFormat="1" applyFont="1"/>
    <xf numFmtId="3" fontId="3" fillId="0" borderId="0" xfId="28" applyNumberFormat="1" applyFont="1"/>
    <xf numFmtId="3" fontId="3" fillId="0" borderId="0" xfId="28" applyNumberFormat="1" applyFont="1" applyAlignment="1">
      <alignment horizontal="right"/>
    </xf>
    <xf numFmtId="166" fontId="7" fillId="0" borderId="0" xfId="28" applyNumberFormat="1" applyFont="1"/>
    <xf numFmtId="166" fontId="7" fillId="0" borderId="2" xfId="28" applyNumberFormat="1" applyFont="1" applyBorder="1"/>
    <xf numFmtId="3" fontId="3" fillId="0" borderId="2" xfId="28" applyNumberFormat="1" applyFont="1" applyBorder="1" applyAlignment="1">
      <alignment horizontal="right"/>
    </xf>
    <xf numFmtId="3" fontId="3" fillId="0" borderId="3" xfId="28" applyNumberFormat="1" applyFont="1" applyBorder="1" applyAlignment="1">
      <alignment horizontal="right"/>
    </xf>
    <xf numFmtId="166" fontId="7" fillId="0" borderId="0" xfId="28" applyNumberFormat="1" applyFont="1" applyBorder="1"/>
    <xf numFmtId="166" fontId="7" fillId="0" borderId="3" xfId="28" applyNumberFormat="1" applyFont="1" applyBorder="1"/>
    <xf numFmtId="166" fontId="7" fillId="0" borderId="0" xfId="28" applyNumberFormat="1" applyFont="1" applyFill="1"/>
    <xf numFmtId="166" fontId="5" fillId="0" borderId="0" xfId="28" applyNumberFormat="1" applyFont="1"/>
    <xf numFmtId="164" fontId="3" fillId="0" borderId="0" xfId="72" applyNumberFormat="1" applyFont="1" applyBorder="1"/>
    <xf numFmtId="10" fontId="0" fillId="0" borderId="0" xfId="72" applyNumberFormat="1" applyFont="1"/>
    <xf numFmtId="166" fontId="2" fillId="0" borderId="0" xfId="28" applyNumberFormat="1"/>
    <xf numFmtId="166" fontId="0" fillId="0" borderId="0" xfId="28" applyNumberFormat="1" applyFont="1" applyFill="1"/>
    <xf numFmtId="166" fontId="7" fillId="0" borderId="2" xfId="28" applyNumberFormat="1" applyFont="1" applyFill="1" applyBorder="1"/>
    <xf numFmtId="166" fontId="7" fillId="0" borderId="0" xfId="28" applyNumberFormat="1" applyFont="1" applyFill="1" applyBorder="1"/>
    <xf numFmtId="166" fontId="7" fillId="0" borderId="3" xfId="28" applyNumberFormat="1" applyFont="1" applyFill="1" applyBorder="1"/>
    <xf numFmtId="166" fontId="5" fillId="0" borderId="0" xfId="28" applyNumberFormat="1" applyFont="1" applyFill="1"/>
    <xf numFmtId="164" fontId="3" fillId="0" borderId="0" xfId="72" applyNumberFormat="1" applyFont="1" applyFill="1"/>
    <xf numFmtId="164" fontId="3" fillId="0" borderId="2" xfId="72" applyNumberFormat="1" applyFont="1" applyFill="1" applyBorder="1"/>
    <xf numFmtId="164" fontId="3" fillId="0" borderId="3" xfId="72" applyNumberFormat="1" applyFont="1" applyFill="1" applyBorder="1"/>
    <xf numFmtId="166" fontId="14" fillId="0" borderId="1" xfId="28" applyNumberFormat="1" applyFont="1" applyFill="1" applyBorder="1" applyAlignment="1">
      <alignment horizontal="right" wrapText="1"/>
    </xf>
    <xf numFmtId="166" fontId="14" fillId="0" borderId="11" xfId="28" applyNumberFormat="1" applyFont="1" applyFill="1" applyBorder="1" applyAlignment="1">
      <alignment horizontal="right" wrapText="1"/>
    </xf>
    <xf numFmtId="166" fontId="14" fillId="0" borderId="0" xfId="28" applyNumberFormat="1" applyFont="1" applyFill="1" applyBorder="1" applyAlignment="1">
      <alignment horizontal="right" wrapText="1"/>
    </xf>
    <xf numFmtId="0" fontId="0" fillId="0" borderId="0" xfId="0" applyAlignment="1">
      <alignment horizontal="right"/>
    </xf>
    <xf numFmtId="164" fontId="0" fillId="0" borderId="0" xfId="72" applyNumberFormat="1" applyFont="1" applyAlignment="1">
      <alignment horizontal="right"/>
    </xf>
    <xf numFmtId="166" fontId="2" fillId="0" borderId="0" xfId="28" applyNumberFormat="1" applyFill="1"/>
    <xf numFmtId="166" fontId="7" fillId="0" borderId="12" xfId="28" applyNumberFormat="1" applyFont="1" applyFill="1" applyBorder="1"/>
    <xf numFmtId="166" fontId="7" fillId="0" borderId="13" xfId="28" applyNumberFormat="1" applyFont="1" applyFill="1" applyBorder="1"/>
    <xf numFmtId="0" fontId="13" fillId="0" borderId="0" xfId="64" applyAlignment="1">
      <alignment wrapText="1"/>
    </xf>
    <xf numFmtId="0" fontId="13" fillId="0" borderId="0" xfId="64" applyAlignment="1">
      <alignment horizontal="right" wrapText="1"/>
    </xf>
    <xf numFmtId="166" fontId="14" fillId="0" borderId="13" xfId="28" applyNumberFormat="1" applyFont="1" applyFill="1" applyBorder="1" applyAlignment="1">
      <alignment horizontal="right" wrapText="1"/>
    </xf>
    <xf numFmtId="166" fontId="14" fillId="0" borderId="2" xfId="28" applyNumberFormat="1" applyFont="1" applyFill="1" applyBorder="1" applyAlignment="1">
      <alignment horizontal="right" wrapText="1"/>
    </xf>
    <xf numFmtId="0" fontId="5" fillId="0" borderId="0" xfId="0" applyFont="1" applyAlignment="1">
      <alignment horizontal="center"/>
    </xf>
    <xf numFmtId="166" fontId="14" fillId="0" borderId="12" xfId="28" applyNumberFormat="1" applyFont="1" applyFill="1" applyBorder="1" applyAlignment="1">
      <alignment horizontal="right" wrapText="1"/>
    </xf>
    <xf numFmtId="9" fontId="0" fillId="0" borderId="0" xfId="72" applyFont="1"/>
    <xf numFmtId="10" fontId="3" fillId="0" borderId="0" xfId="72" applyNumberFormat="1" applyFont="1"/>
    <xf numFmtId="10" fontId="3" fillId="0" borderId="2" xfId="72" applyNumberFormat="1" applyFont="1" applyBorder="1"/>
    <xf numFmtId="10" fontId="3" fillId="0" borderId="3" xfId="72" applyNumberFormat="1" applyFont="1" applyBorder="1"/>
    <xf numFmtId="1" fontId="8" fillId="0" borderId="2" xfId="28" applyNumberFormat="1" applyFont="1" applyBorder="1" applyAlignment="1">
      <alignment horizontal="right" wrapText="1"/>
    </xf>
    <xf numFmtId="1" fontId="8" fillId="0" borderId="2" xfId="28" applyNumberFormat="1" applyFont="1" applyBorder="1" applyAlignment="1">
      <alignment horizontal="center" wrapText="1"/>
    </xf>
    <xf numFmtId="0" fontId="27" fillId="0" borderId="0" xfId="57"/>
    <xf numFmtId="0" fontId="15" fillId="0" borderId="0" xfId="51" applyAlignment="1">
      <alignment vertical="top" wrapText="1"/>
    </xf>
    <xf numFmtId="0" fontId="16" fillId="0" borderId="0" xfId="69" applyAlignment="1">
      <alignment wrapText="1"/>
    </xf>
    <xf numFmtId="0" fontId="10" fillId="0" borderId="0" xfId="51" applyFont="1" applyAlignment="1">
      <alignment vertical="top" wrapText="1"/>
    </xf>
    <xf numFmtId="0" fontId="27" fillId="0" borderId="0" xfId="57" applyAlignment="1">
      <alignment vertical="top" wrapText="1"/>
    </xf>
    <xf numFmtId="0" fontId="15" fillId="0" borderId="0" xfId="51" applyAlignment="1">
      <alignment vertical="top"/>
    </xf>
    <xf numFmtId="0" fontId="27" fillId="0" borderId="0" xfId="57" applyAlignment="1">
      <alignment vertical="top"/>
    </xf>
    <xf numFmtId="0" fontId="0" fillId="0" borderId="0" xfId="0" applyAlignment="1">
      <alignment vertical="top"/>
    </xf>
    <xf numFmtId="0" fontId="27" fillId="33" borderId="14" xfId="57" applyFill="1" applyBorder="1" applyAlignment="1">
      <alignment vertical="top"/>
    </xf>
    <xf numFmtId="0" fontId="27" fillId="33" borderId="15" xfId="57" applyFill="1" applyBorder="1" applyAlignment="1">
      <alignment vertical="top"/>
    </xf>
    <xf numFmtId="0" fontId="15" fillId="34" borderId="16" xfId="51" applyFill="1" applyBorder="1" applyAlignment="1">
      <alignment vertical="top"/>
    </xf>
    <xf numFmtId="0" fontId="27" fillId="34" borderId="0" xfId="57" applyFill="1" applyAlignment="1">
      <alignment horizontal="center" vertical="top"/>
    </xf>
    <xf numFmtId="0" fontId="27" fillId="34" borderId="17" xfId="57" applyFill="1" applyBorder="1" applyAlignment="1">
      <alignment horizontal="center" vertical="top"/>
    </xf>
    <xf numFmtId="0" fontId="27" fillId="34" borderId="2" xfId="57" applyFill="1" applyBorder="1" applyAlignment="1">
      <alignment vertical="top"/>
    </xf>
    <xf numFmtId="0" fontId="27" fillId="34" borderId="19" xfId="57" applyFill="1" applyBorder="1" applyAlignment="1">
      <alignment horizontal="center" vertical="top"/>
    </xf>
    <xf numFmtId="0" fontId="27" fillId="34" borderId="2" xfId="57" applyFill="1" applyBorder="1" applyAlignment="1">
      <alignment horizontal="center" vertical="top"/>
    </xf>
    <xf numFmtId="0" fontId="27" fillId="34" borderId="21" xfId="57" applyFill="1" applyBorder="1" applyAlignment="1">
      <alignment vertical="top"/>
    </xf>
    <xf numFmtId="0" fontId="27" fillId="34" borderId="0" xfId="57" applyFill="1" applyAlignment="1">
      <alignment vertical="top"/>
    </xf>
    <xf numFmtId="0" fontId="27" fillId="34" borderId="22" xfId="57" applyFill="1" applyBorder="1" applyAlignment="1">
      <alignment vertical="top"/>
    </xf>
    <xf numFmtId="0" fontId="27" fillId="34" borderId="17" xfId="57" applyFill="1" applyBorder="1" applyAlignment="1">
      <alignment vertical="top"/>
    </xf>
    <xf numFmtId="0" fontId="27" fillId="34" borderId="19" xfId="57" applyFill="1" applyBorder="1" applyAlignment="1">
      <alignment vertical="top"/>
    </xf>
    <xf numFmtId="166" fontId="0" fillId="0" borderId="0" xfId="0" applyNumberFormat="1"/>
    <xf numFmtId="3" fontId="9" fillId="0" borderId="0" xfId="68" applyNumberFormat="1" applyFont="1"/>
    <xf numFmtId="3" fontId="44" fillId="0" borderId="0" xfId="0" applyNumberFormat="1" applyFont="1"/>
    <xf numFmtId="166" fontId="27" fillId="0" borderId="0" xfId="40" applyNumberFormat="1" applyFont="1" applyBorder="1"/>
    <xf numFmtId="166" fontId="27" fillId="0" borderId="0" xfId="57" applyNumberFormat="1"/>
    <xf numFmtId="166" fontId="27" fillId="0" borderId="0" xfId="40" applyNumberFormat="1" applyFont="1"/>
    <xf numFmtId="0" fontId="13" fillId="0" borderId="0" xfId="63" applyAlignment="1">
      <alignment wrapText="1"/>
    </xf>
    <xf numFmtId="0" fontId="27" fillId="0" borderId="0" xfId="57" applyAlignment="1">
      <alignment horizontal="left"/>
    </xf>
    <xf numFmtId="0" fontId="13" fillId="0" borderId="0" xfId="63" applyAlignment="1">
      <alignment horizontal="center"/>
    </xf>
    <xf numFmtId="0" fontId="9" fillId="0" borderId="23" xfId="0" applyFont="1" applyBorder="1" applyAlignment="1">
      <alignment horizontal="right"/>
    </xf>
    <xf numFmtId="0" fontId="45" fillId="0" borderId="0" xfId="65" applyFont="1" applyAlignment="1">
      <alignment horizontal="center"/>
    </xf>
    <xf numFmtId="0" fontId="9" fillId="0" borderId="24" xfId="0" quotePrefix="1" applyFont="1" applyBorder="1"/>
    <xf numFmtId="0" fontId="0" fillId="0" borderId="25" xfId="0" applyBorder="1"/>
    <xf numFmtId="166" fontId="46" fillId="0" borderId="0" xfId="0" applyNumberFormat="1" applyFont="1"/>
    <xf numFmtId="0" fontId="9" fillId="0" borderId="23" xfId="0" applyFont="1" applyBorder="1" applyAlignment="1">
      <alignment horizontal="left"/>
    </xf>
    <xf numFmtId="0" fontId="43" fillId="0" borderId="0" xfId="56" applyFont="1" applyAlignment="1">
      <alignment horizontal="left"/>
    </xf>
    <xf numFmtId="0" fontId="9" fillId="0" borderId="26" xfId="0" applyFont="1" applyBorder="1"/>
    <xf numFmtId="0" fontId="0" fillId="0" borderId="27" xfId="0" applyBorder="1"/>
    <xf numFmtId="167" fontId="0" fillId="0" borderId="28" xfId="0" applyNumberFormat="1" applyBorder="1" applyAlignment="1">
      <alignment horizontal="right"/>
    </xf>
    <xf numFmtId="0" fontId="46" fillId="0" borderId="0" xfId="0" applyFont="1"/>
    <xf numFmtId="0" fontId="0" fillId="0" borderId="23" xfId="0" applyBorder="1"/>
    <xf numFmtId="166" fontId="43" fillId="0" borderId="0" xfId="56" applyNumberFormat="1" applyFont="1"/>
    <xf numFmtId="0" fontId="45" fillId="0" borderId="0" xfId="61" applyFont="1" applyAlignment="1">
      <alignment horizontal="center"/>
    </xf>
    <xf numFmtId="0" fontId="9" fillId="0" borderId="29" xfId="0" quotePrefix="1" applyFont="1" applyBorder="1"/>
    <xf numFmtId="167" fontId="0" fillId="0" borderId="30" xfId="0" applyNumberFormat="1" applyBorder="1" applyAlignment="1">
      <alignment horizontal="right"/>
    </xf>
    <xf numFmtId="0" fontId="27" fillId="0" borderId="0" xfId="56"/>
    <xf numFmtId="0" fontId="27" fillId="0" borderId="0" xfId="56" applyAlignment="1">
      <alignment horizontal="left"/>
    </xf>
    <xf numFmtId="0" fontId="15" fillId="0" borderId="0" xfId="54" applyAlignment="1">
      <alignment vertical="center"/>
    </xf>
    <xf numFmtId="3" fontId="20" fillId="0" borderId="0" xfId="0" applyNumberFormat="1" applyFont="1"/>
    <xf numFmtId="0" fontId="15" fillId="0" borderId="0" xfId="54" quotePrefix="1" applyAlignment="1">
      <alignment vertical="center"/>
    </xf>
    <xf numFmtId="43" fontId="15" fillId="0" borderId="0" xfId="32" applyFill="1" applyBorder="1" applyAlignment="1">
      <alignment vertical="center"/>
    </xf>
    <xf numFmtId="43" fontId="0" fillId="0" borderId="0" xfId="0" applyNumberFormat="1"/>
    <xf numFmtId="43" fontId="15" fillId="0" borderId="0" xfId="32" applyFill="1" applyBorder="1" applyAlignment="1">
      <alignment horizontal="left" vertical="center"/>
    </xf>
    <xf numFmtId="43" fontId="15" fillId="0" borderId="0" xfId="32" applyFont="1" applyFill="1" applyBorder="1" applyAlignment="1">
      <alignment vertical="center"/>
    </xf>
    <xf numFmtId="43" fontId="15" fillId="0" borderId="0" xfId="32" quotePrefix="1" applyFill="1" applyBorder="1" applyAlignment="1">
      <alignment vertical="center"/>
    </xf>
    <xf numFmtId="0" fontId="8" fillId="33" borderId="20" xfId="51" applyFont="1" applyFill="1" applyBorder="1" applyAlignment="1">
      <alignment vertical="top"/>
    </xf>
    <xf numFmtId="0" fontId="8" fillId="33" borderId="31" xfId="51" applyFont="1" applyFill="1" applyBorder="1" applyAlignment="1">
      <alignment vertical="top"/>
    </xf>
    <xf numFmtId="0" fontId="8" fillId="33" borderId="31" xfId="51" applyFont="1" applyFill="1" applyBorder="1" applyAlignment="1">
      <alignment horizontal="center" vertical="top"/>
    </xf>
    <xf numFmtId="0" fontId="42" fillId="33" borderId="21" xfId="57" applyFont="1" applyFill="1" applyBorder="1" applyAlignment="1">
      <alignment horizontal="center" vertical="top"/>
    </xf>
    <xf numFmtId="0" fontId="42" fillId="33" borderId="22" xfId="57" applyFont="1" applyFill="1" applyBorder="1" applyAlignment="1">
      <alignment horizontal="center" vertical="top"/>
    </xf>
    <xf numFmtId="166" fontId="0" fillId="0" borderId="0" xfId="28" applyNumberFormat="1" applyFont="1" applyFill="1" applyAlignment="1">
      <alignment horizontal="right"/>
    </xf>
    <xf numFmtId="164" fontId="0" fillId="0" borderId="0" xfId="72" applyNumberFormat="1" applyFont="1" applyFill="1" applyAlignment="1">
      <alignment horizontal="right"/>
    </xf>
    <xf numFmtId="164" fontId="0" fillId="0" borderId="0" xfId="72" applyNumberFormat="1" applyFont="1" applyFill="1"/>
    <xf numFmtId="1" fontId="8" fillId="0" borderId="2" xfId="28" applyNumberFormat="1" applyFont="1" applyFill="1" applyBorder="1" applyAlignment="1">
      <alignment horizontal="right"/>
    </xf>
    <xf numFmtId="164" fontId="3" fillId="0" borderId="0" xfId="28" applyNumberFormat="1" applyFont="1" applyFill="1" applyBorder="1" applyAlignment="1">
      <alignment horizontal="right"/>
    </xf>
    <xf numFmtId="164" fontId="3" fillId="0" borderId="0" xfId="72" applyNumberFormat="1" applyFont="1" applyFill="1" applyBorder="1"/>
    <xf numFmtId="166" fontId="7" fillId="0" borderId="21" xfId="28" applyNumberFormat="1" applyFont="1" applyFill="1" applyBorder="1"/>
    <xf numFmtId="10" fontId="3" fillId="0" borderId="0" xfId="72" applyNumberFormat="1" applyFont="1" applyFill="1"/>
    <xf numFmtId="10" fontId="3" fillId="0" borderId="2" xfId="72" applyNumberFormat="1" applyFont="1" applyFill="1" applyBorder="1"/>
    <xf numFmtId="9" fontId="0" fillId="0" borderId="0" xfId="72" applyFont="1" applyFill="1"/>
    <xf numFmtId="10" fontId="3" fillId="0" borderId="3" xfId="72" applyNumberFormat="1" applyFont="1" applyFill="1" applyBorder="1"/>
    <xf numFmtId="166" fontId="5" fillId="0" borderId="2" xfId="28" applyNumberFormat="1" applyFont="1" applyFill="1" applyBorder="1" applyAlignment="1">
      <alignment horizontal="right"/>
    </xf>
    <xf numFmtId="43" fontId="0" fillId="0" borderId="0" xfId="28" applyFont="1"/>
    <xf numFmtId="43" fontId="7" fillId="0" borderId="0" xfId="28" applyFont="1" applyFill="1"/>
    <xf numFmtId="43" fontId="7" fillId="0" borderId="2" xfId="28" applyFont="1" applyFill="1" applyBorder="1"/>
    <xf numFmtId="43" fontId="7" fillId="0" borderId="0" xfId="28" applyFont="1" applyFill="1" applyBorder="1"/>
    <xf numFmtId="0" fontId="8" fillId="33" borderId="14" xfId="51" applyFont="1" applyFill="1" applyBorder="1" applyAlignment="1">
      <alignment horizontal="center" vertical="top"/>
    </xf>
    <xf numFmtId="0" fontId="8" fillId="33" borderId="15" xfId="51" applyFont="1" applyFill="1" applyBorder="1" applyAlignment="1">
      <alignment horizontal="center" vertical="top"/>
    </xf>
    <xf numFmtId="0" fontId="2" fillId="34" borderId="16" xfId="51" applyFont="1" applyFill="1" applyBorder="1" applyAlignment="1">
      <alignment vertical="top"/>
    </xf>
    <xf numFmtId="0" fontId="2" fillId="34" borderId="18" xfId="51" applyFont="1" applyFill="1" applyBorder="1" applyAlignment="1">
      <alignment vertical="top"/>
    </xf>
    <xf numFmtId="0" fontId="2" fillId="34" borderId="20" xfId="51" applyFont="1" applyFill="1" applyBorder="1" applyAlignment="1">
      <alignment vertical="top"/>
    </xf>
    <xf numFmtId="0" fontId="2" fillId="34" borderId="21" xfId="51" applyFont="1" applyFill="1" applyBorder="1" applyAlignment="1">
      <alignment vertical="top"/>
    </xf>
    <xf numFmtId="0" fontId="2" fillId="34" borderId="22" xfId="51" applyFont="1" applyFill="1" applyBorder="1" applyAlignment="1">
      <alignment vertical="top"/>
    </xf>
    <xf numFmtId="0" fontId="2" fillId="34" borderId="0" xfId="51" applyFont="1" applyFill="1" applyAlignment="1">
      <alignment vertical="top"/>
    </xf>
    <xf numFmtId="0" fontId="2" fillId="34" borderId="17" xfId="51" applyFont="1" applyFill="1" applyBorder="1" applyAlignment="1">
      <alignment vertical="top"/>
    </xf>
    <xf numFmtId="0" fontId="2" fillId="34" borderId="2" xfId="51" applyFont="1" applyFill="1" applyBorder="1" applyAlignment="1">
      <alignment vertical="top"/>
    </xf>
    <xf numFmtId="0" fontId="2" fillId="34" borderId="19" xfId="51" applyFont="1" applyFill="1" applyBorder="1" applyAlignment="1">
      <alignment vertical="top"/>
    </xf>
    <xf numFmtId="0" fontId="13" fillId="0" borderId="0" xfId="62" applyFont="1" applyAlignment="1">
      <alignment wrapText="1"/>
    </xf>
    <xf numFmtId="0" fontId="2" fillId="34" borderId="22" xfId="51" applyFont="1" applyFill="1" applyBorder="1" applyAlignment="1">
      <alignment horizontal="center" vertical="top"/>
    </xf>
    <xf numFmtId="0" fontId="2" fillId="34" borderId="17" xfId="51" applyFont="1" applyFill="1" applyBorder="1" applyAlignment="1">
      <alignment horizontal="center" vertical="top"/>
    </xf>
    <xf numFmtId="0" fontId="2" fillId="0" borderId="0" xfId="0" applyFont="1"/>
    <xf numFmtId="166" fontId="14" fillId="0" borderId="21" xfId="28" applyNumberFormat="1" applyFont="1" applyFill="1" applyBorder="1" applyAlignment="1">
      <alignment horizontal="right" wrapText="1"/>
    </xf>
    <xf numFmtId="43" fontId="7" fillId="0" borderId="21" xfId="28" applyFont="1" applyFill="1" applyBorder="1"/>
    <xf numFmtId="0" fontId="2" fillId="35" borderId="21" xfId="51" applyFont="1" applyFill="1" applyBorder="1" applyAlignment="1">
      <alignment horizontal="center" vertical="top"/>
    </xf>
    <xf numFmtId="1" fontId="8" fillId="0" borderId="2" xfId="28" applyNumberFormat="1" applyFont="1" applyFill="1" applyBorder="1" applyAlignment="1">
      <alignment horizontal="right" wrapText="1"/>
    </xf>
    <xf numFmtId="10" fontId="8" fillId="0" borderId="0" xfId="0" applyNumberFormat="1" applyFont="1"/>
    <xf numFmtId="0" fontId="8" fillId="0" borderId="2" xfId="0" applyFont="1" applyBorder="1" applyAlignment="1">
      <alignment horizontal="right"/>
    </xf>
    <xf numFmtId="1" fontId="8" fillId="0" borderId="0" xfId="0" applyNumberFormat="1" applyFont="1"/>
    <xf numFmtId="10" fontId="3" fillId="0" borderId="2" xfId="68" applyNumberFormat="1" applyFont="1" applyBorder="1"/>
    <xf numFmtId="10" fontId="7" fillId="0" borderId="3" xfId="72" applyNumberFormat="1" applyFont="1" applyFill="1" applyBorder="1"/>
    <xf numFmtId="166" fontId="7" fillId="36" borderId="0" xfId="28" applyNumberFormat="1" applyFont="1" applyFill="1"/>
    <xf numFmtId="166" fontId="7" fillId="36" borderId="2" xfId="28" applyNumberFormat="1" applyFont="1" applyFill="1" applyBorder="1"/>
    <xf numFmtId="166" fontId="7" fillId="36" borderId="3" xfId="28" applyNumberFormat="1" applyFont="1" applyFill="1" applyBorder="1"/>
    <xf numFmtId="166" fontId="5" fillId="36" borderId="2" xfId="28" applyNumberFormat="1" applyFont="1" applyFill="1" applyBorder="1" applyAlignment="1">
      <alignment horizontal="right"/>
    </xf>
    <xf numFmtId="0" fontId="1" fillId="0" borderId="0" xfId="56" applyFont="1" applyAlignment="1">
      <alignment horizontal="left"/>
    </xf>
    <xf numFmtId="0" fontId="10" fillId="33" borderId="31" xfId="51" applyFont="1" applyFill="1" applyBorder="1" applyAlignment="1">
      <alignment horizontal="center" vertical="top" wrapText="1"/>
    </xf>
    <xf numFmtId="0" fontId="27" fillId="33" borderId="14" xfId="57" applyFill="1" applyBorder="1" applyAlignment="1">
      <alignment horizontal="center" vertical="top" wrapText="1"/>
    </xf>
    <xf numFmtId="0" fontId="27" fillId="33" borderId="15" xfId="57" applyFill="1" applyBorder="1" applyAlignment="1">
      <alignment horizontal="center" vertical="top" wrapText="1"/>
    </xf>
    <xf numFmtId="0" fontId="15" fillId="34" borderId="31" xfId="51" applyFill="1" applyBorder="1" applyAlignment="1">
      <alignment vertical="top" wrapText="1"/>
    </xf>
    <xf numFmtId="0" fontId="27" fillId="34" borderId="14" xfId="57" applyFill="1" applyBorder="1" applyAlignment="1">
      <alignment vertical="top" wrapText="1"/>
    </xf>
    <xf numFmtId="0" fontId="27" fillId="34" borderId="15" xfId="57" applyFill="1" applyBorder="1" applyAlignment="1">
      <alignment vertical="top" wrapText="1"/>
    </xf>
    <xf numFmtId="0" fontId="2" fillId="34" borderId="31" xfId="51" applyFont="1" applyFill="1" applyBorder="1" applyAlignment="1">
      <alignment vertical="top" wrapText="1"/>
    </xf>
    <xf numFmtId="0" fontId="17" fillId="34" borderId="31" xfId="51" applyFont="1" applyFill="1" applyBorder="1" applyAlignment="1">
      <alignment horizontal="center" vertical="top" wrapText="1"/>
    </xf>
    <xf numFmtId="0" fontId="47" fillId="34" borderId="14" xfId="57" applyFont="1" applyFill="1" applyBorder="1" applyAlignment="1">
      <alignment horizontal="center" vertical="top" wrapText="1"/>
    </xf>
    <xf numFmtId="0" fontId="47" fillId="34" borderId="15" xfId="57" applyFont="1" applyFill="1" applyBorder="1" applyAlignment="1">
      <alignment horizontal="center" vertical="top" wrapText="1"/>
    </xf>
    <xf numFmtId="0" fontId="2" fillId="36" borderId="31" xfId="51" applyFont="1" applyFill="1" applyBorder="1" applyAlignment="1">
      <alignment vertical="top" wrapText="1"/>
    </xf>
    <xf numFmtId="0" fontId="48" fillId="36" borderId="14" xfId="57" applyFont="1" applyFill="1" applyBorder="1" applyAlignment="1">
      <alignment vertical="top" wrapText="1"/>
    </xf>
    <xf numFmtId="0" fontId="48" fillId="36" borderId="15" xfId="57" applyFont="1" applyFill="1" applyBorder="1" applyAlignment="1">
      <alignment vertical="top" wrapText="1"/>
    </xf>
    <xf numFmtId="0" fontId="8" fillId="33" borderId="14" xfId="51" applyFont="1" applyFill="1" applyBorder="1" applyAlignment="1">
      <alignment horizontal="center" vertical="top"/>
    </xf>
    <xf numFmtId="0" fontId="8" fillId="33" borderId="15" xfId="51" applyFont="1" applyFill="1" applyBorder="1" applyAlignment="1">
      <alignment horizontal="center" vertical="top"/>
    </xf>
    <xf numFmtId="0" fontId="23" fillId="0" borderId="0" xfId="0" applyFont="1" applyAlignment="1">
      <alignment horizontal="center"/>
    </xf>
    <xf numFmtId="0" fontId="0" fillId="0" borderId="0" xfId="0" applyAlignment="1">
      <alignment horizontal="center"/>
    </xf>
    <xf numFmtId="0" fontId="24" fillId="0" borderId="26" xfId="0" applyFont="1" applyBorder="1" applyAlignment="1">
      <alignment horizontal="center"/>
    </xf>
    <xf numFmtId="0" fontId="24" fillId="0" borderId="27" xfId="0" applyFont="1" applyBorder="1" applyAlignment="1">
      <alignment horizontal="center"/>
    </xf>
    <xf numFmtId="167" fontId="24" fillId="0" borderId="32" xfId="0" applyNumberFormat="1" applyFont="1" applyBorder="1" applyAlignment="1">
      <alignment horizontal="center"/>
    </xf>
    <xf numFmtId="0" fontId="0" fillId="0" borderId="33" xfId="0" applyBorder="1" applyAlignment="1">
      <alignment horizontal="center"/>
    </xf>
    <xf numFmtId="0" fontId="24" fillId="0" borderId="30" xfId="0" applyFont="1" applyBorder="1" applyAlignment="1">
      <alignment horizontal="center"/>
    </xf>
    <xf numFmtId="0" fontId="24" fillId="0" borderId="24" xfId="0" applyFont="1" applyBorder="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2" xfId="29" xr:uid="{00000000-0005-0000-0000-00001C000000}"/>
    <cellStyle name="Comma 2 2 2" xfId="30" xr:uid="{00000000-0005-0000-0000-00001D000000}"/>
    <cellStyle name="Comma 2 3" xfId="31" xr:uid="{00000000-0005-0000-0000-00001E000000}"/>
    <cellStyle name="Comma 2 4" xfId="32" xr:uid="{00000000-0005-0000-0000-00001F000000}"/>
    <cellStyle name="Comma 2 4 2" xfId="33" xr:uid="{00000000-0005-0000-0000-000020000000}"/>
    <cellStyle name="Comma 2 5" xfId="34" xr:uid="{00000000-0005-0000-0000-000021000000}"/>
    <cellStyle name="Comma 3 2" xfId="35" xr:uid="{00000000-0005-0000-0000-000022000000}"/>
    <cellStyle name="Comma 3 3" xfId="36" xr:uid="{00000000-0005-0000-0000-000023000000}"/>
    <cellStyle name="Comma 4 2" xfId="37" xr:uid="{00000000-0005-0000-0000-000024000000}"/>
    <cellStyle name="Comma 4 3" xfId="38" xr:uid="{00000000-0005-0000-0000-000025000000}"/>
    <cellStyle name="Comma 5 2" xfId="39" xr:uid="{00000000-0005-0000-0000-000026000000}"/>
    <cellStyle name="Comma 7" xfId="40" xr:uid="{00000000-0005-0000-0000-000027000000}"/>
    <cellStyle name="Currency 2" xfId="41" xr:uid="{00000000-0005-0000-0000-000028000000}"/>
    <cellStyle name="Explanatory Text" xfId="42" builtinId="53" customBuiltin="1"/>
    <cellStyle name="Good" xfId="43" builtinId="26" customBuiltin="1"/>
    <cellStyle name="Heading 1" xfId="44" builtinId="16" customBuiltin="1"/>
    <cellStyle name="Heading 2" xfId="45" builtinId="17" customBuiltin="1"/>
    <cellStyle name="Heading 3" xfId="46" builtinId="18" customBuiltin="1"/>
    <cellStyle name="Heading 4" xfId="47" builtinId="19" customBuiltin="1"/>
    <cellStyle name="Input" xfId="48" builtinId="20" customBuiltin="1"/>
    <cellStyle name="Linked Cell" xfId="49" builtinId="24" customBuiltin="1"/>
    <cellStyle name="Neutral" xfId="50" builtinId="28" customBuiltin="1"/>
    <cellStyle name="Normal" xfId="0" builtinId="0"/>
    <cellStyle name="Normal 2" xfId="51" xr:uid="{00000000-0005-0000-0000-000033000000}"/>
    <cellStyle name="Normal 2 2" xfId="52" xr:uid="{00000000-0005-0000-0000-000034000000}"/>
    <cellStyle name="Normal 2 3" xfId="53" xr:uid="{00000000-0005-0000-0000-000035000000}"/>
    <cellStyle name="Normal 2 4" xfId="54" xr:uid="{00000000-0005-0000-0000-000036000000}"/>
    <cellStyle name="Normal 2 4 2" xfId="55" xr:uid="{00000000-0005-0000-0000-000037000000}"/>
    <cellStyle name="Normal 2 5" xfId="56" xr:uid="{00000000-0005-0000-0000-000038000000}"/>
    <cellStyle name="Normal 3" xfId="57" xr:uid="{00000000-0005-0000-0000-000039000000}"/>
    <cellStyle name="Normal 3 2" xfId="58" xr:uid="{00000000-0005-0000-0000-00003A000000}"/>
    <cellStyle name="Normal 3 3" xfId="59" xr:uid="{00000000-0005-0000-0000-00003B000000}"/>
    <cellStyle name="Normal 3 4" xfId="60" xr:uid="{00000000-0005-0000-0000-00003C000000}"/>
    <cellStyle name="Normal_CompareByHand&amp;ACCESS_1" xfId="61" xr:uid="{00000000-0005-0000-0000-00003D000000}"/>
    <cellStyle name="Normal_Exp&amp;RevDefinition" xfId="62" xr:uid="{00000000-0005-0000-0000-00003E000000}"/>
    <cellStyle name="Normal_Exp&amp;RevDefinition_1" xfId="63" xr:uid="{00000000-0005-0000-0000-00003F000000}"/>
    <cellStyle name="Normal_FuncFinal" xfId="64" xr:uid="{00000000-0005-0000-0000-000040000000}"/>
    <cellStyle name="Normal_Rev" xfId="65" xr:uid="{00000000-0005-0000-0000-000041000000}"/>
    <cellStyle name="Normal_Sheet1" xfId="66" xr:uid="{00000000-0005-0000-0000-000042000000}"/>
    <cellStyle name="Normal_Sheet13" xfId="67" xr:uid="{00000000-0005-0000-0000-000043000000}"/>
    <cellStyle name="Normal_Sheet2" xfId="68" xr:uid="{00000000-0005-0000-0000-000044000000}"/>
    <cellStyle name="Normal_Sheet4" xfId="69" xr:uid="{00000000-0005-0000-0000-000045000000}"/>
    <cellStyle name="Note 2" xfId="70" xr:uid="{00000000-0005-0000-0000-000046000000}"/>
    <cellStyle name="Output" xfId="71" builtinId="21" customBuiltin="1"/>
    <cellStyle name="Percent" xfId="72" builtinId="5"/>
    <cellStyle name="Percent 2" xfId="73" xr:uid="{00000000-0005-0000-0000-000049000000}"/>
    <cellStyle name="Percent 2 2" xfId="74" xr:uid="{00000000-0005-0000-0000-00004A000000}"/>
    <cellStyle name="Title" xfId="75" builtinId="15" customBuiltin="1"/>
    <cellStyle name="Total" xfId="76" builtinId="25" customBuiltin="1"/>
    <cellStyle name="Warning Text" xfId="77" builtinId="11" customBuiltin="1"/>
  </cellStyles>
  <dxfs count="0"/>
  <tableStyles count="1" defaultTableStyle="TableStyleMedium9" defaultPivotStyle="PivotStyleLight16">
    <tableStyle name="Invisible" pivot="0" table="0" count="0" xr9:uid="{58DD7483-EF16-4C90-9D35-6D4623E5EB8D}"/>
  </tableStyles>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0.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3.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5.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6.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7.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8.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3.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5.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6.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7.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8.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9.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7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7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7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7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7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7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7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7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7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7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7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7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7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7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7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7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7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2022-2023 school year, the average cost  to educate a student in Montana's K-12 public schools was </a:t>
          </a:r>
          <a:r>
            <a:rPr lang="en-US" sz="1000" b="0" i="0" u="none" strike="noStrike" baseline="0">
              <a:solidFill>
                <a:srgbClr val="FF0000"/>
              </a:solidFill>
              <a:latin typeface="Arial"/>
              <a:cs typeface="Arial"/>
            </a:rPr>
            <a:t>$14,148</a:t>
          </a:r>
          <a:r>
            <a:rPr lang="en-US" sz="1000" b="0" i="0" u="none" strike="noStrike" baseline="0">
              <a:solidFill>
                <a:sysClr val="windowText" lastClr="000000"/>
              </a:solidFill>
              <a:latin typeface="Arial"/>
              <a:cs typeface="Arial"/>
            </a:rPr>
            <a:t>.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perpupil1991_2023.xls December 2023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7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1168385" name="Object 1" hidden="1">
              <a:extLst>
                <a:ext uri="{63B3BB69-23CF-44E3-9099-C40C66FF867C}">
                  <a14:compatExt spid="_x0000_s1168385"/>
                </a:ext>
                <a:ext uri="{FF2B5EF4-FFF2-40B4-BE49-F238E27FC236}">
                  <a16:creationId xmlns:a16="http://schemas.microsoft.com/office/drawing/2014/main" id="{00000000-0008-0000-2700-000001D41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3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3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3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3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3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3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30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30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30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30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30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30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30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30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30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30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30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30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30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30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2013-2014 school year, the average cost  to educate a student in Montana's K-12 public schools was </a:t>
          </a:r>
          <a:r>
            <a:rPr lang="en-US" sz="1000" b="0" i="0" u="none" strike="noStrike" baseline="0">
              <a:solidFill>
                <a:schemeClr val="tx1"/>
              </a:solidFill>
              <a:latin typeface="Arial"/>
              <a:cs typeface="Arial"/>
            </a:rPr>
            <a:t>$10,874.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perpupil1991_2014.xls December 2014</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30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18113" name="Object 1" hidden="1">
              <a:extLst>
                <a:ext uri="{63B3BB69-23CF-44E3-9099-C40C66FF867C}">
                  <a14:compatExt spid="_x0000_s218113"/>
                </a:ext>
                <a:ext uri="{FF2B5EF4-FFF2-40B4-BE49-F238E27FC236}">
                  <a16:creationId xmlns:a16="http://schemas.microsoft.com/office/drawing/2014/main" id="{00000000-0008-0000-3000-0000015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3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3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3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3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31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31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31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31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31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31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31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31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31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31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31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31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31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31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31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31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2012-2013 school year, the average cost  to educate a student in Montana's K-12 public schools was </a:t>
          </a:r>
          <a:r>
            <a:rPr lang="en-US" sz="1000" b="0" i="0" u="none" strike="noStrike" baseline="0">
              <a:solidFill>
                <a:schemeClr val="tx1"/>
              </a:solidFill>
              <a:latin typeface="Arial"/>
              <a:cs typeface="Arial"/>
            </a:rPr>
            <a:t>$10,536.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perpupil1991_2013.xls December 2013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31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121857" name="Object 1" hidden="1">
              <a:extLst>
                <a:ext uri="{63B3BB69-23CF-44E3-9099-C40C66FF867C}">
                  <a14:compatExt spid="_x0000_s121857"/>
                </a:ext>
                <a:ext uri="{FF2B5EF4-FFF2-40B4-BE49-F238E27FC236}">
                  <a16:creationId xmlns:a16="http://schemas.microsoft.com/office/drawing/2014/main" id="{00000000-0008-0000-3100-000001D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9658" name="Picture 2" descr="FD02177_">
          <a:extLst>
            <a:ext uri="{FF2B5EF4-FFF2-40B4-BE49-F238E27FC236}">
              <a16:creationId xmlns:a16="http://schemas.microsoft.com/office/drawing/2014/main" id="{00000000-0008-0000-3200-0000FAC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9659" name="Picture 3" descr="IN01042_">
          <a:extLst>
            <a:ext uri="{FF2B5EF4-FFF2-40B4-BE49-F238E27FC236}">
              <a16:creationId xmlns:a16="http://schemas.microsoft.com/office/drawing/2014/main" id="{00000000-0008-0000-3200-0000FBC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9660" name="Picture 4" descr="pe02463_">
          <a:extLst>
            <a:ext uri="{FF2B5EF4-FFF2-40B4-BE49-F238E27FC236}">
              <a16:creationId xmlns:a16="http://schemas.microsoft.com/office/drawing/2014/main" id="{00000000-0008-0000-3200-0000FCC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49661" name="Picture 5" descr="PE02652_">
          <a:extLst>
            <a:ext uri="{FF2B5EF4-FFF2-40B4-BE49-F238E27FC236}">
              <a16:creationId xmlns:a16="http://schemas.microsoft.com/office/drawing/2014/main" id="{00000000-0008-0000-3200-0000FDC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9662" name="Picture 6" descr="j0088914">
          <a:extLst>
            <a:ext uri="{FF2B5EF4-FFF2-40B4-BE49-F238E27FC236}">
              <a16:creationId xmlns:a16="http://schemas.microsoft.com/office/drawing/2014/main" id="{00000000-0008-0000-3200-0000FEC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9663" name="Picture 7" descr="j0090336">
          <a:extLst>
            <a:ext uri="{FF2B5EF4-FFF2-40B4-BE49-F238E27FC236}">
              <a16:creationId xmlns:a16="http://schemas.microsoft.com/office/drawing/2014/main" id="{00000000-0008-0000-3200-0000FFC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9664" name="Picture 8" descr="SL00780_">
          <a:extLst>
            <a:ext uri="{FF2B5EF4-FFF2-40B4-BE49-F238E27FC236}">
              <a16:creationId xmlns:a16="http://schemas.microsoft.com/office/drawing/2014/main" id="{00000000-0008-0000-3200-000000C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9665" name="Picture 9" descr="BD20205_">
          <a:extLst>
            <a:ext uri="{FF2B5EF4-FFF2-40B4-BE49-F238E27FC236}">
              <a16:creationId xmlns:a16="http://schemas.microsoft.com/office/drawing/2014/main" id="{00000000-0008-0000-3200-000001C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9666" name="Picture 10" descr="j0259360">
          <a:extLst>
            <a:ext uri="{FF2B5EF4-FFF2-40B4-BE49-F238E27FC236}">
              <a16:creationId xmlns:a16="http://schemas.microsoft.com/office/drawing/2014/main" id="{00000000-0008-0000-3200-000002C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9667" name="Picture 11" descr="j0088602">
          <a:extLst>
            <a:ext uri="{FF2B5EF4-FFF2-40B4-BE49-F238E27FC236}">
              <a16:creationId xmlns:a16="http://schemas.microsoft.com/office/drawing/2014/main" id="{00000000-0008-0000-3200-000003C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9668" name="Picture 12" descr="j0251519">
          <a:extLst>
            <a:ext uri="{FF2B5EF4-FFF2-40B4-BE49-F238E27FC236}">
              <a16:creationId xmlns:a16="http://schemas.microsoft.com/office/drawing/2014/main" id="{00000000-0008-0000-3200-000004C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9669" name="Picture 13" descr="pe02038a">
          <a:extLst>
            <a:ext uri="{FF2B5EF4-FFF2-40B4-BE49-F238E27FC236}">
              <a16:creationId xmlns:a16="http://schemas.microsoft.com/office/drawing/2014/main" id="{00000000-0008-0000-3200-000005C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9670" name="Line 22">
          <a:extLst>
            <a:ext uri="{FF2B5EF4-FFF2-40B4-BE49-F238E27FC236}">
              <a16:creationId xmlns:a16="http://schemas.microsoft.com/office/drawing/2014/main" id="{00000000-0008-0000-3200-000006C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9671" name="Line 23">
          <a:extLst>
            <a:ext uri="{FF2B5EF4-FFF2-40B4-BE49-F238E27FC236}">
              <a16:creationId xmlns:a16="http://schemas.microsoft.com/office/drawing/2014/main" id="{00000000-0008-0000-3200-000007C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9672" name="Line 24">
          <a:extLst>
            <a:ext uri="{FF2B5EF4-FFF2-40B4-BE49-F238E27FC236}">
              <a16:creationId xmlns:a16="http://schemas.microsoft.com/office/drawing/2014/main" id="{00000000-0008-0000-3200-000008C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9673" name="Line 25">
          <a:extLst>
            <a:ext uri="{FF2B5EF4-FFF2-40B4-BE49-F238E27FC236}">
              <a16:creationId xmlns:a16="http://schemas.microsoft.com/office/drawing/2014/main" id="{00000000-0008-0000-3200-000009C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9674" name="Line 27">
          <a:extLst>
            <a:ext uri="{FF2B5EF4-FFF2-40B4-BE49-F238E27FC236}">
              <a16:creationId xmlns:a16="http://schemas.microsoft.com/office/drawing/2014/main" id="{00000000-0008-0000-3200-00000AC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9675" name="Line 28">
          <a:extLst>
            <a:ext uri="{FF2B5EF4-FFF2-40B4-BE49-F238E27FC236}">
              <a16:creationId xmlns:a16="http://schemas.microsoft.com/office/drawing/2014/main" id="{00000000-0008-0000-3200-00000BC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9676" name="Line 29">
          <a:extLst>
            <a:ext uri="{FF2B5EF4-FFF2-40B4-BE49-F238E27FC236}">
              <a16:creationId xmlns:a16="http://schemas.microsoft.com/office/drawing/2014/main" id="{00000000-0008-0000-3200-00000CC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32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2011-2012 school year, the average cost  to educate a student in Montana's K-12 public schools was $10,400.  This cost includes current and long-term expenditures from all local, state, and federal funding sources except the Building, Enterprise type, Adult Education and Trust Funds. Includes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perpupil1991_2012.xls December 2012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9678" name="Line 32">
          <a:extLst>
            <a:ext uri="{FF2B5EF4-FFF2-40B4-BE49-F238E27FC236}">
              <a16:creationId xmlns:a16="http://schemas.microsoft.com/office/drawing/2014/main" id="{00000000-0008-0000-3200-00000EC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9153" name="Object 1" hidden="1">
              <a:extLst>
                <a:ext uri="{63B3BB69-23CF-44E3-9099-C40C66FF867C}">
                  <a14:compatExt spid="_x0000_s49153"/>
                </a:ext>
                <a:ext uri="{FF2B5EF4-FFF2-40B4-BE49-F238E27FC236}">
                  <a16:creationId xmlns:a16="http://schemas.microsoft.com/office/drawing/2014/main" id="{00000000-0008-0000-3200-000001C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5793" name="Picture 2" descr="FD02177_">
          <a:extLst>
            <a:ext uri="{FF2B5EF4-FFF2-40B4-BE49-F238E27FC236}">
              <a16:creationId xmlns:a16="http://schemas.microsoft.com/office/drawing/2014/main" id="{00000000-0008-0000-3300-0000E1B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5794" name="Picture 3" descr="IN01042_">
          <a:extLst>
            <a:ext uri="{FF2B5EF4-FFF2-40B4-BE49-F238E27FC236}">
              <a16:creationId xmlns:a16="http://schemas.microsoft.com/office/drawing/2014/main" id="{00000000-0008-0000-3300-0000E2B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5795" name="Picture 4" descr="pe02463_">
          <a:extLst>
            <a:ext uri="{FF2B5EF4-FFF2-40B4-BE49-F238E27FC236}">
              <a16:creationId xmlns:a16="http://schemas.microsoft.com/office/drawing/2014/main" id="{00000000-0008-0000-3300-0000E3B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5796" name="Picture 5" descr="PE02652_">
          <a:extLst>
            <a:ext uri="{FF2B5EF4-FFF2-40B4-BE49-F238E27FC236}">
              <a16:creationId xmlns:a16="http://schemas.microsoft.com/office/drawing/2014/main" id="{00000000-0008-0000-3300-0000E4B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5797" name="Picture 6" descr="j0088914">
          <a:extLst>
            <a:ext uri="{FF2B5EF4-FFF2-40B4-BE49-F238E27FC236}">
              <a16:creationId xmlns:a16="http://schemas.microsoft.com/office/drawing/2014/main" id="{00000000-0008-0000-3300-0000E5B2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5798" name="Picture 7" descr="j0090336">
          <a:extLst>
            <a:ext uri="{FF2B5EF4-FFF2-40B4-BE49-F238E27FC236}">
              <a16:creationId xmlns:a16="http://schemas.microsoft.com/office/drawing/2014/main" id="{00000000-0008-0000-3300-0000E6B2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5799" name="Picture 8" descr="SL00780_">
          <a:extLst>
            <a:ext uri="{FF2B5EF4-FFF2-40B4-BE49-F238E27FC236}">
              <a16:creationId xmlns:a16="http://schemas.microsoft.com/office/drawing/2014/main" id="{00000000-0008-0000-3300-0000E7B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5800" name="Picture 9" descr="BD20205_">
          <a:extLst>
            <a:ext uri="{FF2B5EF4-FFF2-40B4-BE49-F238E27FC236}">
              <a16:creationId xmlns:a16="http://schemas.microsoft.com/office/drawing/2014/main" id="{00000000-0008-0000-3300-0000E8B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5801" name="Picture 10" descr="j0259360">
          <a:extLst>
            <a:ext uri="{FF2B5EF4-FFF2-40B4-BE49-F238E27FC236}">
              <a16:creationId xmlns:a16="http://schemas.microsoft.com/office/drawing/2014/main" id="{00000000-0008-0000-3300-0000E9B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5802" name="Picture 11" descr="j0088602">
          <a:extLst>
            <a:ext uri="{FF2B5EF4-FFF2-40B4-BE49-F238E27FC236}">
              <a16:creationId xmlns:a16="http://schemas.microsoft.com/office/drawing/2014/main" id="{00000000-0008-0000-3300-0000EAB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5803" name="Picture 12" descr="j0251519">
          <a:extLst>
            <a:ext uri="{FF2B5EF4-FFF2-40B4-BE49-F238E27FC236}">
              <a16:creationId xmlns:a16="http://schemas.microsoft.com/office/drawing/2014/main" id="{00000000-0008-0000-3300-0000EBB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5804" name="Picture 13" descr="pe02038a">
          <a:extLst>
            <a:ext uri="{FF2B5EF4-FFF2-40B4-BE49-F238E27FC236}">
              <a16:creationId xmlns:a16="http://schemas.microsoft.com/office/drawing/2014/main" id="{00000000-0008-0000-3300-0000ECB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5805" name="Line 22">
          <a:extLst>
            <a:ext uri="{FF2B5EF4-FFF2-40B4-BE49-F238E27FC236}">
              <a16:creationId xmlns:a16="http://schemas.microsoft.com/office/drawing/2014/main" id="{00000000-0008-0000-3300-0000EDB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5806" name="Line 23">
          <a:extLst>
            <a:ext uri="{FF2B5EF4-FFF2-40B4-BE49-F238E27FC236}">
              <a16:creationId xmlns:a16="http://schemas.microsoft.com/office/drawing/2014/main" id="{00000000-0008-0000-3300-0000EEB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5807" name="Line 24">
          <a:extLst>
            <a:ext uri="{FF2B5EF4-FFF2-40B4-BE49-F238E27FC236}">
              <a16:creationId xmlns:a16="http://schemas.microsoft.com/office/drawing/2014/main" id="{00000000-0008-0000-3300-0000EFB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5808" name="Line 25">
          <a:extLst>
            <a:ext uri="{FF2B5EF4-FFF2-40B4-BE49-F238E27FC236}">
              <a16:creationId xmlns:a16="http://schemas.microsoft.com/office/drawing/2014/main" id="{00000000-0008-0000-3300-0000F0B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5809" name="Line 27">
          <a:extLst>
            <a:ext uri="{FF2B5EF4-FFF2-40B4-BE49-F238E27FC236}">
              <a16:creationId xmlns:a16="http://schemas.microsoft.com/office/drawing/2014/main" id="{00000000-0008-0000-3300-0000F1B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5810" name="Line 28">
          <a:extLst>
            <a:ext uri="{FF2B5EF4-FFF2-40B4-BE49-F238E27FC236}">
              <a16:creationId xmlns:a16="http://schemas.microsoft.com/office/drawing/2014/main" id="{00000000-0008-0000-3300-0000F2B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5811" name="Line 29">
          <a:extLst>
            <a:ext uri="{FF2B5EF4-FFF2-40B4-BE49-F238E27FC236}">
              <a16:creationId xmlns:a16="http://schemas.microsoft.com/office/drawing/2014/main" id="{00000000-0008-0000-3300-0000F3B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33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$9,802.  This cost includes current and long-term expenditures from all local, state, and federal funding sources except the Building, Enterprise type, Adult Education and Trust Funds. Excluding  Funding through SFSF and  ARRA</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5813" name="Line 32">
          <a:extLst>
            <a:ext uri="{FF2B5EF4-FFF2-40B4-BE49-F238E27FC236}">
              <a16:creationId xmlns:a16="http://schemas.microsoft.com/office/drawing/2014/main" id="{00000000-0008-0000-3300-0000F5B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3300-000001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4769" name="Picture 2" descr="FD02177_">
          <a:extLst>
            <a:ext uri="{FF2B5EF4-FFF2-40B4-BE49-F238E27FC236}">
              <a16:creationId xmlns:a16="http://schemas.microsoft.com/office/drawing/2014/main" id="{00000000-0008-0000-3400-0000E1A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4770" name="Picture 3" descr="IN01042_">
          <a:extLst>
            <a:ext uri="{FF2B5EF4-FFF2-40B4-BE49-F238E27FC236}">
              <a16:creationId xmlns:a16="http://schemas.microsoft.com/office/drawing/2014/main" id="{00000000-0008-0000-3400-0000E2A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4771" name="Picture 4" descr="pe02463_">
          <a:extLst>
            <a:ext uri="{FF2B5EF4-FFF2-40B4-BE49-F238E27FC236}">
              <a16:creationId xmlns:a16="http://schemas.microsoft.com/office/drawing/2014/main" id="{00000000-0008-0000-3400-0000E3AE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4772" name="Picture 5" descr="PE02652_">
          <a:extLst>
            <a:ext uri="{FF2B5EF4-FFF2-40B4-BE49-F238E27FC236}">
              <a16:creationId xmlns:a16="http://schemas.microsoft.com/office/drawing/2014/main" id="{00000000-0008-0000-3400-0000E4AE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4773" name="Picture 6" descr="j0088914">
          <a:extLst>
            <a:ext uri="{FF2B5EF4-FFF2-40B4-BE49-F238E27FC236}">
              <a16:creationId xmlns:a16="http://schemas.microsoft.com/office/drawing/2014/main" id="{00000000-0008-0000-3400-0000E5AE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4774" name="Picture 7" descr="j0090336">
          <a:extLst>
            <a:ext uri="{FF2B5EF4-FFF2-40B4-BE49-F238E27FC236}">
              <a16:creationId xmlns:a16="http://schemas.microsoft.com/office/drawing/2014/main" id="{00000000-0008-0000-3400-0000E6AE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4775" name="Picture 8" descr="SL00780_">
          <a:extLst>
            <a:ext uri="{FF2B5EF4-FFF2-40B4-BE49-F238E27FC236}">
              <a16:creationId xmlns:a16="http://schemas.microsoft.com/office/drawing/2014/main" id="{00000000-0008-0000-3400-0000E7AE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4776" name="Picture 9" descr="BD20205_">
          <a:extLst>
            <a:ext uri="{FF2B5EF4-FFF2-40B4-BE49-F238E27FC236}">
              <a16:creationId xmlns:a16="http://schemas.microsoft.com/office/drawing/2014/main" id="{00000000-0008-0000-3400-0000E8AE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4777" name="Picture 10" descr="j0259360">
          <a:extLst>
            <a:ext uri="{FF2B5EF4-FFF2-40B4-BE49-F238E27FC236}">
              <a16:creationId xmlns:a16="http://schemas.microsoft.com/office/drawing/2014/main" id="{00000000-0008-0000-3400-0000E9AE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4778" name="Picture 11" descr="j0088602">
          <a:extLst>
            <a:ext uri="{FF2B5EF4-FFF2-40B4-BE49-F238E27FC236}">
              <a16:creationId xmlns:a16="http://schemas.microsoft.com/office/drawing/2014/main" id="{00000000-0008-0000-3400-0000EAAE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4779" name="Picture 12" descr="j0251519">
          <a:extLst>
            <a:ext uri="{FF2B5EF4-FFF2-40B4-BE49-F238E27FC236}">
              <a16:creationId xmlns:a16="http://schemas.microsoft.com/office/drawing/2014/main" id="{00000000-0008-0000-3400-0000EBAE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4780" name="Picture 13" descr="pe02038a">
          <a:extLst>
            <a:ext uri="{FF2B5EF4-FFF2-40B4-BE49-F238E27FC236}">
              <a16:creationId xmlns:a16="http://schemas.microsoft.com/office/drawing/2014/main" id="{00000000-0008-0000-3400-0000ECAE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4781" name="Line 22">
          <a:extLst>
            <a:ext uri="{FF2B5EF4-FFF2-40B4-BE49-F238E27FC236}">
              <a16:creationId xmlns:a16="http://schemas.microsoft.com/office/drawing/2014/main" id="{00000000-0008-0000-3400-0000EDAE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4782" name="Line 23">
          <a:extLst>
            <a:ext uri="{FF2B5EF4-FFF2-40B4-BE49-F238E27FC236}">
              <a16:creationId xmlns:a16="http://schemas.microsoft.com/office/drawing/2014/main" id="{00000000-0008-0000-3400-0000EEAE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4783" name="Line 24">
          <a:extLst>
            <a:ext uri="{FF2B5EF4-FFF2-40B4-BE49-F238E27FC236}">
              <a16:creationId xmlns:a16="http://schemas.microsoft.com/office/drawing/2014/main" id="{00000000-0008-0000-3400-0000EFAE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4784" name="Line 25">
          <a:extLst>
            <a:ext uri="{FF2B5EF4-FFF2-40B4-BE49-F238E27FC236}">
              <a16:creationId xmlns:a16="http://schemas.microsoft.com/office/drawing/2014/main" id="{00000000-0008-0000-3400-0000F0AE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4785" name="Line 27">
          <a:extLst>
            <a:ext uri="{FF2B5EF4-FFF2-40B4-BE49-F238E27FC236}">
              <a16:creationId xmlns:a16="http://schemas.microsoft.com/office/drawing/2014/main" id="{00000000-0008-0000-3400-0000F1AE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4786" name="Line 28">
          <a:extLst>
            <a:ext uri="{FF2B5EF4-FFF2-40B4-BE49-F238E27FC236}">
              <a16:creationId xmlns:a16="http://schemas.microsoft.com/office/drawing/2014/main" id="{00000000-0008-0000-3400-0000F2AE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4787" name="Line 29">
          <a:extLst>
            <a:ext uri="{FF2B5EF4-FFF2-40B4-BE49-F238E27FC236}">
              <a16:creationId xmlns:a16="http://schemas.microsoft.com/office/drawing/2014/main" id="{00000000-0008-0000-3400-0000F3AE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34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$10,275.  This cost includes current and long-term expenditures from all local, state, and federal funding sources except the Building, Enterprise type, Adult Education and Trust Funds. Including Funding through SFSF but no ARRA funding</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4789" name="Line 32">
          <a:extLst>
            <a:ext uri="{FF2B5EF4-FFF2-40B4-BE49-F238E27FC236}">
              <a16:creationId xmlns:a16="http://schemas.microsoft.com/office/drawing/2014/main" id="{00000000-0008-0000-3400-0000F5AE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34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3797" name="Picture 2" descr="FD02177_">
          <a:extLst>
            <a:ext uri="{FF2B5EF4-FFF2-40B4-BE49-F238E27FC236}">
              <a16:creationId xmlns:a16="http://schemas.microsoft.com/office/drawing/2014/main" id="{00000000-0008-0000-3500-000015A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3798" name="Picture 3" descr="IN01042_">
          <a:extLst>
            <a:ext uri="{FF2B5EF4-FFF2-40B4-BE49-F238E27FC236}">
              <a16:creationId xmlns:a16="http://schemas.microsoft.com/office/drawing/2014/main" id="{00000000-0008-0000-3500-000016A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3799" name="Picture 4" descr="pe02463_">
          <a:extLst>
            <a:ext uri="{FF2B5EF4-FFF2-40B4-BE49-F238E27FC236}">
              <a16:creationId xmlns:a16="http://schemas.microsoft.com/office/drawing/2014/main" id="{00000000-0008-0000-3500-000017AB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3800" name="Picture 5" descr="PE02652_">
          <a:extLst>
            <a:ext uri="{FF2B5EF4-FFF2-40B4-BE49-F238E27FC236}">
              <a16:creationId xmlns:a16="http://schemas.microsoft.com/office/drawing/2014/main" id="{00000000-0008-0000-3500-000018AB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3801" name="Picture 6" descr="j0088914">
          <a:extLst>
            <a:ext uri="{FF2B5EF4-FFF2-40B4-BE49-F238E27FC236}">
              <a16:creationId xmlns:a16="http://schemas.microsoft.com/office/drawing/2014/main" id="{00000000-0008-0000-3500-000019AB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3802" name="Picture 7" descr="j0090336">
          <a:extLst>
            <a:ext uri="{FF2B5EF4-FFF2-40B4-BE49-F238E27FC236}">
              <a16:creationId xmlns:a16="http://schemas.microsoft.com/office/drawing/2014/main" id="{00000000-0008-0000-3500-00001AAB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3803" name="Picture 8" descr="SL00780_">
          <a:extLst>
            <a:ext uri="{FF2B5EF4-FFF2-40B4-BE49-F238E27FC236}">
              <a16:creationId xmlns:a16="http://schemas.microsoft.com/office/drawing/2014/main" id="{00000000-0008-0000-3500-00001BAB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3804" name="Picture 9" descr="BD20205_">
          <a:extLst>
            <a:ext uri="{FF2B5EF4-FFF2-40B4-BE49-F238E27FC236}">
              <a16:creationId xmlns:a16="http://schemas.microsoft.com/office/drawing/2014/main" id="{00000000-0008-0000-3500-00001CAB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9</xdr:col>
      <xdr:colOff>609600</xdr:colOff>
      <xdr:row>44</xdr:row>
      <xdr:rowOff>66675</xdr:rowOff>
    </xdr:to>
    <xdr:pic>
      <xdr:nvPicPr>
        <xdr:cNvPr id="43805" name="Picture 10" descr="j0259360">
          <a:extLst>
            <a:ext uri="{FF2B5EF4-FFF2-40B4-BE49-F238E27FC236}">
              <a16:creationId xmlns:a16="http://schemas.microsoft.com/office/drawing/2014/main" id="{00000000-0008-0000-3500-00001DAB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3806" name="Picture 11" descr="j0088602">
          <a:extLst>
            <a:ext uri="{FF2B5EF4-FFF2-40B4-BE49-F238E27FC236}">
              <a16:creationId xmlns:a16="http://schemas.microsoft.com/office/drawing/2014/main" id="{00000000-0008-0000-3500-00001EAB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3807" name="Picture 12" descr="j0251519">
          <a:extLst>
            <a:ext uri="{FF2B5EF4-FFF2-40B4-BE49-F238E27FC236}">
              <a16:creationId xmlns:a16="http://schemas.microsoft.com/office/drawing/2014/main" id="{00000000-0008-0000-3500-00001FAB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3808" name="Picture 13" descr="pe02038a">
          <a:extLst>
            <a:ext uri="{FF2B5EF4-FFF2-40B4-BE49-F238E27FC236}">
              <a16:creationId xmlns:a16="http://schemas.microsoft.com/office/drawing/2014/main" id="{00000000-0008-0000-3500-000020A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3809" name="Line 22">
          <a:extLst>
            <a:ext uri="{FF2B5EF4-FFF2-40B4-BE49-F238E27FC236}">
              <a16:creationId xmlns:a16="http://schemas.microsoft.com/office/drawing/2014/main" id="{00000000-0008-0000-3500-000021AB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3810" name="Line 23">
          <a:extLst>
            <a:ext uri="{FF2B5EF4-FFF2-40B4-BE49-F238E27FC236}">
              <a16:creationId xmlns:a16="http://schemas.microsoft.com/office/drawing/2014/main" id="{00000000-0008-0000-3500-000022AB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3811" name="Line 24">
          <a:extLst>
            <a:ext uri="{FF2B5EF4-FFF2-40B4-BE49-F238E27FC236}">
              <a16:creationId xmlns:a16="http://schemas.microsoft.com/office/drawing/2014/main" id="{00000000-0008-0000-3500-000023AB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3812" name="Line 25">
          <a:extLst>
            <a:ext uri="{FF2B5EF4-FFF2-40B4-BE49-F238E27FC236}">
              <a16:creationId xmlns:a16="http://schemas.microsoft.com/office/drawing/2014/main" id="{00000000-0008-0000-3500-000024AB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3813" name="Line 27">
          <a:extLst>
            <a:ext uri="{FF2B5EF4-FFF2-40B4-BE49-F238E27FC236}">
              <a16:creationId xmlns:a16="http://schemas.microsoft.com/office/drawing/2014/main" id="{00000000-0008-0000-3500-000025AB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3814" name="Line 28">
          <a:extLst>
            <a:ext uri="{FF2B5EF4-FFF2-40B4-BE49-F238E27FC236}">
              <a16:creationId xmlns:a16="http://schemas.microsoft.com/office/drawing/2014/main" id="{00000000-0008-0000-3500-000026AB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3815" name="Line 29">
          <a:extLst>
            <a:ext uri="{FF2B5EF4-FFF2-40B4-BE49-F238E27FC236}">
              <a16:creationId xmlns:a16="http://schemas.microsoft.com/office/drawing/2014/main" id="{00000000-0008-0000-3500-000027AB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30" name="Text Box 30">
          <a:extLst>
            <a:ext uri="{FF2B5EF4-FFF2-40B4-BE49-F238E27FC236}">
              <a16:creationId xmlns:a16="http://schemas.microsoft.com/office/drawing/2014/main" id="{00000000-0008-0000-3500-00001E000000}"/>
            </a:ext>
          </a:extLst>
        </xdr:cNvPr>
        <xdr:cNvSpPr txBox="1">
          <a:spLocks noChangeArrowheads="1"/>
        </xdr:cNvSpPr>
      </xdr:nvSpPr>
      <xdr:spPr bwMode="auto">
        <a:xfrm>
          <a:off x="2506133" y="8666691"/>
          <a:ext cx="5630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$10,488.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3817" name="Line 32">
          <a:extLst>
            <a:ext uri="{FF2B5EF4-FFF2-40B4-BE49-F238E27FC236}">
              <a16:creationId xmlns:a16="http://schemas.microsoft.com/office/drawing/2014/main" id="{00000000-0008-0000-3500-000029AB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35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5668" name="Picture 2" descr="FD02177_">
          <a:extLst>
            <a:ext uri="{FF2B5EF4-FFF2-40B4-BE49-F238E27FC236}">
              <a16:creationId xmlns:a16="http://schemas.microsoft.com/office/drawing/2014/main" id="{00000000-0008-0000-3600-000074D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5669" name="Picture 3" descr="IN01042_">
          <a:extLst>
            <a:ext uri="{FF2B5EF4-FFF2-40B4-BE49-F238E27FC236}">
              <a16:creationId xmlns:a16="http://schemas.microsoft.com/office/drawing/2014/main" id="{00000000-0008-0000-3600-000075D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5670" name="Picture 4" descr="pe02463_">
          <a:extLst>
            <a:ext uri="{FF2B5EF4-FFF2-40B4-BE49-F238E27FC236}">
              <a16:creationId xmlns:a16="http://schemas.microsoft.com/office/drawing/2014/main" id="{00000000-0008-0000-3600-000076D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5671" name="Picture 5" descr="PE02652_">
          <a:extLst>
            <a:ext uri="{FF2B5EF4-FFF2-40B4-BE49-F238E27FC236}">
              <a16:creationId xmlns:a16="http://schemas.microsoft.com/office/drawing/2014/main" id="{00000000-0008-0000-3600-000077D9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5672" name="Picture 6" descr="j0088914">
          <a:extLst>
            <a:ext uri="{FF2B5EF4-FFF2-40B4-BE49-F238E27FC236}">
              <a16:creationId xmlns:a16="http://schemas.microsoft.com/office/drawing/2014/main" id="{00000000-0008-0000-3600-000078D9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5673" name="Picture 7" descr="j0090336">
          <a:extLst>
            <a:ext uri="{FF2B5EF4-FFF2-40B4-BE49-F238E27FC236}">
              <a16:creationId xmlns:a16="http://schemas.microsoft.com/office/drawing/2014/main" id="{00000000-0008-0000-3600-000079D9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5674" name="Picture 8" descr="SL00780_">
          <a:extLst>
            <a:ext uri="{FF2B5EF4-FFF2-40B4-BE49-F238E27FC236}">
              <a16:creationId xmlns:a16="http://schemas.microsoft.com/office/drawing/2014/main" id="{00000000-0008-0000-3600-00007AD9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5675" name="Picture 9" descr="BD20205_">
          <a:extLst>
            <a:ext uri="{FF2B5EF4-FFF2-40B4-BE49-F238E27FC236}">
              <a16:creationId xmlns:a16="http://schemas.microsoft.com/office/drawing/2014/main" id="{00000000-0008-0000-3600-00007BD9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5676" name="Picture 10" descr="j0259360">
          <a:extLst>
            <a:ext uri="{FF2B5EF4-FFF2-40B4-BE49-F238E27FC236}">
              <a16:creationId xmlns:a16="http://schemas.microsoft.com/office/drawing/2014/main" id="{00000000-0008-0000-3600-00007CD9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5677" name="Picture 11" descr="j0088602">
          <a:extLst>
            <a:ext uri="{FF2B5EF4-FFF2-40B4-BE49-F238E27FC236}">
              <a16:creationId xmlns:a16="http://schemas.microsoft.com/office/drawing/2014/main" id="{00000000-0008-0000-3600-00007DD9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5678" name="Picture 12" descr="j0251519">
          <a:extLst>
            <a:ext uri="{FF2B5EF4-FFF2-40B4-BE49-F238E27FC236}">
              <a16:creationId xmlns:a16="http://schemas.microsoft.com/office/drawing/2014/main" id="{00000000-0008-0000-3600-00007ED9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5679" name="Picture 13" descr="pe02038a">
          <a:extLst>
            <a:ext uri="{FF2B5EF4-FFF2-40B4-BE49-F238E27FC236}">
              <a16:creationId xmlns:a16="http://schemas.microsoft.com/office/drawing/2014/main" id="{00000000-0008-0000-3600-00007FD9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36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$518/Pupil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36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$5,150/Pupil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36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$829/Pupil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36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$637/Pupil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36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$513/Pupil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36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36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36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5688" name="Line 22">
          <a:extLst>
            <a:ext uri="{FF2B5EF4-FFF2-40B4-BE49-F238E27FC236}">
              <a16:creationId xmlns:a16="http://schemas.microsoft.com/office/drawing/2014/main" id="{00000000-0008-0000-3600-000088D9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5689" name="Line 23">
          <a:extLst>
            <a:ext uri="{FF2B5EF4-FFF2-40B4-BE49-F238E27FC236}">
              <a16:creationId xmlns:a16="http://schemas.microsoft.com/office/drawing/2014/main" id="{00000000-0008-0000-3600-000089D9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5690" name="Line 24">
          <a:extLst>
            <a:ext uri="{FF2B5EF4-FFF2-40B4-BE49-F238E27FC236}">
              <a16:creationId xmlns:a16="http://schemas.microsoft.com/office/drawing/2014/main" id="{00000000-0008-0000-3600-00008AD9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5691" name="Line 25">
          <a:extLst>
            <a:ext uri="{FF2B5EF4-FFF2-40B4-BE49-F238E27FC236}">
              <a16:creationId xmlns:a16="http://schemas.microsoft.com/office/drawing/2014/main" id="{00000000-0008-0000-3600-00008BD9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36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$9,869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5693" name="Line 27">
          <a:extLst>
            <a:ext uri="{FF2B5EF4-FFF2-40B4-BE49-F238E27FC236}">
              <a16:creationId xmlns:a16="http://schemas.microsoft.com/office/drawing/2014/main" id="{00000000-0008-0000-3600-00008DD9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5694" name="Line 28">
          <a:extLst>
            <a:ext uri="{FF2B5EF4-FFF2-40B4-BE49-F238E27FC236}">
              <a16:creationId xmlns:a16="http://schemas.microsoft.com/office/drawing/2014/main" id="{00000000-0008-0000-3600-00008ED9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5695" name="Line 29">
          <a:extLst>
            <a:ext uri="{FF2B5EF4-FFF2-40B4-BE49-F238E27FC236}">
              <a16:creationId xmlns:a16="http://schemas.microsoft.com/office/drawing/2014/main" id="{00000000-0008-0000-3600-00008FD9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36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$9,670.  This cost includes current and long-term expenditures from all local, state, and federal funding sources except the Building, Enterprise type, Adult Education and Trust Funds, and Excluding funding through ARRA or SFSF</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36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5698" name="Line 32">
          <a:extLst>
            <a:ext uri="{FF2B5EF4-FFF2-40B4-BE49-F238E27FC236}">
              <a16:creationId xmlns:a16="http://schemas.microsoft.com/office/drawing/2014/main" id="{00000000-0008-0000-3600-000092D9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3600-000001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6692" name="Picture 2" descr="FD02177_">
          <a:extLst>
            <a:ext uri="{FF2B5EF4-FFF2-40B4-BE49-F238E27FC236}">
              <a16:creationId xmlns:a16="http://schemas.microsoft.com/office/drawing/2014/main" id="{00000000-0008-0000-3700-000074D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6693" name="Picture 3" descr="IN01042_">
          <a:extLst>
            <a:ext uri="{FF2B5EF4-FFF2-40B4-BE49-F238E27FC236}">
              <a16:creationId xmlns:a16="http://schemas.microsoft.com/office/drawing/2014/main" id="{00000000-0008-0000-3700-000075D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6694" name="Picture 4" descr="pe02463_">
          <a:extLst>
            <a:ext uri="{FF2B5EF4-FFF2-40B4-BE49-F238E27FC236}">
              <a16:creationId xmlns:a16="http://schemas.microsoft.com/office/drawing/2014/main" id="{00000000-0008-0000-3700-000076D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6695" name="Picture 5" descr="PE02652_">
          <a:extLst>
            <a:ext uri="{FF2B5EF4-FFF2-40B4-BE49-F238E27FC236}">
              <a16:creationId xmlns:a16="http://schemas.microsoft.com/office/drawing/2014/main" id="{00000000-0008-0000-3700-000077D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6696" name="Picture 6" descr="j0088914">
          <a:extLst>
            <a:ext uri="{FF2B5EF4-FFF2-40B4-BE49-F238E27FC236}">
              <a16:creationId xmlns:a16="http://schemas.microsoft.com/office/drawing/2014/main" id="{00000000-0008-0000-3700-000078DD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6697" name="Picture 7" descr="j0090336">
          <a:extLst>
            <a:ext uri="{FF2B5EF4-FFF2-40B4-BE49-F238E27FC236}">
              <a16:creationId xmlns:a16="http://schemas.microsoft.com/office/drawing/2014/main" id="{00000000-0008-0000-3700-000079DD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6698" name="Picture 8" descr="SL00780_">
          <a:extLst>
            <a:ext uri="{FF2B5EF4-FFF2-40B4-BE49-F238E27FC236}">
              <a16:creationId xmlns:a16="http://schemas.microsoft.com/office/drawing/2014/main" id="{00000000-0008-0000-3700-00007ADD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6699" name="Picture 9" descr="BD20205_">
          <a:extLst>
            <a:ext uri="{FF2B5EF4-FFF2-40B4-BE49-F238E27FC236}">
              <a16:creationId xmlns:a16="http://schemas.microsoft.com/office/drawing/2014/main" id="{00000000-0008-0000-3700-00007BDD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6700" name="Picture 10" descr="j0259360">
          <a:extLst>
            <a:ext uri="{FF2B5EF4-FFF2-40B4-BE49-F238E27FC236}">
              <a16:creationId xmlns:a16="http://schemas.microsoft.com/office/drawing/2014/main" id="{00000000-0008-0000-3700-00007CDD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6701" name="Picture 11" descr="j0088602">
          <a:extLst>
            <a:ext uri="{FF2B5EF4-FFF2-40B4-BE49-F238E27FC236}">
              <a16:creationId xmlns:a16="http://schemas.microsoft.com/office/drawing/2014/main" id="{00000000-0008-0000-3700-00007DDD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6702" name="Picture 12" descr="j0251519">
          <a:extLst>
            <a:ext uri="{FF2B5EF4-FFF2-40B4-BE49-F238E27FC236}">
              <a16:creationId xmlns:a16="http://schemas.microsoft.com/office/drawing/2014/main" id="{00000000-0008-0000-3700-00007EDD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6703" name="Picture 13" descr="pe02038a">
          <a:extLst>
            <a:ext uri="{FF2B5EF4-FFF2-40B4-BE49-F238E27FC236}">
              <a16:creationId xmlns:a16="http://schemas.microsoft.com/office/drawing/2014/main" id="{00000000-0008-0000-3700-00007FD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37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$522Pupil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37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$5,294/Pupil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37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$852/Pupil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37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37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$517Pupil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37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37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37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6712" name="Line 22">
          <a:extLst>
            <a:ext uri="{FF2B5EF4-FFF2-40B4-BE49-F238E27FC236}">
              <a16:creationId xmlns:a16="http://schemas.microsoft.com/office/drawing/2014/main" id="{00000000-0008-0000-3700-000088DD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6713" name="Line 23">
          <a:extLst>
            <a:ext uri="{FF2B5EF4-FFF2-40B4-BE49-F238E27FC236}">
              <a16:creationId xmlns:a16="http://schemas.microsoft.com/office/drawing/2014/main" id="{00000000-0008-0000-3700-000089DD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6714" name="Line 24">
          <a:extLst>
            <a:ext uri="{FF2B5EF4-FFF2-40B4-BE49-F238E27FC236}">
              <a16:creationId xmlns:a16="http://schemas.microsoft.com/office/drawing/2014/main" id="{00000000-0008-0000-3700-00008ADD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6715" name="Line 25">
          <a:extLst>
            <a:ext uri="{FF2B5EF4-FFF2-40B4-BE49-F238E27FC236}">
              <a16:creationId xmlns:a16="http://schemas.microsoft.com/office/drawing/2014/main" id="{00000000-0008-0000-3700-00008BDD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37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$10,046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6717" name="Line 27">
          <a:extLst>
            <a:ext uri="{FF2B5EF4-FFF2-40B4-BE49-F238E27FC236}">
              <a16:creationId xmlns:a16="http://schemas.microsoft.com/office/drawing/2014/main" id="{00000000-0008-0000-3700-00008DDD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6718" name="Line 28">
          <a:extLst>
            <a:ext uri="{FF2B5EF4-FFF2-40B4-BE49-F238E27FC236}">
              <a16:creationId xmlns:a16="http://schemas.microsoft.com/office/drawing/2014/main" id="{00000000-0008-0000-3700-00008EDD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6719" name="Line 29">
          <a:extLst>
            <a:ext uri="{FF2B5EF4-FFF2-40B4-BE49-F238E27FC236}">
              <a16:creationId xmlns:a16="http://schemas.microsoft.com/office/drawing/2014/main" id="{00000000-0008-0000-3700-00008FDD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37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$10,046.  This cost includes current and long-term expenditures from all local, state, and federal funding sources except the Building, Enterprise type, Adult Education and Trust Funds. Including Funding through SFSF but not ARRA</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37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6722" name="Line 32">
          <a:extLst>
            <a:ext uri="{FF2B5EF4-FFF2-40B4-BE49-F238E27FC236}">
              <a16:creationId xmlns:a16="http://schemas.microsoft.com/office/drawing/2014/main" id="{00000000-0008-0000-3700-000092DD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3700-000001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7716" name="Picture 2" descr="FD02177_">
          <a:extLst>
            <a:ext uri="{FF2B5EF4-FFF2-40B4-BE49-F238E27FC236}">
              <a16:creationId xmlns:a16="http://schemas.microsoft.com/office/drawing/2014/main" id="{00000000-0008-0000-3800-000074E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7717" name="Picture 3" descr="IN01042_">
          <a:extLst>
            <a:ext uri="{FF2B5EF4-FFF2-40B4-BE49-F238E27FC236}">
              <a16:creationId xmlns:a16="http://schemas.microsoft.com/office/drawing/2014/main" id="{00000000-0008-0000-3800-000075E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7718" name="Picture 4" descr="pe02463_">
          <a:extLst>
            <a:ext uri="{FF2B5EF4-FFF2-40B4-BE49-F238E27FC236}">
              <a16:creationId xmlns:a16="http://schemas.microsoft.com/office/drawing/2014/main" id="{00000000-0008-0000-3800-000076E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7719" name="Picture 5" descr="PE02652_">
          <a:extLst>
            <a:ext uri="{FF2B5EF4-FFF2-40B4-BE49-F238E27FC236}">
              <a16:creationId xmlns:a16="http://schemas.microsoft.com/office/drawing/2014/main" id="{00000000-0008-0000-3800-000077E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7720" name="Picture 6" descr="j0088914">
          <a:extLst>
            <a:ext uri="{FF2B5EF4-FFF2-40B4-BE49-F238E27FC236}">
              <a16:creationId xmlns:a16="http://schemas.microsoft.com/office/drawing/2014/main" id="{00000000-0008-0000-3800-000078E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7721" name="Picture 7" descr="j0090336">
          <a:extLst>
            <a:ext uri="{FF2B5EF4-FFF2-40B4-BE49-F238E27FC236}">
              <a16:creationId xmlns:a16="http://schemas.microsoft.com/office/drawing/2014/main" id="{00000000-0008-0000-3800-000079E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7722" name="Picture 8" descr="SL00780_">
          <a:extLst>
            <a:ext uri="{FF2B5EF4-FFF2-40B4-BE49-F238E27FC236}">
              <a16:creationId xmlns:a16="http://schemas.microsoft.com/office/drawing/2014/main" id="{00000000-0008-0000-3800-00007AE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7723" name="Picture 9" descr="BD20205_">
          <a:extLst>
            <a:ext uri="{FF2B5EF4-FFF2-40B4-BE49-F238E27FC236}">
              <a16:creationId xmlns:a16="http://schemas.microsoft.com/office/drawing/2014/main" id="{00000000-0008-0000-3800-00007BE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7724" name="Picture 10" descr="j0259360">
          <a:extLst>
            <a:ext uri="{FF2B5EF4-FFF2-40B4-BE49-F238E27FC236}">
              <a16:creationId xmlns:a16="http://schemas.microsoft.com/office/drawing/2014/main" id="{00000000-0008-0000-3800-00007CE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7725" name="Picture 11" descr="j0088602">
          <a:extLst>
            <a:ext uri="{FF2B5EF4-FFF2-40B4-BE49-F238E27FC236}">
              <a16:creationId xmlns:a16="http://schemas.microsoft.com/office/drawing/2014/main" id="{00000000-0008-0000-3800-00007DE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7726" name="Picture 12" descr="j0251519">
          <a:extLst>
            <a:ext uri="{FF2B5EF4-FFF2-40B4-BE49-F238E27FC236}">
              <a16:creationId xmlns:a16="http://schemas.microsoft.com/office/drawing/2014/main" id="{00000000-0008-0000-3800-00007EE1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7727" name="Picture 13" descr="pe02038a">
          <a:extLst>
            <a:ext uri="{FF2B5EF4-FFF2-40B4-BE49-F238E27FC236}">
              <a16:creationId xmlns:a16="http://schemas.microsoft.com/office/drawing/2014/main" id="{00000000-0008-0000-3800-00007FE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38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$524/Pupil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38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$5,495/Pupil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38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$883/Pupil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38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$618/Pupil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38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$520Pupil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38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$1,077</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38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$544Pupil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38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$639/Pupil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7736" name="Line 22">
          <a:extLst>
            <a:ext uri="{FF2B5EF4-FFF2-40B4-BE49-F238E27FC236}">
              <a16:creationId xmlns:a16="http://schemas.microsoft.com/office/drawing/2014/main" id="{00000000-0008-0000-3800-000088E1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7737" name="Line 23">
          <a:extLst>
            <a:ext uri="{FF2B5EF4-FFF2-40B4-BE49-F238E27FC236}">
              <a16:creationId xmlns:a16="http://schemas.microsoft.com/office/drawing/2014/main" id="{00000000-0008-0000-3800-000089E1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7738" name="Line 24">
          <a:extLst>
            <a:ext uri="{FF2B5EF4-FFF2-40B4-BE49-F238E27FC236}">
              <a16:creationId xmlns:a16="http://schemas.microsoft.com/office/drawing/2014/main" id="{00000000-0008-0000-3800-00008AE1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7739" name="Line 25">
          <a:extLst>
            <a:ext uri="{FF2B5EF4-FFF2-40B4-BE49-F238E27FC236}">
              <a16:creationId xmlns:a16="http://schemas.microsoft.com/office/drawing/2014/main" id="{00000000-0008-0000-3800-00008BE1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38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$10,300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7741" name="Line 27">
          <a:extLst>
            <a:ext uri="{FF2B5EF4-FFF2-40B4-BE49-F238E27FC236}">
              <a16:creationId xmlns:a16="http://schemas.microsoft.com/office/drawing/2014/main" id="{00000000-0008-0000-3800-00008DE1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7742" name="Line 28">
          <a:extLst>
            <a:ext uri="{FF2B5EF4-FFF2-40B4-BE49-F238E27FC236}">
              <a16:creationId xmlns:a16="http://schemas.microsoft.com/office/drawing/2014/main" id="{00000000-0008-0000-3800-00008EE1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7743" name="Line 29">
          <a:extLst>
            <a:ext uri="{FF2B5EF4-FFF2-40B4-BE49-F238E27FC236}">
              <a16:creationId xmlns:a16="http://schemas.microsoft.com/office/drawing/2014/main" id="{00000000-0008-0000-3800-00008FE1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60</xdr:row>
      <xdr:rowOff>21167</xdr:rowOff>
    </xdr:to>
    <xdr:sp macro="" textlink="">
      <xdr:nvSpPr>
        <xdr:cNvPr id="30" name="Text Box 30">
          <a:extLst>
            <a:ext uri="{FF2B5EF4-FFF2-40B4-BE49-F238E27FC236}">
              <a16:creationId xmlns:a16="http://schemas.microsoft.com/office/drawing/2014/main" id="{00000000-0008-0000-3800-00001E000000}"/>
            </a:ext>
          </a:extLst>
        </xdr:cNvPr>
        <xdr:cNvSpPr txBox="1">
          <a:spLocks noChangeArrowheads="1"/>
        </xdr:cNvSpPr>
      </xdr:nvSpPr>
      <xdr:spPr bwMode="auto">
        <a:xfrm>
          <a:off x="1109133" y="8201025"/>
          <a:ext cx="4868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$10,300.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38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7746" name="Line 32">
          <a:extLst>
            <a:ext uri="{FF2B5EF4-FFF2-40B4-BE49-F238E27FC236}">
              <a16:creationId xmlns:a16="http://schemas.microsoft.com/office/drawing/2014/main" id="{00000000-0008-0000-3800-000092E1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38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8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8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8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8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8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8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8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8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8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8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8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8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8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8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8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8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8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8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2021-2022 school year, the average cost  to educate a student in Montana's K-12 public schools was </a:t>
          </a:r>
          <a:r>
            <a:rPr lang="en-US" sz="1000" b="0" i="0" u="none" strike="noStrike" baseline="0">
              <a:solidFill>
                <a:srgbClr val="FF0000"/>
              </a:solidFill>
              <a:latin typeface="Arial"/>
              <a:cs typeface="Arial"/>
            </a:rPr>
            <a:t>$14,,148</a:t>
          </a:r>
          <a:r>
            <a:rPr lang="en-US" sz="1000" b="0" i="0" u="none" strike="noStrike" baseline="0">
              <a:solidFill>
                <a:sysClr val="windowText" lastClr="000000"/>
              </a:solidFill>
              <a:latin typeface="Arial"/>
              <a:cs typeface="Arial"/>
            </a:rPr>
            <a:t>.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perpupil1991_2022.xls December 2022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8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1033217" name="Object 1" hidden="1">
              <a:extLst>
                <a:ext uri="{63B3BB69-23CF-44E3-9099-C40C66FF867C}">
                  <a14:compatExt spid="_x0000_s1033217"/>
                </a:ext>
                <a:ext uri="{FF2B5EF4-FFF2-40B4-BE49-F238E27FC236}">
                  <a16:creationId xmlns:a16="http://schemas.microsoft.com/office/drawing/2014/main" id="{00000000-0008-0000-2800-000001C40F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9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9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9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9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9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9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9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9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9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9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9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9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9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9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9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9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9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9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2020-2021 school year, the average cost  to educate a student in Montana's K-12 public schools was </a:t>
          </a:r>
          <a:r>
            <a:rPr lang="en-US" sz="1000" b="0" i="0" u="none" strike="noStrike" baseline="0">
              <a:solidFill>
                <a:sysClr val="windowText" lastClr="000000"/>
              </a:solidFill>
              <a:latin typeface="Arial"/>
              <a:cs typeface="Arial"/>
            </a:rPr>
            <a:t>$13,380.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perpupil1991_2021.xls December 2021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9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902145" name="Object 1" hidden="1">
              <a:extLst>
                <a:ext uri="{63B3BB69-23CF-44E3-9099-C40C66FF867C}">
                  <a14:compatExt spid="_x0000_s902145"/>
                </a:ext>
                <a:ext uri="{FF2B5EF4-FFF2-40B4-BE49-F238E27FC236}">
                  <a16:creationId xmlns:a16="http://schemas.microsoft.com/office/drawing/2014/main" id="{00000000-0008-0000-2900-000001C40D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A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A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A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A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A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A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A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A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A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A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A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A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A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A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A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A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A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A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2019-2020 school year, the average cost  to educate a student in Montana's K-12 public schools was </a:t>
          </a:r>
          <a:r>
            <a:rPr lang="en-US" sz="1000" b="0" i="0" u="none" strike="noStrike" baseline="0">
              <a:solidFill>
                <a:sysClr val="windowText" lastClr="000000"/>
              </a:solidFill>
              <a:latin typeface="Arial"/>
              <a:cs typeface="Arial"/>
            </a:rPr>
            <a:t>$12,563.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perpupil1991_2020..xls December 2020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A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886785" name="Object 1" hidden="1">
              <a:extLst>
                <a:ext uri="{63B3BB69-23CF-44E3-9099-C40C66FF867C}">
                  <a14:compatExt spid="_x0000_s886785"/>
                </a:ext>
                <a:ext uri="{FF2B5EF4-FFF2-40B4-BE49-F238E27FC236}">
                  <a16:creationId xmlns:a16="http://schemas.microsoft.com/office/drawing/2014/main" id="{00000000-0008-0000-2A00-000001880D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B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B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B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B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B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B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B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B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B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B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B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B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B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B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B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B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B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B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B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2018-2019 school year, the average cost  to educate a student in Montana's K-12 public schools was </a:t>
          </a:r>
          <a:r>
            <a:rPr lang="en-US" sz="1000" b="0" i="0" u="none" strike="noStrike" baseline="0">
              <a:solidFill>
                <a:sysClr val="windowText" lastClr="000000"/>
              </a:solidFill>
              <a:latin typeface="Arial"/>
              <a:cs typeface="Arial"/>
            </a:rPr>
            <a:t>$12,247.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perpupil1991_2019..xls December 2019</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B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765953" name="Object 1" hidden="1">
              <a:extLst>
                <a:ext uri="{63B3BB69-23CF-44E3-9099-C40C66FF867C}">
                  <a14:compatExt spid="_x0000_s765953"/>
                </a:ext>
                <a:ext uri="{FF2B5EF4-FFF2-40B4-BE49-F238E27FC236}">
                  <a16:creationId xmlns:a16="http://schemas.microsoft.com/office/drawing/2014/main" id="{00000000-0008-0000-2B00-000001B0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C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C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C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C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C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C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C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C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C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C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C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C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C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C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C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C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C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C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C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2017-2018 school year, the average cost  to educate a student in Montana's K-12 public schools was </a:t>
          </a:r>
          <a:r>
            <a:rPr lang="en-US" sz="1000" b="0" i="0" u="none" strike="noStrike" baseline="0">
              <a:solidFill>
                <a:sysClr val="windowText" lastClr="000000"/>
              </a:solidFill>
              <a:latin typeface="Arial"/>
              <a:cs typeface="Arial"/>
            </a:rPr>
            <a:t>$11,769.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perpupil1991_2018..xls December 2018</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C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647169" name="Object 1" hidden="1">
              <a:extLst>
                <a:ext uri="{63B3BB69-23CF-44E3-9099-C40C66FF867C}">
                  <a14:compatExt spid="_x0000_s647169"/>
                </a:ext>
                <a:ext uri="{FF2B5EF4-FFF2-40B4-BE49-F238E27FC236}">
                  <a16:creationId xmlns:a16="http://schemas.microsoft.com/office/drawing/2014/main" id="{00000000-0008-0000-2C00-000001E009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D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D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D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D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D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D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D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D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D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D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D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D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D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D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D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D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D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D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D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2016-2017 school year, the average cost  to educate a student in Montana's K-12 public schools was </a:t>
          </a:r>
          <a:r>
            <a:rPr lang="en-US" sz="1000" b="0" i="0" u="none" strike="noStrike" baseline="0">
              <a:solidFill>
                <a:sysClr val="windowText" lastClr="000000"/>
              </a:solidFill>
              <a:latin typeface="Arial"/>
              <a:cs typeface="Arial"/>
            </a:rPr>
            <a:t>$11,437.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perpupil1991_2017..xls December 2017</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D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532481" name="Object 1" hidden="1">
              <a:extLst>
                <a:ext uri="{63B3BB69-23CF-44E3-9099-C40C66FF867C}">
                  <a14:compatExt spid="_x0000_s532481"/>
                </a:ext>
                <a:ext uri="{FF2B5EF4-FFF2-40B4-BE49-F238E27FC236}">
                  <a16:creationId xmlns:a16="http://schemas.microsoft.com/office/drawing/2014/main" id="{00000000-0008-0000-2D00-000001200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E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E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E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E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E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E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E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E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E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E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E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E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E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E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E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E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E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E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2015-2016 school year, the average cost  to educate a student in Montana's K-12 public schools was </a:t>
          </a:r>
          <a:r>
            <a:rPr lang="en-US" sz="1000" b="0" i="0" u="none" strike="noStrike" baseline="0">
              <a:solidFill>
                <a:sysClr val="windowText" lastClr="000000"/>
              </a:solidFill>
              <a:latin typeface="Arial"/>
              <a:cs typeface="Arial"/>
            </a:rPr>
            <a:t>$11,287.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perpupil1991_2016.xls December 2016</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E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21889" name="Object 1" hidden="1">
              <a:extLst>
                <a:ext uri="{63B3BB69-23CF-44E3-9099-C40C66FF867C}">
                  <a14:compatExt spid="_x0000_s421889"/>
                </a:ext>
                <a:ext uri="{FF2B5EF4-FFF2-40B4-BE49-F238E27FC236}">
                  <a16:creationId xmlns:a16="http://schemas.microsoft.com/office/drawing/2014/main" id="{00000000-0008-0000-2E00-00000170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F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F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F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F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F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F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F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F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F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F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F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F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F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F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F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F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F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F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F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2014-2015 school year, the average cost  to educate a student in Montana's K-12 public schools was </a:t>
          </a:r>
          <a:r>
            <a:rPr lang="en-US" sz="1000" b="0" i="0" u="none" strike="noStrike" baseline="0">
              <a:solidFill>
                <a:sysClr val="windowText" lastClr="000000"/>
              </a:solidFill>
              <a:latin typeface="Arial"/>
              <a:cs typeface="Arial"/>
            </a:rPr>
            <a:t>$11,045.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perpupil1991_2015.xls December 2015</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F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318465" name="Object 1" hidden="1">
              <a:extLst>
                <a:ext uri="{63B3BB69-23CF-44E3-9099-C40C66FF867C}">
                  <a14:compatExt spid="_x0000_s318465"/>
                </a:ext>
                <a:ext uri="{FF2B5EF4-FFF2-40B4-BE49-F238E27FC236}">
                  <a16:creationId xmlns:a16="http://schemas.microsoft.com/office/drawing/2014/main" id="{00000000-0008-0000-2F00-000001DC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0.bin"/><Relationship Id="rId5" Type="http://schemas.openxmlformats.org/officeDocument/2006/relationships/image" Target="../media/image2.emf"/><Relationship Id="rId4" Type="http://schemas.openxmlformats.org/officeDocument/2006/relationships/package" Target="../embeddings/Microsoft_PowerPoint_Slide.sldx"/></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1.bin"/><Relationship Id="rId5" Type="http://schemas.openxmlformats.org/officeDocument/2006/relationships/image" Target="../media/image2.emf"/><Relationship Id="rId4" Type="http://schemas.openxmlformats.org/officeDocument/2006/relationships/package" Target="../embeddings/Microsoft_PowerPoint_Slide1.sldx"/></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2.bin"/><Relationship Id="rId5" Type="http://schemas.openxmlformats.org/officeDocument/2006/relationships/image" Target="../media/image2.emf"/><Relationship Id="rId4" Type="http://schemas.openxmlformats.org/officeDocument/2006/relationships/package" Target="../embeddings/Microsoft_PowerPoint_Slide2.sldx"/></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3.bin"/><Relationship Id="rId5" Type="http://schemas.openxmlformats.org/officeDocument/2006/relationships/image" Target="../media/image2.emf"/><Relationship Id="rId4" Type="http://schemas.openxmlformats.org/officeDocument/2006/relationships/package" Target="../embeddings/Microsoft_PowerPoint_Slide3.sldx"/></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44.bin"/><Relationship Id="rId5" Type="http://schemas.openxmlformats.org/officeDocument/2006/relationships/image" Target="../media/image2.emf"/><Relationship Id="rId4" Type="http://schemas.openxmlformats.org/officeDocument/2006/relationships/package" Target="../embeddings/Microsoft_PowerPoint_Slide4.sldx"/></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45.bin"/><Relationship Id="rId5" Type="http://schemas.openxmlformats.org/officeDocument/2006/relationships/image" Target="../media/image2.emf"/><Relationship Id="rId4" Type="http://schemas.openxmlformats.org/officeDocument/2006/relationships/package" Target="../embeddings/Microsoft_PowerPoint_Slide5.sldx"/></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46.bin"/><Relationship Id="rId5" Type="http://schemas.openxmlformats.org/officeDocument/2006/relationships/image" Target="../media/image2.emf"/><Relationship Id="rId4" Type="http://schemas.openxmlformats.org/officeDocument/2006/relationships/package" Target="../embeddings/Microsoft_PowerPoint_Slide6.sldx"/></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47.bin"/><Relationship Id="rId5" Type="http://schemas.openxmlformats.org/officeDocument/2006/relationships/image" Target="../media/image2.emf"/><Relationship Id="rId4" Type="http://schemas.openxmlformats.org/officeDocument/2006/relationships/package" Target="../embeddings/Microsoft_PowerPoint_Slide7.sldx"/></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48.bin"/><Relationship Id="rId5" Type="http://schemas.openxmlformats.org/officeDocument/2006/relationships/image" Target="../media/image2.emf"/><Relationship Id="rId4" Type="http://schemas.openxmlformats.org/officeDocument/2006/relationships/package" Target="../embeddings/Microsoft_PowerPoint_Slide8.sldx"/></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49.bin"/><Relationship Id="rId5" Type="http://schemas.openxmlformats.org/officeDocument/2006/relationships/image" Target="../media/image2.emf"/><Relationship Id="rId4" Type="http://schemas.openxmlformats.org/officeDocument/2006/relationships/package" Target="../embeddings/Microsoft_PowerPoint_Slide9.sld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50.bin"/><Relationship Id="rId5" Type="http://schemas.openxmlformats.org/officeDocument/2006/relationships/image" Target="../media/image2.emf"/><Relationship Id="rId4" Type="http://schemas.openxmlformats.org/officeDocument/2006/relationships/package" Target="../embeddings/Microsoft_PowerPoint_Slide10.sldx"/></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51.bin"/><Relationship Id="rId5" Type="http://schemas.openxmlformats.org/officeDocument/2006/relationships/image" Target="../media/image2.emf"/><Relationship Id="rId4" Type="http://schemas.openxmlformats.org/officeDocument/2006/relationships/package" Target="../embeddings/Microsoft_PowerPoint_Slide11.sldx"/></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52.bin"/><Relationship Id="rId5" Type="http://schemas.openxmlformats.org/officeDocument/2006/relationships/image" Target="../media/image2.emf"/><Relationship Id="rId4" Type="http://schemas.openxmlformats.org/officeDocument/2006/relationships/package" Target="../embeddings/Microsoft_PowerPoint_Slide12.sldx"/></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53.bin"/><Relationship Id="rId5" Type="http://schemas.openxmlformats.org/officeDocument/2006/relationships/image" Target="../media/image2.emf"/><Relationship Id="rId4" Type="http://schemas.openxmlformats.org/officeDocument/2006/relationships/package" Target="../embeddings/Microsoft_PowerPoint_Slide13.sldx"/></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54.bin"/><Relationship Id="rId5" Type="http://schemas.openxmlformats.org/officeDocument/2006/relationships/image" Target="../media/image2.emf"/><Relationship Id="rId4" Type="http://schemas.openxmlformats.org/officeDocument/2006/relationships/package" Target="../embeddings/Microsoft_PowerPoint_Slide14.sldx"/></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55.bin"/><Relationship Id="rId5" Type="http://schemas.openxmlformats.org/officeDocument/2006/relationships/image" Target="../media/image2.emf"/><Relationship Id="rId4" Type="http://schemas.openxmlformats.org/officeDocument/2006/relationships/package" Target="../embeddings/Microsoft_PowerPoint_Slide15.sldx"/></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56.bin"/><Relationship Id="rId5" Type="http://schemas.openxmlformats.org/officeDocument/2006/relationships/image" Target="../media/image2.emf"/><Relationship Id="rId4" Type="http://schemas.openxmlformats.org/officeDocument/2006/relationships/package" Target="../embeddings/Microsoft_PowerPoint_Slide16.sldx"/></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57.bin"/><Relationship Id="rId5" Type="http://schemas.openxmlformats.org/officeDocument/2006/relationships/image" Target="../media/image2.emf"/><Relationship Id="rId4" Type="http://schemas.openxmlformats.org/officeDocument/2006/relationships/package" Target="../embeddings/Microsoft_PowerPoint_Slide17.sldx"/></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sheetPr>
  <dimension ref="A1:EJ324"/>
  <sheetViews>
    <sheetView topLeftCell="A301" zoomScale="115" zoomScaleNormal="115" workbookViewId="0">
      <selection activeCell="H318" sqref="H318"/>
    </sheetView>
  </sheetViews>
  <sheetFormatPr defaultRowHeight="12.75" customHeight="1" x14ac:dyDescent="0.2"/>
  <cols>
    <col min="1" max="1" width="9.140625" customWidth="1"/>
    <col min="2" max="2" width="34.42578125" bestFit="1" customWidth="1"/>
    <col min="3" max="3" width="73.5703125" bestFit="1" customWidth="1"/>
    <col min="4" max="4" width="25.140625" bestFit="1" customWidth="1"/>
    <col min="5" max="5" width="9.140625" customWidth="1"/>
  </cols>
  <sheetData>
    <row r="1" spans="2:4" ht="12.75" customHeight="1" x14ac:dyDescent="0.25">
      <c r="B1" s="247"/>
      <c r="C1" s="247"/>
      <c r="D1" s="247"/>
    </row>
    <row r="2" spans="2:4" ht="20.25" customHeight="1" x14ac:dyDescent="0.2">
      <c r="B2" s="353" t="s">
        <v>562</v>
      </c>
      <c r="C2" s="354"/>
      <c r="D2" s="355"/>
    </row>
    <row r="3" spans="2:4" ht="12.75" customHeight="1" x14ac:dyDescent="0.2">
      <c r="B3" s="250"/>
      <c r="C3" s="251"/>
      <c r="D3" s="251"/>
    </row>
    <row r="4" spans="2:4" ht="15.75" customHeight="1" x14ac:dyDescent="0.2">
      <c r="B4" s="360" t="s">
        <v>713</v>
      </c>
      <c r="C4" s="361"/>
      <c r="D4" s="362"/>
    </row>
    <row r="5" spans="2:4" ht="12.75" customHeight="1" x14ac:dyDescent="0.2">
      <c r="B5" s="250"/>
      <c r="C5" s="251"/>
      <c r="D5" s="251"/>
    </row>
    <row r="6" spans="2:4" ht="15" customHeight="1" x14ac:dyDescent="0.2">
      <c r="B6" s="363" t="s">
        <v>1413</v>
      </c>
      <c r="C6" s="364"/>
      <c r="D6" s="365"/>
    </row>
    <row r="7" spans="2:4" ht="12.75" customHeight="1" x14ac:dyDescent="0.2">
      <c r="B7" s="252"/>
      <c r="C7" s="253"/>
      <c r="D7" s="253"/>
    </row>
    <row r="8" spans="2:4" ht="31.5" customHeight="1" x14ac:dyDescent="0.2">
      <c r="B8" s="356" t="s">
        <v>567</v>
      </c>
      <c r="C8" s="357"/>
      <c r="D8" s="358"/>
    </row>
    <row r="9" spans="2:4" ht="12.75" customHeight="1" x14ac:dyDescent="0.2">
      <c r="B9" s="248"/>
      <c r="C9" s="253"/>
      <c r="D9" s="253"/>
    </row>
    <row r="10" spans="2:4" ht="15" customHeight="1" x14ac:dyDescent="0.2">
      <c r="B10" s="356" t="s">
        <v>559</v>
      </c>
      <c r="C10" s="357"/>
      <c r="D10" s="358"/>
    </row>
    <row r="11" spans="2:4" ht="12.75" customHeight="1" x14ac:dyDescent="0.2">
      <c r="B11" s="252"/>
      <c r="C11" s="253"/>
      <c r="D11" s="253"/>
    </row>
    <row r="12" spans="2:4" ht="45" customHeight="1" x14ac:dyDescent="0.2">
      <c r="B12" s="356" t="s">
        <v>560</v>
      </c>
      <c r="C12" s="357"/>
      <c r="D12" s="358"/>
    </row>
    <row r="13" spans="2:4" ht="12.75" customHeight="1" x14ac:dyDescent="0.2">
      <c r="B13" s="253"/>
      <c r="C13" s="253"/>
      <c r="D13" s="253"/>
    </row>
    <row r="14" spans="2:4" ht="42.75" customHeight="1" x14ac:dyDescent="0.2">
      <c r="B14" s="356" t="s">
        <v>632</v>
      </c>
      <c r="C14" s="357"/>
      <c r="D14" s="358"/>
    </row>
    <row r="15" spans="2:4" ht="12.75" customHeight="1" x14ac:dyDescent="0.2">
      <c r="B15" s="253"/>
      <c r="C15" s="253"/>
      <c r="D15" s="253"/>
    </row>
    <row r="16" spans="2:4" ht="48.75" customHeight="1" x14ac:dyDescent="0.2">
      <c r="B16" s="359" t="s">
        <v>633</v>
      </c>
      <c r="C16" s="357"/>
      <c r="D16" s="358"/>
    </row>
    <row r="17" spans="2:4" ht="12.75" customHeight="1" x14ac:dyDescent="0.2">
      <c r="B17" s="253"/>
      <c r="C17" s="253"/>
      <c r="D17" s="253"/>
    </row>
    <row r="18" spans="2:4" ht="46.5" customHeight="1" x14ac:dyDescent="0.2">
      <c r="B18" s="359" t="s">
        <v>1189</v>
      </c>
      <c r="C18" s="357"/>
      <c r="D18" s="358"/>
    </row>
    <row r="19" spans="2:4" ht="12.75" customHeight="1" x14ac:dyDescent="0.2">
      <c r="B19" s="253"/>
      <c r="C19" s="253"/>
      <c r="D19" s="253"/>
    </row>
    <row r="20" spans="2:4" ht="80.25" customHeight="1" x14ac:dyDescent="0.2">
      <c r="B20" s="356" t="s">
        <v>634</v>
      </c>
      <c r="C20" s="357"/>
      <c r="D20" s="358"/>
    </row>
    <row r="21" spans="2:4" ht="12.75" customHeight="1" x14ac:dyDescent="0.2">
      <c r="B21" s="253"/>
      <c r="C21" s="253"/>
      <c r="D21" s="253"/>
    </row>
    <row r="22" spans="2:4" ht="40.5" customHeight="1" x14ac:dyDescent="0.2">
      <c r="B22" s="359" t="s">
        <v>1180</v>
      </c>
      <c r="C22" s="357"/>
      <c r="D22" s="358"/>
    </row>
    <row r="23" spans="2:4" ht="12.75" customHeight="1" x14ac:dyDescent="0.2">
      <c r="B23" s="253"/>
      <c r="C23" s="253"/>
      <c r="D23" s="253"/>
    </row>
    <row r="24" spans="2:4" ht="40.5" customHeight="1" x14ac:dyDescent="0.2">
      <c r="B24" s="356" t="s">
        <v>635</v>
      </c>
      <c r="C24" s="357"/>
      <c r="D24" s="358"/>
    </row>
    <row r="25" spans="2:4" ht="12.75" customHeight="1" x14ac:dyDescent="0.2">
      <c r="B25" s="248"/>
      <c r="C25" s="253"/>
      <c r="D25" s="253"/>
    </row>
    <row r="26" spans="2:4" ht="33.75" customHeight="1" x14ac:dyDescent="0.2">
      <c r="B26" s="356" t="s">
        <v>636</v>
      </c>
      <c r="C26" s="357"/>
      <c r="D26" s="358"/>
    </row>
    <row r="27" spans="2:4" ht="12.75" customHeight="1" x14ac:dyDescent="0.2">
      <c r="B27" s="254"/>
      <c r="C27" s="254"/>
      <c r="D27" s="254"/>
    </row>
    <row r="28" spans="2:4" ht="15" customHeight="1" x14ac:dyDescent="0.2">
      <c r="B28" s="359" t="s">
        <v>1166</v>
      </c>
      <c r="C28" s="357"/>
      <c r="D28" s="358"/>
    </row>
    <row r="29" spans="2:4" ht="12.75" customHeight="1" x14ac:dyDescent="0.2">
      <c r="B29" s="254"/>
      <c r="C29" s="254"/>
      <c r="D29" s="254"/>
    </row>
    <row r="30" spans="2:4" ht="12.75" customHeight="1" x14ac:dyDescent="0.2">
      <c r="B30" s="304" t="s">
        <v>561</v>
      </c>
      <c r="C30" s="255"/>
      <c r="D30" s="256"/>
    </row>
    <row r="31" spans="2:4" ht="12.75" customHeight="1" x14ac:dyDescent="0.2">
      <c r="B31" s="252"/>
      <c r="C31" s="253"/>
      <c r="D31" s="253"/>
    </row>
    <row r="32" spans="2:4" ht="12.75" customHeight="1" x14ac:dyDescent="0.2">
      <c r="B32" s="303" t="s">
        <v>637</v>
      </c>
      <c r="C32" s="306" t="s">
        <v>638</v>
      </c>
      <c r="D32" s="307" t="s">
        <v>639</v>
      </c>
    </row>
    <row r="33" spans="2:6" ht="12.75" customHeight="1" x14ac:dyDescent="0.2">
      <c r="B33" s="257" t="s">
        <v>640</v>
      </c>
      <c r="C33" s="258" t="s">
        <v>641</v>
      </c>
      <c r="D33" s="259" t="s">
        <v>642</v>
      </c>
    </row>
    <row r="34" spans="2:6" ht="12.75" customHeight="1" x14ac:dyDescent="0.2">
      <c r="B34" s="326" t="s">
        <v>643</v>
      </c>
      <c r="C34" s="258" t="s">
        <v>641</v>
      </c>
      <c r="D34" s="259" t="s">
        <v>642</v>
      </c>
    </row>
    <row r="35" spans="2:6" ht="12.75" customHeight="1" x14ac:dyDescent="0.2">
      <c r="B35" s="326" t="s">
        <v>644</v>
      </c>
      <c r="C35" s="258" t="s">
        <v>645</v>
      </c>
      <c r="D35" s="259" t="s">
        <v>645</v>
      </c>
    </row>
    <row r="36" spans="2:6" ht="12.75" customHeight="1" x14ac:dyDescent="0.25">
      <c r="B36" s="326" t="s">
        <v>646</v>
      </c>
      <c r="C36" s="258" t="s">
        <v>641</v>
      </c>
      <c r="D36" s="259" t="s">
        <v>642</v>
      </c>
      <c r="E36" s="247"/>
      <c r="F36" s="247"/>
    </row>
    <row r="37" spans="2:6" ht="12.75" customHeight="1" x14ac:dyDescent="0.25">
      <c r="B37" s="326" t="s">
        <v>647</v>
      </c>
      <c r="C37" s="258" t="s">
        <v>641</v>
      </c>
      <c r="D37" s="259" t="s">
        <v>642</v>
      </c>
      <c r="E37" s="247"/>
      <c r="F37" s="247"/>
    </row>
    <row r="38" spans="2:6" ht="12.75" customHeight="1" x14ac:dyDescent="0.25">
      <c r="B38" s="326" t="s">
        <v>648</v>
      </c>
      <c r="C38" s="258" t="s">
        <v>641</v>
      </c>
      <c r="D38" s="259" t="s">
        <v>642</v>
      </c>
      <c r="E38" s="247"/>
      <c r="F38" s="247"/>
    </row>
    <row r="39" spans="2:6" ht="12.75" customHeight="1" x14ac:dyDescent="0.25">
      <c r="B39" s="326" t="s">
        <v>1187</v>
      </c>
      <c r="C39" s="258" t="s">
        <v>641</v>
      </c>
      <c r="D39" s="259" t="s">
        <v>642</v>
      </c>
      <c r="E39" s="247"/>
      <c r="F39" s="247"/>
    </row>
    <row r="40" spans="2:6" ht="12.75" customHeight="1" x14ac:dyDescent="0.25">
      <c r="B40" s="326" t="s">
        <v>649</v>
      </c>
      <c r="C40" s="258" t="s">
        <v>641</v>
      </c>
      <c r="D40" s="259" t="s">
        <v>642</v>
      </c>
      <c r="E40" s="247"/>
      <c r="F40" s="247"/>
    </row>
    <row r="41" spans="2:6" ht="12.75" customHeight="1" x14ac:dyDescent="0.25">
      <c r="B41" s="326" t="s">
        <v>650</v>
      </c>
      <c r="C41" s="258" t="s">
        <v>641</v>
      </c>
      <c r="D41" s="259" t="s">
        <v>642</v>
      </c>
      <c r="E41" s="247"/>
      <c r="F41" s="247"/>
    </row>
    <row r="42" spans="2:6" ht="12.75" customHeight="1" x14ac:dyDescent="0.25">
      <c r="B42" s="326" t="s">
        <v>651</v>
      </c>
      <c r="C42" s="258" t="s">
        <v>641</v>
      </c>
      <c r="D42" s="259" t="s">
        <v>642</v>
      </c>
      <c r="E42" s="247"/>
      <c r="F42" s="247"/>
    </row>
    <row r="43" spans="2:6" ht="12.75" customHeight="1" x14ac:dyDescent="0.25">
      <c r="B43" s="326" t="s">
        <v>652</v>
      </c>
      <c r="C43" s="258" t="s">
        <v>641</v>
      </c>
      <c r="D43" s="259" t="s">
        <v>642</v>
      </c>
      <c r="E43" s="247"/>
      <c r="F43" s="247"/>
    </row>
    <row r="44" spans="2:6" ht="12.75" customHeight="1" x14ac:dyDescent="0.25">
      <c r="B44" s="326" t="s">
        <v>653</v>
      </c>
      <c r="C44" s="258" t="s">
        <v>641</v>
      </c>
      <c r="D44" s="259" t="s">
        <v>642</v>
      </c>
      <c r="E44" s="247"/>
      <c r="F44" s="247"/>
    </row>
    <row r="45" spans="2:6" ht="12.75" customHeight="1" x14ac:dyDescent="0.25">
      <c r="B45" s="326" t="s">
        <v>654</v>
      </c>
      <c r="C45" s="258" t="s">
        <v>641</v>
      </c>
      <c r="D45" s="259" t="s">
        <v>642</v>
      </c>
      <c r="E45" s="247"/>
      <c r="F45" s="247"/>
    </row>
    <row r="46" spans="2:6" ht="12.75" customHeight="1" x14ac:dyDescent="0.25">
      <c r="B46" s="326" t="s">
        <v>655</v>
      </c>
      <c r="C46" s="258" t="s">
        <v>641</v>
      </c>
      <c r="D46" s="259" t="s">
        <v>642</v>
      </c>
      <c r="E46" s="247"/>
      <c r="F46" s="247"/>
    </row>
    <row r="47" spans="2:6" ht="12.75" customHeight="1" x14ac:dyDescent="0.25">
      <c r="B47" s="326" t="s">
        <v>656</v>
      </c>
      <c r="C47" s="258" t="s">
        <v>641</v>
      </c>
      <c r="D47" s="259" t="s">
        <v>642</v>
      </c>
      <c r="E47" s="247"/>
      <c r="F47" s="247"/>
    </row>
    <row r="48" spans="2:6" ht="12.75" customHeight="1" x14ac:dyDescent="0.25">
      <c r="B48" s="326" t="s">
        <v>657</v>
      </c>
      <c r="C48" s="258" t="s">
        <v>641</v>
      </c>
      <c r="D48" s="259" t="s">
        <v>642</v>
      </c>
      <c r="E48" s="247"/>
      <c r="F48" s="247"/>
    </row>
    <row r="49" spans="1:6" ht="12.75" customHeight="1" x14ac:dyDescent="0.25">
      <c r="B49" s="326" t="s">
        <v>658</v>
      </c>
      <c r="C49" s="258" t="s">
        <v>641</v>
      </c>
      <c r="D49" s="259" t="s">
        <v>642</v>
      </c>
      <c r="E49" s="247"/>
      <c r="F49" s="247"/>
    </row>
    <row r="50" spans="1:6" ht="12.75" customHeight="1" x14ac:dyDescent="0.25">
      <c r="B50" s="326" t="s">
        <v>659</v>
      </c>
      <c r="C50" s="258" t="s">
        <v>645</v>
      </c>
      <c r="D50" s="259" t="s">
        <v>645</v>
      </c>
      <c r="E50" s="247"/>
      <c r="F50" s="247"/>
    </row>
    <row r="51" spans="1:6" ht="12.75" customHeight="1" x14ac:dyDescent="0.25">
      <c r="B51" s="326" t="s">
        <v>1181</v>
      </c>
      <c r="C51" s="258" t="s">
        <v>641</v>
      </c>
      <c r="D51" s="259" t="s">
        <v>645</v>
      </c>
      <c r="E51" s="247"/>
      <c r="F51" s="247"/>
    </row>
    <row r="52" spans="1:6" ht="12.75" customHeight="1" x14ac:dyDescent="0.25">
      <c r="A52" s="247"/>
      <c r="B52" s="327" t="s">
        <v>660</v>
      </c>
      <c r="C52" s="262" t="s">
        <v>641</v>
      </c>
      <c r="D52" s="261" t="s">
        <v>642</v>
      </c>
      <c r="E52" s="247"/>
      <c r="F52" s="247"/>
    </row>
    <row r="53" spans="1:6" ht="12.75" customHeight="1" x14ac:dyDescent="0.25">
      <c r="A53" s="247"/>
      <c r="B53" s="253"/>
      <c r="C53" s="253"/>
      <c r="D53" s="253"/>
      <c r="E53" s="247"/>
      <c r="F53" s="247"/>
    </row>
    <row r="54" spans="1:6" ht="12.75" customHeight="1" x14ac:dyDescent="0.25">
      <c r="A54" s="247"/>
      <c r="B54" s="304" t="s">
        <v>564</v>
      </c>
      <c r="C54" s="255"/>
      <c r="D54" s="256"/>
      <c r="E54" s="247"/>
      <c r="F54" s="247"/>
    </row>
    <row r="55" spans="1:6" ht="12.75" customHeight="1" x14ac:dyDescent="0.25">
      <c r="A55" s="247"/>
      <c r="B55" s="252"/>
      <c r="C55" s="253"/>
      <c r="D55" s="253"/>
      <c r="E55" s="247"/>
      <c r="F55" s="247"/>
    </row>
    <row r="56" spans="1:6" ht="12.75" customHeight="1" x14ac:dyDescent="0.25">
      <c r="A56" s="247"/>
      <c r="B56" s="303" t="s">
        <v>661</v>
      </c>
      <c r="C56" s="306" t="s">
        <v>662</v>
      </c>
      <c r="D56" s="307" t="s">
        <v>1167</v>
      </c>
      <c r="E56" s="247"/>
      <c r="F56" s="247"/>
    </row>
    <row r="57" spans="1:6" ht="12.75" customHeight="1" x14ac:dyDescent="0.25">
      <c r="A57" s="249"/>
      <c r="B57" s="326" t="s">
        <v>663</v>
      </c>
      <c r="C57" s="258" t="s">
        <v>664</v>
      </c>
      <c r="D57" s="259" t="s">
        <v>665</v>
      </c>
      <c r="E57" s="247"/>
      <c r="F57" s="247"/>
    </row>
    <row r="58" spans="1:6" ht="12.75" customHeight="1" x14ac:dyDescent="0.25">
      <c r="A58" s="249"/>
      <c r="B58" s="326" t="s">
        <v>666</v>
      </c>
      <c r="C58" s="258" t="s">
        <v>667</v>
      </c>
      <c r="D58" s="259" t="s">
        <v>665</v>
      </c>
      <c r="E58" s="247"/>
      <c r="F58" s="247"/>
    </row>
    <row r="59" spans="1:6" ht="12.75" customHeight="1" x14ac:dyDescent="0.25">
      <c r="A59" s="249"/>
      <c r="B59" s="326" t="s">
        <v>644</v>
      </c>
      <c r="C59" s="258" t="s">
        <v>668</v>
      </c>
      <c r="D59" s="259" t="s">
        <v>665</v>
      </c>
      <c r="E59" s="247"/>
      <c r="F59" s="247"/>
    </row>
    <row r="60" spans="1:6" ht="12.75" customHeight="1" x14ac:dyDescent="0.25">
      <c r="A60" s="249"/>
      <c r="B60" s="326" t="s">
        <v>669</v>
      </c>
      <c r="C60" s="258" t="s">
        <v>664</v>
      </c>
      <c r="D60" s="259" t="s">
        <v>665</v>
      </c>
      <c r="E60" s="247"/>
      <c r="F60" s="247"/>
    </row>
    <row r="61" spans="1:6" ht="12.75" customHeight="1" x14ac:dyDescent="0.25">
      <c r="A61" s="249"/>
      <c r="B61" s="326" t="s">
        <v>647</v>
      </c>
      <c r="C61" s="258" t="s">
        <v>645</v>
      </c>
      <c r="D61" s="259" t="s">
        <v>645</v>
      </c>
      <c r="E61" s="247"/>
      <c r="F61" s="247"/>
    </row>
    <row r="62" spans="1:6" ht="12.75" customHeight="1" x14ac:dyDescent="0.25">
      <c r="A62" s="249"/>
      <c r="B62" s="326" t="s">
        <v>670</v>
      </c>
      <c r="C62" s="258" t="s">
        <v>645</v>
      </c>
      <c r="D62" s="259" t="s">
        <v>645</v>
      </c>
      <c r="E62" s="247"/>
      <c r="F62" s="247"/>
    </row>
    <row r="63" spans="1:6" ht="12.75" customHeight="1" x14ac:dyDescent="0.25">
      <c r="A63" s="249"/>
      <c r="B63" s="326" t="s">
        <v>1188</v>
      </c>
      <c r="C63" s="258" t="s">
        <v>664</v>
      </c>
      <c r="D63" s="259" t="s">
        <v>665</v>
      </c>
      <c r="E63" s="247"/>
      <c r="F63" s="247"/>
    </row>
    <row r="64" spans="1:6" ht="12.75" customHeight="1" x14ac:dyDescent="0.25">
      <c r="A64" s="249"/>
      <c r="B64" s="326" t="s">
        <v>649</v>
      </c>
      <c r="C64" s="258" t="s">
        <v>645</v>
      </c>
      <c r="D64" s="259" t="s">
        <v>645</v>
      </c>
      <c r="E64" s="247"/>
      <c r="F64" s="247"/>
    </row>
    <row r="65" spans="1:6" ht="12.75" customHeight="1" x14ac:dyDescent="0.25">
      <c r="A65" s="249"/>
      <c r="B65" s="326" t="s">
        <v>650</v>
      </c>
      <c r="C65" s="258" t="s">
        <v>664</v>
      </c>
      <c r="D65" s="259" t="s">
        <v>665</v>
      </c>
      <c r="E65" s="247"/>
      <c r="F65" s="247"/>
    </row>
    <row r="66" spans="1:6" ht="12.75" customHeight="1" x14ac:dyDescent="0.25">
      <c r="A66" s="249"/>
      <c r="B66" s="326" t="s">
        <v>651</v>
      </c>
      <c r="C66" s="258" t="s">
        <v>664</v>
      </c>
      <c r="D66" s="259" t="s">
        <v>665</v>
      </c>
      <c r="E66" s="247"/>
      <c r="F66" s="247"/>
    </row>
    <row r="67" spans="1:6" ht="12.75" customHeight="1" x14ac:dyDescent="0.25">
      <c r="A67" s="249"/>
      <c r="B67" s="326" t="s">
        <v>671</v>
      </c>
      <c r="C67" s="258" t="s">
        <v>645</v>
      </c>
      <c r="D67" s="259" t="s">
        <v>645</v>
      </c>
      <c r="E67" s="247"/>
      <c r="F67" s="247"/>
    </row>
    <row r="68" spans="1:6" ht="12.75" customHeight="1" x14ac:dyDescent="0.25">
      <c r="A68" s="249"/>
      <c r="B68" s="326" t="s">
        <v>672</v>
      </c>
      <c r="C68" s="258" t="s">
        <v>664</v>
      </c>
      <c r="D68" s="259" t="s">
        <v>665</v>
      </c>
      <c r="E68" s="247"/>
    </row>
    <row r="69" spans="1:6" ht="12.75" customHeight="1" x14ac:dyDescent="0.25">
      <c r="A69" s="249"/>
      <c r="B69" s="326" t="s">
        <v>673</v>
      </c>
      <c r="C69" s="258" t="s">
        <v>664</v>
      </c>
      <c r="D69" s="259" t="s">
        <v>665</v>
      </c>
      <c r="E69" s="247"/>
    </row>
    <row r="70" spans="1:6" ht="12.75" customHeight="1" x14ac:dyDescent="0.25">
      <c r="A70" s="249"/>
      <c r="B70" s="326" t="s">
        <v>674</v>
      </c>
      <c r="C70" s="258" t="s">
        <v>664</v>
      </c>
      <c r="D70" s="259" t="s">
        <v>665</v>
      </c>
      <c r="E70" s="247"/>
    </row>
    <row r="71" spans="1:6" ht="12.75" customHeight="1" x14ac:dyDescent="0.25">
      <c r="A71" s="249"/>
      <c r="B71" s="326" t="s">
        <v>675</v>
      </c>
      <c r="C71" s="258" t="s">
        <v>645</v>
      </c>
      <c r="D71" s="259" t="s">
        <v>645</v>
      </c>
      <c r="E71" s="247"/>
    </row>
    <row r="72" spans="1:6" ht="12.75" customHeight="1" x14ac:dyDescent="0.25">
      <c r="A72" s="249"/>
      <c r="B72" s="326" t="s">
        <v>676</v>
      </c>
      <c r="C72" s="258" t="s">
        <v>664</v>
      </c>
      <c r="D72" s="259" t="s">
        <v>665</v>
      </c>
      <c r="E72" s="247"/>
    </row>
    <row r="73" spans="1:6" ht="12.75" customHeight="1" x14ac:dyDescent="0.25">
      <c r="A73" s="249"/>
      <c r="B73" s="326" t="s">
        <v>677</v>
      </c>
      <c r="C73" s="258" t="s">
        <v>664</v>
      </c>
      <c r="D73" s="259" t="s">
        <v>665</v>
      </c>
      <c r="E73" s="247"/>
    </row>
    <row r="74" spans="1:6" ht="12.75" customHeight="1" x14ac:dyDescent="0.25">
      <c r="A74" s="249"/>
      <c r="B74" s="326" t="s">
        <v>659</v>
      </c>
      <c r="C74" s="258" t="s">
        <v>678</v>
      </c>
      <c r="D74" s="259" t="s">
        <v>665</v>
      </c>
      <c r="E74" s="247"/>
    </row>
    <row r="75" spans="1:6" ht="12.75" customHeight="1" x14ac:dyDescent="0.25">
      <c r="A75" s="249"/>
      <c r="B75" s="326" t="s">
        <v>1181</v>
      </c>
      <c r="C75" s="258" t="s">
        <v>664</v>
      </c>
      <c r="D75" s="259" t="s">
        <v>665</v>
      </c>
      <c r="E75" s="247"/>
    </row>
    <row r="76" spans="1:6" ht="12.75" customHeight="1" x14ac:dyDescent="0.25">
      <c r="A76" s="249"/>
      <c r="B76" s="327" t="s">
        <v>679</v>
      </c>
      <c r="C76" s="262" t="s">
        <v>664</v>
      </c>
      <c r="D76" s="261" t="s">
        <v>665</v>
      </c>
      <c r="E76" s="247"/>
    </row>
    <row r="77" spans="1:6" ht="12.75" customHeight="1" x14ac:dyDescent="0.25">
      <c r="A77" s="247"/>
      <c r="B77" s="253"/>
      <c r="C77" s="253"/>
      <c r="D77" s="253"/>
      <c r="E77" s="247"/>
    </row>
    <row r="78" spans="1:6" ht="12.75" customHeight="1" x14ac:dyDescent="0.25">
      <c r="A78" s="247"/>
      <c r="B78" s="304" t="s">
        <v>563</v>
      </c>
      <c r="C78" s="255"/>
      <c r="D78" s="256"/>
      <c r="E78" s="247"/>
    </row>
    <row r="79" spans="1:6" ht="12.75" customHeight="1" x14ac:dyDescent="0.25">
      <c r="A79" s="247"/>
      <c r="B79" s="252"/>
      <c r="C79" s="253"/>
      <c r="D79" s="253"/>
      <c r="E79" s="247"/>
    </row>
    <row r="80" spans="1:6" ht="12.75" customHeight="1" x14ac:dyDescent="0.25">
      <c r="A80" s="247"/>
      <c r="B80" s="328" t="s">
        <v>680</v>
      </c>
      <c r="C80" s="263" t="s">
        <v>94</v>
      </c>
      <c r="D80" s="265"/>
      <c r="E80" s="247"/>
    </row>
    <row r="81" spans="1:5" ht="12.75" customHeight="1" x14ac:dyDescent="0.25">
      <c r="A81" s="247"/>
      <c r="B81" s="326" t="s">
        <v>681</v>
      </c>
      <c r="C81" s="264" t="s">
        <v>1168</v>
      </c>
      <c r="D81" s="266"/>
      <c r="E81" s="247"/>
    </row>
    <row r="82" spans="1:5" ht="12.75" customHeight="1" x14ac:dyDescent="0.25">
      <c r="A82" s="247"/>
      <c r="B82" s="326" t="s">
        <v>682</v>
      </c>
      <c r="C82" s="264" t="s">
        <v>1170</v>
      </c>
      <c r="D82" s="266"/>
      <c r="E82" s="247"/>
    </row>
    <row r="83" spans="1:5" ht="12.75" customHeight="1" x14ac:dyDescent="0.25">
      <c r="A83" s="247"/>
      <c r="B83" s="326" t="s">
        <v>683</v>
      </c>
      <c r="C83" s="264" t="s">
        <v>1182</v>
      </c>
      <c r="D83" s="266"/>
      <c r="E83" s="247"/>
    </row>
    <row r="84" spans="1:5" ht="12.75" customHeight="1" x14ac:dyDescent="0.25">
      <c r="B84" s="326" t="s">
        <v>684</v>
      </c>
      <c r="C84" s="264" t="s">
        <v>685</v>
      </c>
      <c r="D84" s="266"/>
      <c r="E84" s="247"/>
    </row>
    <row r="85" spans="1:5" ht="12.75" customHeight="1" x14ac:dyDescent="0.25">
      <c r="B85" s="327" t="s">
        <v>686</v>
      </c>
      <c r="C85" s="260" t="s">
        <v>1169</v>
      </c>
      <c r="D85" s="267"/>
      <c r="E85" s="247"/>
    </row>
    <row r="86" spans="1:5" ht="12.75" customHeight="1" x14ac:dyDescent="0.25">
      <c r="B86" s="253"/>
      <c r="C86" s="253"/>
      <c r="D86" s="253"/>
      <c r="E86" s="247"/>
    </row>
    <row r="87" spans="1:5" ht="12.75" customHeight="1" x14ac:dyDescent="0.25">
      <c r="B87" s="328" t="s">
        <v>687</v>
      </c>
      <c r="C87" s="263" t="s">
        <v>688</v>
      </c>
      <c r="D87" s="265"/>
      <c r="E87" s="247"/>
    </row>
    <row r="88" spans="1:5" ht="12.75" customHeight="1" x14ac:dyDescent="0.25">
      <c r="B88" s="326" t="s">
        <v>689</v>
      </c>
      <c r="C88" s="264" t="s">
        <v>690</v>
      </c>
      <c r="D88" s="266"/>
      <c r="E88" s="247"/>
    </row>
    <row r="89" spans="1:5" ht="12.75" customHeight="1" x14ac:dyDescent="0.25">
      <c r="B89" s="326" t="s">
        <v>691</v>
      </c>
      <c r="C89" s="264" t="s">
        <v>692</v>
      </c>
      <c r="D89" s="266"/>
      <c r="E89" s="247"/>
    </row>
    <row r="90" spans="1:5" ht="12.75" customHeight="1" x14ac:dyDescent="0.25">
      <c r="B90" s="326" t="s">
        <v>693</v>
      </c>
      <c r="C90" s="264" t="s">
        <v>694</v>
      </c>
      <c r="D90" s="266"/>
      <c r="E90" s="247"/>
    </row>
    <row r="91" spans="1:5" ht="12.75" customHeight="1" x14ac:dyDescent="0.25">
      <c r="B91" s="326" t="s">
        <v>695</v>
      </c>
      <c r="C91" s="264" t="s">
        <v>696</v>
      </c>
      <c r="D91" s="266"/>
      <c r="E91" s="247"/>
    </row>
    <row r="92" spans="1:5" ht="12.75" customHeight="1" x14ac:dyDescent="0.25">
      <c r="B92" s="326" t="s">
        <v>697</v>
      </c>
      <c r="C92" s="264" t="s">
        <v>698</v>
      </c>
      <c r="D92" s="266"/>
      <c r="E92" s="247"/>
    </row>
    <row r="93" spans="1:5" ht="12.75" customHeight="1" x14ac:dyDescent="0.25">
      <c r="B93" s="326" t="s">
        <v>699</v>
      </c>
      <c r="C93" s="264" t="s">
        <v>700</v>
      </c>
      <c r="D93" s="266"/>
      <c r="E93" s="247"/>
    </row>
    <row r="94" spans="1:5" ht="12.75" customHeight="1" x14ac:dyDescent="0.25">
      <c r="B94" s="326" t="s">
        <v>701</v>
      </c>
      <c r="C94" s="264" t="s">
        <v>702</v>
      </c>
      <c r="D94" s="266"/>
      <c r="E94" s="247"/>
    </row>
    <row r="95" spans="1:5" ht="12.75" customHeight="1" x14ac:dyDescent="0.25">
      <c r="B95" s="326" t="s">
        <v>703</v>
      </c>
      <c r="C95" s="264" t="s">
        <v>704</v>
      </c>
      <c r="D95" s="266"/>
      <c r="E95" s="247"/>
    </row>
    <row r="96" spans="1:5" ht="12.75" customHeight="1" x14ac:dyDescent="0.25">
      <c r="B96" s="326" t="s">
        <v>705</v>
      </c>
      <c r="C96" s="264" t="s">
        <v>706</v>
      </c>
      <c r="D96" s="266"/>
      <c r="E96" s="247"/>
    </row>
    <row r="97" spans="2:6" ht="12.75" customHeight="1" x14ac:dyDescent="0.25">
      <c r="B97" s="326" t="s">
        <v>707</v>
      </c>
      <c r="C97" s="264" t="s">
        <v>708</v>
      </c>
      <c r="D97" s="266"/>
      <c r="E97" s="247"/>
    </row>
    <row r="98" spans="2:6" ht="12.75" customHeight="1" x14ac:dyDescent="0.25">
      <c r="B98" s="326" t="s">
        <v>709</v>
      </c>
      <c r="C98" s="264" t="s">
        <v>710</v>
      </c>
      <c r="D98" s="266"/>
      <c r="E98" s="247"/>
    </row>
    <row r="99" spans="2:6" ht="12.75" customHeight="1" x14ac:dyDescent="0.25">
      <c r="B99" s="327" t="s">
        <v>711</v>
      </c>
      <c r="C99" s="260" t="s">
        <v>712</v>
      </c>
      <c r="D99" s="267"/>
      <c r="E99" s="247"/>
    </row>
    <row r="100" spans="2:6" ht="12.75" customHeight="1" x14ac:dyDescent="0.2">
      <c r="B100" s="252" t="s">
        <v>455</v>
      </c>
      <c r="C100" s="254"/>
      <c r="D100" s="254"/>
    </row>
    <row r="101" spans="2:6" ht="12.75" customHeight="1" x14ac:dyDescent="0.2">
      <c r="B101" s="254"/>
      <c r="C101" s="254"/>
      <c r="D101" s="254"/>
    </row>
    <row r="102" spans="2:6" ht="12.75" customHeight="1" x14ac:dyDescent="0.2">
      <c r="B102" s="254"/>
      <c r="C102" s="254"/>
      <c r="D102" s="254"/>
    </row>
    <row r="103" spans="2:6" ht="12.75" customHeight="1" x14ac:dyDescent="0.2">
      <c r="B103" s="254"/>
      <c r="C103" s="254"/>
      <c r="D103" s="254"/>
    </row>
    <row r="104" spans="2:6" ht="12.75" customHeight="1" x14ac:dyDescent="0.2">
      <c r="B104" s="254"/>
      <c r="C104" s="254"/>
      <c r="D104" s="254"/>
    </row>
    <row r="105" spans="2:6" ht="12.75" customHeight="1" x14ac:dyDescent="0.2">
      <c r="B105" s="254"/>
      <c r="C105" s="254"/>
      <c r="D105" s="254"/>
    </row>
    <row r="106" spans="2:6" ht="12.75" customHeight="1" x14ac:dyDescent="0.2">
      <c r="B106" s="360" t="s">
        <v>714</v>
      </c>
      <c r="C106" s="361"/>
      <c r="D106" s="362"/>
    </row>
    <row r="107" spans="2:6" ht="12.75" customHeight="1" x14ac:dyDescent="0.2">
      <c r="B107" s="254"/>
      <c r="C107" s="254"/>
      <c r="D107" s="254"/>
    </row>
    <row r="108" spans="2:6" ht="43.5" customHeight="1" x14ac:dyDescent="0.2">
      <c r="B108" s="359" t="s">
        <v>633</v>
      </c>
      <c r="C108" s="357"/>
      <c r="D108" s="358"/>
    </row>
    <row r="109" spans="2:6" ht="12.75" customHeight="1" x14ac:dyDescent="0.2">
      <c r="B109" s="253"/>
      <c r="C109" s="253"/>
      <c r="D109" s="253"/>
    </row>
    <row r="110" spans="2:6" ht="41.25" customHeight="1" x14ac:dyDescent="0.2">
      <c r="B110" s="359" t="s">
        <v>1171</v>
      </c>
      <c r="C110" s="357"/>
      <c r="D110" s="358"/>
    </row>
    <row r="111" spans="2:6" ht="12.75" customHeight="1" x14ac:dyDescent="0.2">
      <c r="B111" s="36"/>
      <c r="C111" s="36"/>
      <c r="D111" s="36"/>
      <c r="E111" s="36"/>
      <c r="F111" s="1"/>
    </row>
    <row r="112" spans="2:6" ht="12.75" customHeight="1" x14ac:dyDescent="0.2">
      <c r="B112" s="305" t="s">
        <v>747</v>
      </c>
      <c r="C112" s="366" t="s">
        <v>746</v>
      </c>
      <c r="D112" s="367"/>
      <c r="E112" s="36"/>
      <c r="F112" s="1"/>
    </row>
    <row r="113" spans="2:6" ht="12.75" customHeight="1" x14ac:dyDescent="0.2">
      <c r="B113" s="328" t="s">
        <v>715</v>
      </c>
      <c r="C113" s="329" t="s">
        <v>1172</v>
      </c>
      <c r="D113" s="330"/>
      <c r="F113" s="274"/>
    </row>
    <row r="114" spans="2:6" ht="12.75" customHeight="1" x14ac:dyDescent="0.2">
      <c r="B114" s="326" t="s">
        <v>1021</v>
      </c>
      <c r="C114" s="331" t="s">
        <v>1022</v>
      </c>
      <c r="D114" s="332"/>
      <c r="F114" s="274"/>
    </row>
    <row r="115" spans="2:6" ht="12.75" customHeight="1" x14ac:dyDescent="0.2">
      <c r="B115" s="326" t="s">
        <v>1023</v>
      </c>
      <c r="C115" s="331" t="s">
        <v>1024</v>
      </c>
      <c r="D115" s="332"/>
      <c r="F115" s="274"/>
    </row>
    <row r="116" spans="2:6" ht="12.75" customHeight="1" x14ac:dyDescent="0.25">
      <c r="B116" s="326" t="s">
        <v>902</v>
      </c>
      <c r="C116" s="331" t="s">
        <v>903</v>
      </c>
      <c r="D116" s="332"/>
      <c r="F116" s="275"/>
    </row>
    <row r="117" spans="2:6" ht="12.75" customHeight="1" x14ac:dyDescent="0.25">
      <c r="B117" s="326" t="s">
        <v>716</v>
      </c>
      <c r="C117" s="331" t="s">
        <v>717</v>
      </c>
      <c r="D117" s="332"/>
      <c r="F117" s="275"/>
    </row>
    <row r="118" spans="2:6" ht="12.75" customHeight="1" x14ac:dyDescent="0.25">
      <c r="B118" s="326" t="s">
        <v>718</v>
      </c>
      <c r="C118" s="331" t="s">
        <v>719</v>
      </c>
      <c r="D118" s="332"/>
      <c r="F118" s="275"/>
    </row>
    <row r="119" spans="2:6" ht="12.75" customHeight="1" x14ac:dyDescent="0.25">
      <c r="B119" s="326" t="s">
        <v>720</v>
      </c>
      <c r="C119" s="331" t="s">
        <v>721</v>
      </c>
      <c r="D119" s="332"/>
      <c r="F119" s="275"/>
    </row>
    <row r="120" spans="2:6" ht="12.75" customHeight="1" x14ac:dyDescent="0.25">
      <c r="B120" s="326" t="s">
        <v>722</v>
      </c>
      <c r="C120" s="331" t="s">
        <v>723</v>
      </c>
      <c r="D120" s="332"/>
      <c r="F120" s="275"/>
    </row>
    <row r="121" spans="2:6" ht="12.75" customHeight="1" x14ac:dyDescent="0.2">
      <c r="B121" s="326" t="s">
        <v>724</v>
      </c>
      <c r="C121" s="331" t="s">
        <v>725</v>
      </c>
      <c r="D121" s="332"/>
      <c r="F121" s="274"/>
    </row>
    <row r="122" spans="2:6" ht="12.75" customHeight="1" x14ac:dyDescent="0.2">
      <c r="B122" s="326" t="s">
        <v>959</v>
      </c>
      <c r="C122" s="331" t="s">
        <v>960</v>
      </c>
      <c r="D122" s="332"/>
      <c r="F122" s="274"/>
    </row>
    <row r="123" spans="2:6" ht="12.75" customHeight="1" x14ac:dyDescent="0.2">
      <c r="B123" s="326" t="s">
        <v>961</v>
      </c>
      <c r="C123" s="331" t="s">
        <v>962</v>
      </c>
      <c r="D123" s="332"/>
      <c r="F123" s="274"/>
    </row>
    <row r="124" spans="2:6" ht="12.75" customHeight="1" x14ac:dyDescent="0.2">
      <c r="B124" s="326" t="s">
        <v>1297</v>
      </c>
      <c r="C124" s="331" t="s">
        <v>1298</v>
      </c>
      <c r="D124" s="332"/>
      <c r="F124" s="274"/>
    </row>
    <row r="125" spans="2:6" ht="12.75" customHeight="1" x14ac:dyDescent="0.2">
      <c r="B125" s="326" t="s">
        <v>989</v>
      </c>
      <c r="C125" s="331" t="s">
        <v>1390</v>
      </c>
      <c r="D125" s="332"/>
      <c r="F125" s="274"/>
    </row>
    <row r="126" spans="2:6" ht="12.75" customHeight="1" x14ac:dyDescent="0.2">
      <c r="B126" s="326" t="s">
        <v>1365</v>
      </c>
      <c r="C126" s="331" t="s">
        <v>1389</v>
      </c>
      <c r="D126" s="332"/>
      <c r="F126" s="274"/>
    </row>
    <row r="127" spans="2:6" ht="12.75" customHeight="1" x14ac:dyDescent="0.2">
      <c r="B127" s="326" t="s">
        <v>728</v>
      </c>
      <c r="C127" s="331" t="s">
        <v>729</v>
      </c>
      <c r="D127" s="332"/>
      <c r="F127" s="274"/>
    </row>
    <row r="128" spans="2:6" ht="12.75" customHeight="1" x14ac:dyDescent="0.2">
      <c r="B128" s="326" t="s">
        <v>1285</v>
      </c>
      <c r="C128" s="331" t="s">
        <v>1286</v>
      </c>
      <c r="D128" s="332"/>
      <c r="F128" s="274"/>
    </row>
    <row r="129" spans="2:140" ht="12.75" customHeight="1" x14ac:dyDescent="0.2">
      <c r="B129" s="326" t="s">
        <v>730</v>
      </c>
      <c r="C129" s="331" t="s">
        <v>731</v>
      </c>
      <c r="D129" s="332"/>
      <c r="F129" s="274"/>
    </row>
    <row r="130" spans="2:140" ht="12.75" customHeight="1" x14ac:dyDescent="0.2">
      <c r="B130" s="326" t="s">
        <v>732</v>
      </c>
      <c r="C130" s="331" t="s">
        <v>733</v>
      </c>
      <c r="D130" s="332"/>
      <c r="F130" s="274"/>
    </row>
    <row r="131" spans="2:140" ht="12.75" customHeight="1" x14ac:dyDescent="0.2">
      <c r="B131" s="326" t="s">
        <v>734</v>
      </c>
      <c r="C131" s="331" t="s">
        <v>735</v>
      </c>
      <c r="D131" s="332"/>
      <c r="F131" s="274"/>
    </row>
    <row r="132" spans="2:140" ht="12.75" customHeight="1" x14ac:dyDescent="0.2">
      <c r="B132" s="326" t="s">
        <v>1287</v>
      </c>
      <c r="C132" s="331" t="s">
        <v>1288</v>
      </c>
      <c r="D132" s="332"/>
      <c r="F132" s="274"/>
    </row>
    <row r="133" spans="2:140" ht="12.75" customHeight="1" x14ac:dyDescent="0.2">
      <c r="B133" s="326" t="s">
        <v>736</v>
      </c>
      <c r="C133" s="331" t="s">
        <v>737</v>
      </c>
      <c r="D133" s="332"/>
      <c r="F133" s="274"/>
    </row>
    <row r="134" spans="2:140" ht="12.75" customHeight="1" x14ac:dyDescent="0.2">
      <c r="B134" s="326" t="s">
        <v>738</v>
      </c>
      <c r="C134" s="331" t="s">
        <v>739</v>
      </c>
      <c r="D134" s="332"/>
      <c r="F134" s="1"/>
    </row>
    <row r="135" spans="2:140" ht="12.75" customHeight="1" x14ac:dyDescent="0.25">
      <c r="B135" s="326" t="s">
        <v>740</v>
      </c>
      <c r="C135" s="331" t="s">
        <v>741</v>
      </c>
      <c r="D135" s="332"/>
      <c r="F135" s="1"/>
      <c r="G135" s="298"/>
      <c r="H135" s="298"/>
      <c r="I135" s="298"/>
      <c r="J135" s="298"/>
      <c r="K135" s="298"/>
      <c r="L135" s="298"/>
      <c r="M135" s="298"/>
      <c r="N135" s="298"/>
      <c r="O135" s="295"/>
      <c r="P135" s="298"/>
      <c r="Q135" s="295"/>
      <c r="R135" s="295"/>
      <c r="S135" s="295"/>
      <c r="T135" s="295"/>
      <c r="U135" s="295"/>
      <c r="V135" s="295"/>
      <c r="W135" s="295"/>
      <c r="X135" s="295"/>
      <c r="Y135" s="295"/>
      <c r="Z135" s="295"/>
      <c r="AA135" s="295"/>
      <c r="AB135" s="295"/>
      <c r="AC135" s="295"/>
      <c r="AD135" s="295"/>
      <c r="AE135" s="295"/>
      <c r="AF135" s="295"/>
      <c r="AG135" s="295"/>
      <c r="AH135" s="295"/>
      <c r="AI135" s="295"/>
      <c r="AJ135" s="295"/>
      <c r="AK135" s="295"/>
      <c r="AL135" s="295"/>
      <c r="AM135" s="295"/>
      <c r="AN135" s="295"/>
      <c r="AO135" s="295"/>
      <c r="AP135" s="295"/>
      <c r="AQ135" s="295"/>
      <c r="AR135" s="295"/>
      <c r="AS135" s="295"/>
      <c r="AT135" s="295"/>
      <c r="AU135" s="295"/>
      <c r="AV135" s="295"/>
      <c r="AW135" s="298"/>
      <c r="AX135" s="298"/>
      <c r="AY135" s="298"/>
      <c r="AZ135" s="298"/>
      <c r="BA135" s="302"/>
      <c r="BB135" s="298"/>
      <c r="BC135" s="298"/>
      <c r="BD135" s="298"/>
      <c r="BE135" s="298"/>
      <c r="BF135" s="298"/>
      <c r="BG135" s="298"/>
      <c r="BH135" s="298"/>
      <c r="BI135" s="295"/>
      <c r="BJ135" s="297"/>
      <c r="BK135" s="295"/>
      <c r="BL135" s="295"/>
      <c r="BM135" s="295"/>
      <c r="BN135" s="295"/>
      <c r="BO135" s="295"/>
      <c r="BP135" s="295"/>
      <c r="BQ135" s="295"/>
      <c r="BR135" s="295"/>
      <c r="BS135" s="295"/>
      <c r="BT135" s="295"/>
      <c r="BU135" s="295"/>
      <c r="BV135" s="295"/>
      <c r="BW135" s="295"/>
      <c r="BX135" s="295"/>
      <c r="BY135" s="295"/>
      <c r="BZ135" s="295"/>
      <c r="CA135" s="295"/>
      <c r="CB135" s="295"/>
      <c r="CC135" s="295"/>
      <c r="CD135" s="295"/>
      <c r="CE135" s="295"/>
      <c r="CF135" s="295"/>
      <c r="CG135" s="295"/>
      <c r="CH135" s="298"/>
      <c r="CI135" s="295"/>
      <c r="CJ135" s="298"/>
      <c r="CK135" s="298"/>
      <c r="CL135" s="298"/>
      <c r="CM135" s="298"/>
      <c r="CN135" s="298"/>
      <c r="CO135" s="298"/>
      <c r="CP135" s="298"/>
      <c r="CQ135" s="298"/>
      <c r="CR135" s="302"/>
      <c r="CS135" s="298"/>
      <c r="CT135" s="298"/>
      <c r="CU135" s="298"/>
      <c r="CV135" s="298"/>
      <c r="CW135" s="298"/>
      <c r="CX135" s="298"/>
      <c r="CY135" s="298"/>
      <c r="CZ135" s="298"/>
      <c r="DA135" s="298"/>
      <c r="DB135" s="298"/>
      <c r="DC135" s="298"/>
      <c r="DD135" s="298"/>
      <c r="DE135" s="298"/>
      <c r="DF135" s="298"/>
      <c r="DG135" s="298"/>
      <c r="DH135" s="298"/>
      <c r="DI135" s="298"/>
      <c r="DJ135" s="298"/>
      <c r="DK135" s="298"/>
      <c r="DL135" s="298"/>
      <c r="DM135" s="298"/>
      <c r="DN135" s="298"/>
      <c r="DO135" s="298"/>
      <c r="DP135" s="298"/>
      <c r="DQ135" s="298"/>
      <c r="DR135" s="298"/>
      <c r="DS135" s="298"/>
      <c r="DT135" s="298"/>
      <c r="DU135" s="302"/>
      <c r="DV135" s="298"/>
      <c r="DW135" s="298"/>
      <c r="DX135" s="301"/>
      <c r="DY135" s="301"/>
      <c r="DZ135" s="301"/>
      <c r="EA135" s="293"/>
      <c r="EB135" s="301"/>
      <c r="EC135" s="301"/>
      <c r="ED135" s="301"/>
      <c r="EE135" s="293"/>
      <c r="EF135" s="301"/>
      <c r="EG135" s="301"/>
      <c r="EH135" s="301"/>
      <c r="EI135" s="300"/>
      <c r="EJ135" s="300"/>
    </row>
    <row r="136" spans="2:140" ht="12.75" customHeight="1" x14ac:dyDescent="0.2">
      <c r="B136" s="326" t="s">
        <v>742</v>
      </c>
      <c r="C136" s="331" t="s">
        <v>743</v>
      </c>
      <c r="D136" s="332"/>
      <c r="F136" s="276"/>
    </row>
    <row r="137" spans="2:140" ht="12.75" customHeight="1" x14ac:dyDescent="0.2">
      <c r="B137" s="327" t="s">
        <v>744</v>
      </c>
      <c r="C137" s="333" t="s">
        <v>745</v>
      </c>
      <c r="D137" s="334"/>
      <c r="F137" s="274"/>
    </row>
    <row r="138" spans="2:140" ht="12.75" customHeight="1" x14ac:dyDescent="0.2">
      <c r="B138" s="335"/>
      <c r="C138" s="335"/>
      <c r="F138" s="274"/>
    </row>
    <row r="139" spans="2:140" ht="12.75" customHeight="1" x14ac:dyDescent="0.2">
      <c r="B139" s="305" t="s">
        <v>1014</v>
      </c>
      <c r="C139" s="324" t="s">
        <v>746</v>
      </c>
      <c r="D139" s="325" t="s">
        <v>748</v>
      </c>
      <c r="F139" s="274"/>
    </row>
    <row r="140" spans="2:140" ht="12.75" customHeight="1" x14ac:dyDescent="0.2">
      <c r="B140" s="328" t="s">
        <v>749</v>
      </c>
      <c r="C140" s="329" t="s">
        <v>750</v>
      </c>
      <c r="D140" s="336" t="s">
        <v>751</v>
      </c>
      <c r="E140" s="299"/>
      <c r="F140" s="298"/>
    </row>
    <row r="141" spans="2:140" ht="12.75" customHeight="1" x14ac:dyDescent="0.2">
      <c r="B141" s="326" t="s">
        <v>752</v>
      </c>
      <c r="C141" s="331" t="s">
        <v>753</v>
      </c>
      <c r="D141" s="337" t="s">
        <v>751</v>
      </c>
      <c r="E141" s="299"/>
      <c r="F141" s="298"/>
    </row>
    <row r="142" spans="2:140" ht="12.75" customHeight="1" x14ac:dyDescent="0.2">
      <c r="B142" s="326" t="s">
        <v>754</v>
      </c>
      <c r="C142" s="331" t="s">
        <v>755</v>
      </c>
      <c r="D142" s="337" t="s">
        <v>751</v>
      </c>
      <c r="E142" s="299"/>
      <c r="F142" s="298"/>
    </row>
    <row r="143" spans="2:140" ht="12.75" customHeight="1" x14ac:dyDescent="0.2">
      <c r="B143" s="326" t="s">
        <v>756</v>
      </c>
      <c r="C143" s="331" t="s">
        <v>757</v>
      </c>
      <c r="D143" s="337" t="s">
        <v>751</v>
      </c>
      <c r="E143" s="299"/>
      <c r="F143" s="298"/>
    </row>
    <row r="144" spans="2:140" ht="12.75" customHeight="1" x14ac:dyDescent="0.2">
      <c r="B144" s="326" t="s">
        <v>758</v>
      </c>
      <c r="C144" s="331" t="s">
        <v>1174</v>
      </c>
      <c r="D144" s="337" t="s">
        <v>751</v>
      </c>
      <c r="E144" s="299"/>
      <c r="F144" s="298"/>
    </row>
    <row r="145" spans="2:6" ht="12.75" customHeight="1" x14ac:dyDescent="0.2">
      <c r="B145" s="326" t="s">
        <v>759</v>
      </c>
      <c r="C145" s="331" t="s">
        <v>760</v>
      </c>
      <c r="D145" s="337" t="s">
        <v>751</v>
      </c>
      <c r="E145" s="299"/>
      <c r="F145" s="298"/>
    </row>
    <row r="146" spans="2:6" ht="12.75" customHeight="1" x14ac:dyDescent="0.2">
      <c r="B146" s="326" t="s">
        <v>761</v>
      </c>
      <c r="C146" s="331" t="s">
        <v>1175</v>
      </c>
      <c r="D146" s="337" t="s">
        <v>751</v>
      </c>
      <c r="E146" s="299"/>
      <c r="F146" s="298"/>
    </row>
    <row r="147" spans="2:6" ht="12.75" customHeight="1" x14ac:dyDescent="0.2">
      <c r="B147" s="326" t="s">
        <v>762</v>
      </c>
      <c r="C147" s="331" t="s">
        <v>1176</v>
      </c>
      <c r="D147" s="337" t="s">
        <v>751</v>
      </c>
      <c r="E147" s="299"/>
      <c r="F147" s="298"/>
    </row>
    <row r="148" spans="2:6" ht="12.75" customHeight="1" x14ac:dyDescent="0.2">
      <c r="B148" s="326" t="s">
        <v>763</v>
      </c>
      <c r="C148" s="331" t="s">
        <v>764</v>
      </c>
      <c r="D148" s="337" t="s">
        <v>1173</v>
      </c>
      <c r="E148" s="299"/>
      <c r="F148" s="298"/>
    </row>
    <row r="149" spans="2:6" ht="12.75" customHeight="1" x14ac:dyDescent="0.2">
      <c r="B149" s="326" t="s">
        <v>766</v>
      </c>
      <c r="C149" s="331" t="s">
        <v>767</v>
      </c>
      <c r="D149" s="337" t="s">
        <v>1173</v>
      </c>
      <c r="E149" s="299"/>
      <c r="F149" s="298"/>
    </row>
    <row r="150" spans="2:6" ht="12.75" customHeight="1" x14ac:dyDescent="0.2">
      <c r="B150" s="326" t="s">
        <v>768</v>
      </c>
      <c r="C150" s="331" t="s">
        <v>769</v>
      </c>
      <c r="D150" s="337" t="s">
        <v>1173</v>
      </c>
      <c r="E150" s="299"/>
      <c r="F150" s="298"/>
    </row>
    <row r="151" spans="2:6" ht="12.75" customHeight="1" x14ac:dyDescent="0.2">
      <c r="B151" s="326" t="s">
        <v>1289</v>
      </c>
      <c r="C151" s="331" t="s">
        <v>1290</v>
      </c>
      <c r="D151" s="337" t="s">
        <v>1173</v>
      </c>
      <c r="E151" s="299"/>
      <c r="F151" s="298"/>
    </row>
    <row r="152" spans="2:6" ht="12.75" customHeight="1" x14ac:dyDescent="0.2">
      <c r="B152" s="326" t="s">
        <v>1291</v>
      </c>
      <c r="C152" s="331" t="s">
        <v>1292</v>
      </c>
      <c r="D152" s="337" t="s">
        <v>1173</v>
      </c>
      <c r="E152" s="299"/>
      <c r="F152" s="295"/>
    </row>
    <row r="153" spans="2:6" ht="12.75" customHeight="1" x14ac:dyDescent="0.2">
      <c r="B153" s="326" t="s">
        <v>770</v>
      </c>
      <c r="C153" s="331" t="s">
        <v>771</v>
      </c>
      <c r="D153" s="337" t="s">
        <v>1173</v>
      </c>
      <c r="E153" s="299"/>
      <c r="F153" s="298"/>
    </row>
    <row r="154" spans="2:6" ht="12.75" customHeight="1" x14ac:dyDescent="0.2">
      <c r="B154" s="326" t="s">
        <v>772</v>
      </c>
      <c r="C154" s="331" t="s">
        <v>773</v>
      </c>
      <c r="D154" s="337" t="s">
        <v>1173</v>
      </c>
      <c r="E154" s="299"/>
      <c r="F154" s="295"/>
    </row>
    <row r="155" spans="2:6" ht="12.75" customHeight="1" x14ac:dyDescent="0.2">
      <c r="B155" s="326" t="s">
        <v>774</v>
      </c>
      <c r="C155" s="331" t="s">
        <v>1177</v>
      </c>
      <c r="D155" s="337" t="s">
        <v>1173</v>
      </c>
      <c r="E155" s="299"/>
      <c r="F155" s="295"/>
    </row>
    <row r="156" spans="2:6" ht="12.75" customHeight="1" x14ac:dyDescent="0.2">
      <c r="B156" s="326" t="s">
        <v>775</v>
      </c>
      <c r="C156" s="331" t="s">
        <v>776</v>
      </c>
      <c r="D156" s="337" t="s">
        <v>1173</v>
      </c>
      <c r="E156" s="299"/>
      <c r="F156" s="295"/>
    </row>
    <row r="157" spans="2:6" ht="12.75" customHeight="1" x14ac:dyDescent="0.2">
      <c r="B157" s="326" t="s">
        <v>777</v>
      </c>
      <c r="C157" s="331" t="s">
        <v>1178</v>
      </c>
      <c r="D157" s="337" t="s">
        <v>1173</v>
      </c>
      <c r="E157" s="299"/>
      <c r="F157" s="295"/>
    </row>
    <row r="158" spans="2:6" ht="12.75" customHeight="1" x14ac:dyDescent="0.2">
      <c r="B158" s="326" t="s">
        <v>1331</v>
      </c>
      <c r="C158" s="331" t="s">
        <v>1332</v>
      </c>
      <c r="D158" s="337" t="s">
        <v>1173</v>
      </c>
      <c r="E158" s="299"/>
      <c r="F158" s="295"/>
    </row>
    <row r="159" spans="2:6" ht="12.75" customHeight="1" x14ac:dyDescent="0.2">
      <c r="B159" s="326" t="s">
        <v>778</v>
      </c>
      <c r="C159" s="331" t="s">
        <v>779</v>
      </c>
      <c r="D159" s="337" t="s">
        <v>1173</v>
      </c>
      <c r="E159" s="299"/>
      <c r="F159" s="295"/>
    </row>
    <row r="160" spans="2:6" ht="12.75" customHeight="1" x14ac:dyDescent="0.2">
      <c r="B160" s="326" t="s">
        <v>780</v>
      </c>
      <c r="C160" s="331" t="s">
        <v>781</v>
      </c>
      <c r="D160" s="337" t="s">
        <v>1173</v>
      </c>
      <c r="E160" s="299"/>
      <c r="F160" s="295"/>
    </row>
    <row r="161" spans="2:6" ht="12.75" customHeight="1" x14ac:dyDescent="0.2">
      <c r="B161" s="326" t="s">
        <v>1333</v>
      </c>
      <c r="C161" s="331" t="s">
        <v>1334</v>
      </c>
      <c r="D161" s="337" t="s">
        <v>1173</v>
      </c>
      <c r="E161" s="299"/>
      <c r="F161" s="295"/>
    </row>
    <row r="162" spans="2:6" ht="12.75" customHeight="1" x14ac:dyDescent="0.2">
      <c r="B162" s="326" t="s">
        <v>782</v>
      </c>
      <c r="C162" s="331" t="s">
        <v>783</v>
      </c>
      <c r="D162" s="337" t="s">
        <v>1173</v>
      </c>
      <c r="E162" s="299"/>
      <c r="F162" s="295"/>
    </row>
    <row r="163" spans="2:6" ht="12.75" customHeight="1" x14ac:dyDescent="0.2">
      <c r="B163" s="326" t="s">
        <v>784</v>
      </c>
      <c r="C163" s="331" t="s">
        <v>785</v>
      </c>
      <c r="D163" s="337" t="s">
        <v>1173</v>
      </c>
      <c r="E163" s="299"/>
      <c r="F163" s="295"/>
    </row>
    <row r="164" spans="2:6" ht="12.75" customHeight="1" x14ac:dyDescent="0.2">
      <c r="B164" s="326" t="s">
        <v>786</v>
      </c>
      <c r="C164" s="331" t="s">
        <v>787</v>
      </c>
      <c r="D164" s="337" t="s">
        <v>1173</v>
      </c>
      <c r="E164" s="299"/>
      <c r="F164" s="295"/>
    </row>
    <row r="165" spans="2:6" ht="12.75" customHeight="1" x14ac:dyDescent="0.2">
      <c r="B165" s="326" t="s">
        <v>788</v>
      </c>
      <c r="C165" s="331" t="s">
        <v>789</v>
      </c>
      <c r="D165" s="337" t="s">
        <v>1173</v>
      </c>
      <c r="E165" s="299"/>
      <c r="F165" s="295"/>
    </row>
    <row r="166" spans="2:6" ht="12.75" customHeight="1" x14ac:dyDescent="0.2">
      <c r="B166" s="326" t="s">
        <v>790</v>
      </c>
      <c r="C166" s="331" t="s">
        <v>791</v>
      </c>
      <c r="D166" s="337" t="s">
        <v>1173</v>
      </c>
      <c r="E166" s="299"/>
      <c r="F166" s="295"/>
    </row>
    <row r="167" spans="2:6" ht="12.75" customHeight="1" x14ac:dyDescent="0.2">
      <c r="B167" s="326" t="s">
        <v>792</v>
      </c>
      <c r="C167" s="331" t="s">
        <v>793</v>
      </c>
      <c r="D167" s="337" t="s">
        <v>1173</v>
      </c>
      <c r="E167" s="299"/>
      <c r="F167" s="295"/>
    </row>
    <row r="168" spans="2:6" ht="12.75" customHeight="1" x14ac:dyDescent="0.2">
      <c r="B168" s="326" t="s">
        <v>794</v>
      </c>
      <c r="C168" s="331" t="s">
        <v>795</v>
      </c>
      <c r="D168" s="337" t="s">
        <v>1173</v>
      </c>
      <c r="E168" s="299"/>
      <c r="F168" s="295"/>
    </row>
    <row r="169" spans="2:6" ht="12.75" customHeight="1" x14ac:dyDescent="0.2">
      <c r="B169" s="326" t="s">
        <v>796</v>
      </c>
      <c r="C169" s="331" t="s">
        <v>797</v>
      </c>
      <c r="D169" s="337" t="s">
        <v>1173</v>
      </c>
      <c r="E169" s="299"/>
      <c r="F169" s="295"/>
    </row>
    <row r="170" spans="2:6" ht="12.75" customHeight="1" x14ac:dyDescent="0.2">
      <c r="B170" s="326" t="s">
        <v>798</v>
      </c>
      <c r="C170" s="331" t="s">
        <v>799</v>
      </c>
      <c r="D170" s="337" t="s">
        <v>1173</v>
      </c>
      <c r="E170" s="299"/>
      <c r="F170" s="295"/>
    </row>
    <row r="171" spans="2:6" ht="12.75" customHeight="1" x14ac:dyDescent="0.2">
      <c r="B171" s="326" t="s">
        <v>800</v>
      </c>
      <c r="C171" s="331" t="s">
        <v>801</v>
      </c>
      <c r="D171" s="337" t="s">
        <v>1173</v>
      </c>
      <c r="E171" s="299"/>
      <c r="F171" s="295"/>
    </row>
    <row r="172" spans="2:6" ht="12.75" customHeight="1" x14ac:dyDescent="0.2">
      <c r="B172" s="326" t="s">
        <v>802</v>
      </c>
      <c r="C172" s="331" t="s">
        <v>803</v>
      </c>
      <c r="D172" s="337" t="s">
        <v>1173</v>
      </c>
      <c r="E172" s="299"/>
      <c r="F172" s="295"/>
    </row>
    <row r="173" spans="2:6" ht="12.75" customHeight="1" x14ac:dyDescent="0.2">
      <c r="B173" s="326" t="s">
        <v>804</v>
      </c>
      <c r="C173" s="331" t="s">
        <v>805</v>
      </c>
      <c r="D173" s="337" t="s">
        <v>1173</v>
      </c>
      <c r="E173" s="299"/>
      <c r="F173" s="295"/>
    </row>
    <row r="174" spans="2:6" ht="12.75" customHeight="1" x14ac:dyDescent="0.2">
      <c r="B174" s="326" t="s">
        <v>806</v>
      </c>
      <c r="C174" s="331" t="s">
        <v>807</v>
      </c>
      <c r="D174" s="337" t="s">
        <v>1173</v>
      </c>
      <c r="E174" s="299"/>
      <c r="F174" s="295"/>
    </row>
    <row r="175" spans="2:6" ht="12.75" customHeight="1" x14ac:dyDescent="0.2">
      <c r="B175" s="326" t="s">
        <v>808</v>
      </c>
      <c r="C175" s="331" t="s">
        <v>809</v>
      </c>
      <c r="D175" s="337" t="s">
        <v>1173</v>
      </c>
      <c r="E175" s="299"/>
      <c r="F175" s="295"/>
    </row>
    <row r="176" spans="2:6" ht="12.75" customHeight="1" x14ac:dyDescent="0.2">
      <c r="B176" s="326" t="s">
        <v>810</v>
      </c>
      <c r="C176" s="331" t="s">
        <v>811</v>
      </c>
      <c r="D176" s="337" t="s">
        <v>1173</v>
      </c>
      <c r="E176" s="299"/>
      <c r="F176" s="295"/>
    </row>
    <row r="177" spans="2:6" ht="12.75" customHeight="1" x14ac:dyDescent="0.2">
      <c r="B177" s="326" t="s">
        <v>812</v>
      </c>
      <c r="C177" s="331" t="s">
        <v>813</v>
      </c>
      <c r="D177" s="337" t="s">
        <v>1173</v>
      </c>
      <c r="E177" s="299"/>
      <c r="F177" s="295"/>
    </row>
    <row r="178" spans="2:6" ht="12.75" customHeight="1" x14ac:dyDescent="0.2">
      <c r="B178" s="326" t="s">
        <v>1221</v>
      </c>
      <c r="C178" s="331" t="s">
        <v>1222</v>
      </c>
      <c r="D178" s="337" t="s">
        <v>1173</v>
      </c>
      <c r="E178" s="299"/>
      <c r="F178" s="295"/>
    </row>
    <row r="179" spans="2:6" ht="12.75" customHeight="1" x14ac:dyDescent="0.2">
      <c r="B179" s="326" t="s">
        <v>814</v>
      </c>
      <c r="C179" s="331" t="s">
        <v>815</v>
      </c>
      <c r="D179" s="337" t="s">
        <v>1173</v>
      </c>
      <c r="E179" s="299"/>
      <c r="F179" s="295"/>
    </row>
    <row r="180" spans="2:6" ht="12.75" customHeight="1" x14ac:dyDescent="0.2">
      <c r="B180" s="326" t="s">
        <v>816</v>
      </c>
      <c r="C180" s="331" t="s">
        <v>817</v>
      </c>
      <c r="D180" s="337" t="s">
        <v>1173</v>
      </c>
      <c r="E180" s="299"/>
      <c r="F180" s="295"/>
    </row>
    <row r="181" spans="2:6" ht="12.75" customHeight="1" x14ac:dyDescent="0.2">
      <c r="B181" s="326" t="s">
        <v>818</v>
      </c>
      <c r="C181" s="331" t="s">
        <v>819</v>
      </c>
      <c r="D181" s="337" t="s">
        <v>1173</v>
      </c>
      <c r="E181" s="299"/>
      <c r="F181" s="295"/>
    </row>
    <row r="182" spans="2:6" ht="12.75" customHeight="1" x14ac:dyDescent="0.2">
      <c r="B182" s="326" t="s">
        <v>820</v>
      </c>
      <c r="C182" s="331" t="s">
        <v>821</v>
      </c>
      <c r="D182" s="337" t="s">
        <v>1173</v>
      </c>
      <c r="E182" s="299"/>
      <c r="F182" s="295"/>
    </row>
    <row r="183" spans="2:6" ht="12.75" customHeight="1" x14ac:dyDescent="0.2">
      <c r="B183" s="326" t="s">
        <v>1299</v>
      </c>
      <c r="C183" s="331" t="s">
        <v>1300</v>
      </c>
      <c r="D183" s="337" t="s">
        <v>1173</v>
      </c>
      <c r="E183" s="299"/>
      <c r="F183" s="295"/>
    </row>
    <row r="184" spans="2:6" ht="12.75" customHeight="1" x14ac:dyDescent="0.2">
      <c r="B184" s="326" t="s">
        <v>822</v>
      </c>
      <c r="C184" s="331" t="s">
        <v>823</v>
      </c>
      <c r="D184" s="337" t="s">
        <v>1173</v>
      </c>
      <c r="E184" s="299"/>
      <c r="F184" s="295"/>
    </row>
    <row r="185" spans="2:6" ht="12.75" customHeight="1" x14ac:dyDescent="0.2">
      <c r="B185" s="326" t="s">
        <v>824</v>
      </c>
      <c r="C185" s="331" t="s">
        <v>825</v>
      </c>
      <c r="D185" s="337" t="s">
        <v>1173</v>
      </c>
      <c r="E185" s="299"/>
      <c r="F185" s="295"/>
    </row>
    <row r="186" spans="2:6" ht="12.75" customHeight="1" x14ac:dyDescent="0.2">
      <c r="B186" s="326" t="s">
        <v>826</v>
      </c>
      <c r="C186" s="331" t="s">
        <v>827</v>
      </c>
      <c r="D186" s="337" t="s">
        <v>1173</v>
      </c>
      <c r="E186" s="299"/>
      <c r="F186" s="295"/>
    </row>
    <row r="187" spans="2:6" ht="12.75" customHeight="1" x14ac:dyDescent="0.2">
      <c r="B187" s="326" t="s">
        <v>828</v>
      </c>
      <c r="C187" s="331" t="s">
        <v>1183</v>
      </c>
      <c r="D187" s="337" t="s">
        <v>1173</v>
      </c>
      <c r="E187" s="299"/>
      <c r="F187" s="295"/>
    </row>
    <row r="188" spans="2:6" ht="12.75" customHeight="1" x14ac:dyDescent="0.2">
      <c r="B188" s="326" t="s">
        <v>829</v>
      </c>
      <c r="C188" s="331" t="s">
        <v>830</v>
      </c>
      <c r="D188" s="337" t="s">
        <v>1173</v>
      </c>
      <c r="E188" s="299"/>
      <c r="F188" s="295"/>
    </row>
    <row r="189" spans="2:6" ht="12.75" customHeight="1" x14ac:dyDescent="0.2">
      <c r="B189" s="326" t="s">
        <v>831</v>
      </c>
      <c r="C189" s="331" t="s">
        <v>832</v>
      </c>
      <c r="D189" s="337" t="s">
        <v>1173</v>
      </c>
      <c r="E189" s="299"/>
      <c r="F189" s="295"/>
    </row>
    <row r="190" spans="2:6" ht="12.75" customHeight="1" x14ac:dyDescent="0.2">
      <c r="B190" s="326" t="s">
        <v>833</v>
      </c>
      <c r="C190" s="331" t="s">
        <v>834</v>
      </c>
      <c r="D190" s="337" t="s">
        <v>1173</v>
      </c>
      <c r="E190" s="299"/>
      <c r="F190" s="295"/>
    </row>
    <row r="191" spans="2:6" ht="12.75" customHeight="1" x14ac:dyDescent="0.2">
      <c r="B191" s="326" t="s">
        <v>835</v>
      </c>
      <c r="C191" s="331" t="s">
        <v>836</v>
      </c>
      <c r="D191" s="337" t="s">
        <v>1173</v>
      </c>
      <c r="E191" s="299"/>
      <c r="F191" s="298"/>
    </row>
    <row r="192" spans="2:6" ht="12.75" customHeight="1" x14ac:dyDescent="0.2">
      <c r="B192" s="326" t="s">
        <v>837</v>
      </c>
      <c r="C192" s="331" t="s">
        <v>838</v>
      </c>
      <c r="D192" s="337" t="s">
        <v>1173</v>
      </c>
      <c r="E192" s="299"/>
      <c r="F192" s="298"/>
    </row>
    <row r="193" spans="2:6" ht="12.75" customHeight="1" x14ac:dyDescent="0.2">
      <c r="B193" s="326" t="s">
        <v>839</v>
      </c>
      <c r="C193" s="331" t="s">
        <v>1179</v>
      </c>
      <c r="D193" s="337" t="s">
        <v>154</v>
      </c>
      <c r="E193" s="299"/>
      <c r="F193" s="298"/>
    </row>
    <row r="194" spans="2:6" ht="12.75" customHeight="1" x14ac:dyDescent="0.2">
      <c r="B194" s="326" t="s">
        <v>840</v>
      </c>
      <c r="C194" s="331" t="s">
        <v>841</v>
      </c>
      <c r="D194" s="337" t="s">
        <v>154</v>
      </c>
      <c r="E194" s="299"/>
      <c r="F194" s="298"/>
    </row>
    <row r="195" spans="2:6" ht="12.75" customHeight="1" x14ac:dyDescent="0.2">
      <c r="B195" s="326" t="s">
        <v>842</v>
      </c>
      <c r="C195" s="331" t="s">
        <v>843</v>
      </c>
      <c r="D195" s="337" t="s">
        <v>155</v>
      </c>
      <c r="E195" s="299"/>
      <c r="F195" s="302"/>
    </row>
    <row r="196" spans="2:6" ht="12.75" customHeight="1" x14ac:dyDescent="0.2">
      <c r="B196" s="326" t="s">
        <v>844</v>
      </c>
      <c r="C196" s="331" t="s">
        <v>845</v>
      </c>
      <c r="D196" s="337" t="s">
        <v>155</v>
      </c>
      <c r="E196" s="299"/>
      <c r="F196" s="298"/>
    </row>
    <row r="197" spans="2:6" ht="12.75" customHeight="1" x14ac:dyDescent="0.2">
      <c r="B197" s="326" t="s">
        <v>846</v>
      </c>
      <c r="C197" s="331" t="s">
        <v>847</v>
      </c>
      <c r="D197" s="337" t="s">
        <v>155</v>
      </c>
      <c r="E197" s="299"/>
      <c r="F197" s="298"/>
    </row>
    <row r="198" spans="2:6" ht="12.75" customHeight="1" x14ac:dyDescent="0.2">
      <c r="B198" s="326" t="s">
        <v>848</v>
      </c>
      <c r="C198" s="331" t="s">
        <v>849</v>
      </c>
      <c r="D198" s="337" t="s">
        <v>155</v>
      </c>
      <c r="E198" s="299"/>
      <c r="F198" s="298"/>
    </row>
    <row r="199" spans="2:6" ht="12.75" customHeight="1" x14ac:dyDescent="0.2">
      <c r="B199" s="326" t="s">
        <v>850</v>
      </c>
      <c r="C199" s="331" t="s">
        <v>851</v>
      </c>
      <c r="D199" s="337" t="s">
        <v>155</v>
      </c>
      <c r="E199" s="299"/>
      <c r="F199" s="298"/>
    </row>
    <row r="200" spans="2:6" ht="12.75" customHeight="1" x14ac:dyDescent="0.2">
      <c r="B200" s="326" t="s">
        <v>852</v>
      </c>
      <c r="C200" s="331" t="s">
        <v>1184</v>
      </c>
      <c r="D200" s="337" t="s">
        <v>155</v>
      </c>
      <c r="E200" s="299"/>
      <c r="F200" s="298"/>
    </row>
    <row r="201" spans="2:6" ht="12.75" customHeight="1" x14ac:dyDescent="0.2">
      <c r="B201" s="326" t="s">
        <v>1229</v>
      </c>
      <c r="C201" s="331" t="s">
        <v>1230</v>
      </c>
      <c r="D201" s="337" t="s">
        <v>155</v>
      </c>
      <c r="E201" s="299"/>
      <c r="F201" s="298"/>
    </row>
    <row r="202" spans="2:6" ht="12.75" customHeight="1" x14ac:dyDescent="0.2">
      <c r="B202" s="326" t="s">
        <v>853</v>
      </c>
      <c r="C202" s="331" t="s">
        <v>854</v>
      </c>
      <c r="D202" s="337" t="s">
        <v>155</v>
      </c>
      <c r="E202" s="299"/>
      <c r="F202" s="298"/>
    </row>
    <row r="203" spans="2:6" ht="12.75" customHeight="1" x14ac:dyDescent="0.2">
      <c r="B203" s="326" t="s">
        <v>1293</v>
      </c>
      <c r="C203" s="331" t="s">
        <v>1294</v>
      </c>
      <c r="D203" s="337" t="s">
        <v>1173</v>
      </c>
      <c r="E203" s="299"/>
      <c r="F203" s="298"/>
    </row>
    <row r="204" spans="2:6" ht="12.75" customHeight="1" x14ac:dyDescent="0.2">
      <c r="B204" s="326" t="s">
        <v>855</v>
      </c>
      <c r="C204" s="331" t="s">
        <v>856</v>
      </c>
      <c r="D204" s="337" t="s">
        <v>155</v>
      </c>
      <c r="E204" s="299"/>
      <c r="F204" s="298"/>
    </row>
    <row r="205" spans="2:6" ht="12.75" customHeight="1" x14ac:dyDescent="0.2">
      <c r="B205" s="326" t="s">
        <v>857</v>
      </c>
      <c r="C205" s="331" t="s">
        <v>1185</v>
      </c>
      <c r="D205" s="337" t="s">
        <v>155</v>
      </c>
      <c r="E205" s="299"/>
      <c r="F205" s="295"/>
    </row>
    <row r="206" spans="2:6" ht="12.75" customHeight="1" x14ac:dyDescent="0.2">
      <c r="B206" s="326" t="s">
        <v>858</v>
      </c>
      <c r="C206" s="331" t="s">
        <v>859</v>
      </c>
      <c r="D206" s="337" t="s">
        <v>155</v>
      </c>
      <c r="E206" s="299"/>
      <c r="F206" s="297"/>
    </row>
    <row r="207" spans="2:6" ht="12.75" customHeight="1" x14ac:dyDescent="0.2">
      <c r="B207" s="326" t="s">
        <v>1225</v>
      </c>
      <c r="C207" s="331" t="s">
        <v>1226</v>
      </c>
      <c r="D207" s="337" t="s">
        <v>155</v>
      </c>
      <c r="E207" s="299"/>
      <c r="F207" s="295"/>
    </row>
    <row r="208" spans="2:6" ht="12.75" customHeight="1" x14ac:dyDescent="0.2">
      <c r="B208" s="326" t="s">
        <v>860</v>
      </c>
      <c r="C208" s="331" t="s">
        <v>861</v>
      </c>
      <c r="D208" s="337" t="s">
        <v>155</v>
      </c>
      <c r="E208" s="299"/>
      <c r="F208" s="295"/>
    </row>
    <row r="209" spans="2:6" ht="12.75" customHeight="1" x14ac:dyDescent="0.2">
      <c r="B209" s="326" t="s">
        <v>1150</v>
      </c>
      <c r="C209" s="331" t="s">
        <v>1152</v>
      </c>
      <c r="D209" s="337" t="s">
        <v>155</v>
      </c>
      <c r="E209" s="299"/>
      <c r="F209" s="295"/>
    </row>
    <row r="210" spans="2:6" ht="12.75" customHeight="1" x14ac:dyDescent="0.2">
      <c r="B210" s="326" t="s">
        <v>1348</v>
      </c>
      <c r="C210" s="331" t="s">
        <v>1350</v>
      </c>
      <c r="D210" s="337" t="s">
        <v>155</v>
      </c>
      <c r="E210" s="299"/>
      <c r="F210" s="295"/>
    </row>
    <row r="211" spans="2:6" ht="12.75" customHeight="1" x14ac:dyDescent="0.2">
      <c r="B211" s="326" t="s">
        <v>1070</v>
      </c>
      <c r="C211" s="331" t="s">
        <v>1071</v>
      </c>
      <c r="D211" s="337" t="s">
        <v>765</v>
      </c>
      <c r="E211" s="299"/>
      <c r="F211" s="295"/>
    </row>
    <row r="212" spans="2:6" ht="12.75" customHeight="1" x14ac:dyDescent="0.2">
      <c r="B212" s="326" t="s">
        <v>862</v>
      </c>
      <c r="C212" s="331" t="s">
        <v>863</v>
      </c>
      <c r="D212" s="337" t="s">
        <v>155</v>
      </c>
      <c r="E212" s="299"/>
      <c r="F212" s="295"/>
    </row>
    <row r="213" spans="2:6" ht="12.75" customHeight="1" x14ac:dyDescent="0.2">
      <c r="B213" s="326" t="s">
        <v>864</v>
      </c>
      <c r="C213" s="331" t="s">
        <v>865</v>
      </c>
      <c r="D213" s="337" t="s">
        <v>1173</v>
      </c>
      <c r="E213" s="299"/>
      <c r="F213" s="295"/>
    </row>
    <row r="214" spans="2:6" ht="12.75" customHeight="1" x14ac:dyDescent="0.2">
      <c r="B214" s="326" t="s">
        <v>866</v>
      </c>
      <c r="C214" s="331" t="s">
        <v>867</v>
      </c>
      <c r="D214" s="337" t="s">
        <v>155</v>
      </c>
      <c r="E214" s="299"/>
      <c r="F214" s="295"/>
    </row>
    <row r="215" spans="2:6" ht="12.75" customHeight="1" x14ac:dyDescent="0.2">
      <c r="B215" s="326" t="s">
        <v>1361</v>
      </c>
      <c r="C215" s="331" t="s">
        <v>1362</v>
      </c>
      <c r="D215" s="337" t="s">
        <v>155</v>
      </c>
      <c r="E215" s="299"/>
      <c r="F215" s="295"/>
    </row>
    <row r="216" spans="2:6" ht="12.75" customHeight="1" x14ac:dyDescent="0.2">
      <c r="B216" s="326" t="s">
        <v>868</v>
      </c>
      <c r="C216" s="331" t="s">
        <v>869</v>
      </c>
      <c r="D216" s="337" t="s">
        <v>155</v>
      </c>
      <c r="E216" s="299"/>
      <c r="F216" s="295"/>
    </row>
    <row r="217" spans="2:6" ht="12.75" customHeight="1" x14ac:dyDescent="0.2">
      <c r="B217" s="326" t="s">
        <v>870</v>
      </c>
      <c r="C217" s="331" t="s">
        <v>871</v>
      </c>
      <c r="D217" s="337" t="s">
        <v>155</v>
      </c>
      <c r="E217" s="299"/>
      <c r="F217" s="295"/>
    </row>
    <row r="218" spans="2:6" ht="12.75" customHeight="1" x14ac:dyDescent="0.2">
      <c r="B218" s="326" t="s">
        <v>1359</v>
      </c>
      <c r="C218" s="331" t="s">
        <v>1360</v>
      </c>
      <c r="D218" s="337" t="s">
        <v>1173</v>
      </c>
      <c r="E218" s="299"/>
      <c r="F218" s="295"/>
    </row>
    <row r="219" spans="2:6" ht="12.75" customHeight="1" x14ac:dyDescent="0.2">
      <c r="B219" s="326" t="s">
        <v>872</v>
      </c>
      <c r="C219" s="331" t="s">
        <v>873</v>
      </c>
      <c r="D219" s="337" t="s">
        <v>1173</v>
      </c>
      <c r="E219" s="299"/>
      <c r="F219" s="295"/>
    </row>
    <row r="220" spans="2:6" ht="12.75" customHeight="1" x14ac:dyDescent="0.2">
      <c r="B220" s="326" t="s">
        <v>874</v>
      </c>
      <c r="C220" s="331" t="s">
        <v>875</v>
      </c>
      <c r="D220" s="337" t="s">
        <v>155</v>
      </c>
      <c r="E220" s="299"/>
      <c r="F220" s="295"/>
    </row>
    <row r="221" spans="2:6" ht="12.75" customHeight="1" x14ac:dyDescent="0.2">
      <c r="B221" s="326" t="s">
        <v>876</v>
      </c>
      <c r="C221" s="331" t="s">
        <v>877</v>
      </c>
      <c r="D221" s="337" t="s">
        <v>155</v>
      </c>
      <c r="E221" s="299"/>
      <c r="F221" s="295"/>
    </row>
    <row r="222" spans="2:6" ht="12.75" customHeight="1" x14ac:dyDescent="0.2">
      <c r="B222" s="326" t="s">
        <v>878</v>
      </c>
      <c r="C222" s="331" t="s">
        <v>879</v>
      </c>
      <c r="D222" s="337" t="s">
        <v>155</v>
      </c>
      <c r="E222" s="299"/>
      <c r="F222" s="295"/>
    </row>
    <row r="223" spans="2:6" ht="12.75" customHeight="1" x14ac:dyDescent="0.2">
      <c r="B223" s="326" t="s">
        <v>880</v>
      </c>
      <c r="C223" s="331" t="s">
        <v>881</v>
      </c>
      <c r="D223" s="337" t="s">
        <v>155</v>
      </c>
      <c r="E223" s="299"/>
      <c r="F223" s="295"/>
    </row>
    <row r="224" spans="2:6" ht="12.75" customHeight="1" x14ac:dyDescent="0.2">
      <c r="B224" s="326" t="s">
        <v>882</v>
      </c>
      <c r="C224" s="331" t="s">
        <v>883</v>
      </c>
      <c r="D224" s="337" t="s">
        <v>155</v>
      </c>
      <c r="E224" s="299"/>
      <c r="F224" s="295"/>
    </row>
    <row r="225" spans="2:6" ht="12.75" customHeight="1" x14ac:dyDescent="0.2">
      <c r="B225" s="326" t="s">
        <v>884</v>
      </c>
      <c r="C225" s="331" t="s">
        <v>885</v>
      </c>
      <c r="D225" s="337" t="s">
        <v>155</v>
      </c>
      <c r="E225" s="299"/>
      <c r="F225" s="295"/>
    </row>
    <row r="226" spans="2:6" ht="12.75" customHeight="1" x14ac:dyDescent="0.2">
      <c r="B226" s="326" t="s">
        <v>886</v>
      </c>
      <c r="C226" s="331" t="s">
        <v>887</v>
      </c>
      <c r="D226" s="337" t="s">
        <v>155</v>
      </c>
      <c r="E226" s="299"/>
      <c r="F226" s="295"/>
    </row>
    <row r="227" spans="2:6" ht="12.75" customHeight="1" x14ac:dyDescent="0.2">
      <c r="B227" s="326" t="s">
        <v>888</v>
      </c>
      <c r="C227" s="331" t="s">
        <v>889</v>
      </c>
      <c r="D227" s="337" t="s">
        <v>155</v>
      </c>
      <c r="E227" s="299"/>
      <c r="F227" s="295"/>
    </row>
    <row r="228" spans="2:6" ht="12.75" customHeight="1" x14ac:dyDescent="0.2">
      <c r="B228" s="326" t="s">
        <v>890</v>
      </c>
      <c r="C228" s="331" t="s">
        <v>891</v>
      </c>
      <c r="D228" s="337" t="s">
        <v>1173</v>
      </c>
      <c r="E228" s="299"/>
      <c r="F228" s="295"/>
    </row>
    <row r="229" spans="2:6" ht="12.75" customHeight="1" x14ac:dyDescent="0.2">
      <c r="B229" s="326" t="s">
        <v>892</v>
      </c>
      <c r="C229" s="331" t="s">
        <v>893</v>
      </c>
      <c r="D229" s="337" t="s">
        <v>1173</v>
      </c>
      <c r="E229" s="299"/>
      <c r="F229" s="295"/>
    </row>
    <row r="230" spans="2:6" ht="12.75" customHeight="1" x14ac:dyDescent="0.2">
      <c r="B230" s="326" t="s">
        <v>1223</v>
      </c>
      <c r="C230" s="331" t="s">
        <v>1295</v>
      </c>
      <c r="D230" s="337" t="s">
        <v>1173</v>
      </c>
      <c r="E230" s="299"/>
      <c r="F230" s="295"/>
    </row>
    <row r="231" spans="2:6" ht="12.75" customHeight="1" x14ac:dyDescent="0.2">
      <c r="B231" s="326" t="s">
        <v>1224</v>
      </c>
      <c r="C231" s="331" t="s">
        <v>1296</v>
      </c>
      <c r="D231" s="337" t="s">
        <v>1173</v>
      </c>
      <c r="E231" s="299"/>
      <c r="F231" s="295"/>
    </row>
    <row r="232" spans="2:6" ht="12.75" customHeight="1" x14ac:dyDescent="0.2">
      <c r="B232" s="326" t="s">
        <v>1335</v>
      </c>
      <c r="C232" s="331" t="s">
        <v>1336</v>
      </c>
      <c r="D232" s="337" t="s">
        <v>1173</v>
      </c>
      <c r="E232" s="299"/>
      <c r="F232" s="295"/>
    </row>
    <row r="233" spans="2:6" ht="12.75" customHeight="1" x14ac:dyDescent="0.2">
      <c r="B233" s="326" t="s">
        <v>1337</v>
      </c>
      <c r="C233" s="331" t="s">
        <v>1338</v>
      </c>
      <c r="D233" s="337" t="s">
        <v>1173</v>
      </c>
      <c r="E233" s="299"/>
      <c r="F233" s="295"/>
    </row>
    <row r="234" spans="2:6" ht="12.75" customHeight="1" x14ac:dyDescent="0.2">
      <c r="B234" s="326" t="s">
        <v>894</v>
      </c>
      <c r="C234" s="331" t="s">
        <v>895</v>
      </c>
      <c r="D234" s="337" t="s">
        <v>1173</v>
      </c>
      <c r="E234" s="299"/>
      <c r="F234" s="295"/>
    </row>
    <row r="235" spans="2:6" ht="12.75" customHeight="1" x14ac:dyDescent="0.2">
      <c r="B235" s="326" t="s">
        <v>896</v>
      </c>
      <c r="C235" s="331" t="s">
        <v>897</v>
      </c>
      <c r="D235" s="337" t="s">
        <v>1173</v>
      </c>
      <c r="E235" s="299"/>
      <c r="F235" s="298"/>
    </row>
    <row r="236" spans="2:6" ht="12.75" customHeight="1" x14ac:dyDescent="0.2">
      <c r="B236" s="326" t="s">
        <v>898</v>
      </c>
      <c r="C236" s="331" t="s">
        <v>899</v>
      </c>
      <c r="D236" s="337" t="s">
        <v>155</v>
      </c>
      <c r="E236" s="299"/>
      <c r="F236" s="295"/>
    </row>
    <row r="237" spans="2:6" ht="12.75" customHeight="1" x14ac:dyDescent="0.2">
      <c r="B237" s="326" t="s">
        <v>900</v>
      </c>
      <c r="C237" s="331" t="s">
        <v>901</v>
      </c>
      <c r="D237" s="337" t="s">
        <v>155</v>
      </c>
      <c r="E237" s="299"/>
      <c r="F237" s="298"/>
    </row>
    <row r="238" spans="2:6" ht="12.75" customHeight="1" x14ac:dyDescent="0.2">
      <c r="B238" s="326" t="s">
        <v>726</v>
      </c>
      <c r="C238" s="331" t="s">
        <v>727</v>
      </c>
      <c r="D238" s="337" t="s">
        <v>1173</v>
      </c>
      <c r="E238" s="299"/>
      <c r="F238" s="298"/>
    </row>
    <row r="239" spans="2:6" ht="12.75" customHeight="1" x14ac:dyDescent="0.2">
      <c r="B239" s="326" t="s">
        <v>1020</v>
      </c>
      <c r="C239" s="331" t="s">
        <v>1019</v>
      </c>
      <c r="D239" s="337" t="s">
        <v>1173</v>
      </c>
      <c r="E239" s="299"/>
      <c r="F239" s="298"/>
    </row>
    <row r="240" spans="2:6" ht="12.75" customHeight="1" x14ac:dyDescent="0.2">
      <c r="B240" s="326" t="s">
        <v>1018</v>
      </c>
      <c r="C240" s="331" t="s">
        <v>1017</v>
      </c>
      <c r="D240" s="337" t="s">
        <v>1173</v>
      </c>
      <c r="E240" s="299"/>
      <c r="F240" s="298"/>
    </row>
    <row r="241" spans="2:6" ht="12.75" customHeight="1" x14ac:dyDescent="0.2">
      <c r="B241" s="326" t="s">
        <v>1015</v>
      </c>
      <c r="C241" s="331" t="s">
        <v>1016</v>
      </c>
      <c r="D241" s="337" t="s">
        <v>1173</v>
      </c>
      <c r="E241" s="299"/>
      <c r="F241" s="298"/>
    </row>
    <row r="242" spans="2:6" ht="12.75" customHeight="1" x14ac:dyDescent="0.2">
      <c r="B242" s="326" t="s">
        <v>904</v>
      </c>
      <c r="C242" s="331" t="s">
        <v>905</v>
      </c>
      <c r="D242" s="337" t="s">
        <v>155</v>
      </c>
      <c r="E242" s="299"/>
      <c r="F242" s="298"/>
    </row>
    <row r="243" spans="2:6" ht="12.75" customHeight="1" x14ac:dyDescent="0.2">
      <c r="B243" s="326" t="s">
        <v>1301</v>
      </c>
      <c r="C243" s="331" t="s">
        <v>1302</v>
      </c>
      <c r="D243" s="337" t="s">
        <v>155</v>
      </c>
      <c r="E243" s="299"/>
      <c r="F243" s="298"/>
    </row>
    <row r="244" spans="2:6" ht="12.75" customHeight="1" x14ac:dyDescent="0.2">
      <c r="B244" s="326" t="s">
        <v>1231</v>
      </c>
      <c r="C244" s="331" t="s">
        <v>1232</v>
      </c>
      <c r="D244" s="337" t="s">
        <v>155</v>
      </c>
      <c r="E244" s="299"/>
      <c r="F244" s="298"/>
    </row>
    <row r="245" spans="2:6" ht="12.75" customHeight="1" x14ac:dyDescent="0.2">
      <c r="B245" s="326" t="s">
        <v>1367</v>
      </c>
      <c r="C245" s="331" t="s">
        <v>1368</v>
      </c>
      <c r="D245" s="337" t="s">
        <v>155</v>
      </c>
      <c r="E245" s="299"/>
      <c r="F245" s="298"/>
    </row>
    <row r="246" spans="2:6" ht="12.75" customHeight="1" x14ac:dyDescent="0.2">
      <c r="B246" s="326" t="s">
        <v>1373</v>
      </c>
      <c r="C246" s="331" t="s">
        <v>1374</v>
      </c>
      <c r="D246" s="337" t="s">
        <v>155</v>
      </c>
      <c r="E246" s="299"/>
      <c r="F246" s="298"/>
    </row>
    <row r="247" spans="2:6" ht="12.75" customHeight="1" x14ac:dyDescent="0.2">
      <c r="B247" s="326" t="s">
        <v>1391</v>
      </c>
      <c r="C247" s="331" t="s">
        <v>1392</v>
      </c>
      <c r="D247" s="337" t="s">
        <v>155</v>
      </c>
      <c r="E247" s="299"/>
      <c r="F247" s="298"/>
    </row>
    <row r="248" spans="2:6" ht="12.75" customHeight="1" x14ac:dyDescent="0.2">
      <c r="B248" s="326" t="s">
        <v>906</v>
      </c>
      <c r="C248" s="331" t="s">
        <v>907</v>
      </c>
      <c r="D248" s="337" t="s">
        <v>155</v>
      </c>
      <c r="E248" s="299"/>
      <c r="F248" s="298"/>
    </row>
    <row r="249" spans="2:6" ht="12.75" customHeight="1" x14ac:dyDescent="0.2">
      <c r="B249" s="326" t="s">
        <v>908</v>
      </c>
      <c r="C249" s="331" t="s">
        <v>909</v>
      </c>
      <c r="D249" s="337" t="s">
        <v>156</v>
      </c>
      <c r="E249" s="299"/>
      <c r="F249" s="302"/>
    </row>
    <row r="250" spans="2:6" ht="12.75" customHeight="1" x14ac:dyDescent="0.2">
      <c r="B250" s="326" t="s">
        <v>910</v>
      </c>
      <c r="C250" s="331" t="s">
        <v>911</v>
      </c>
      <c r="D250" s="337" t="s">
        <v>156</v>
      </c>
      <c r="E250" s="299"/>
      <c r="F250" s="298"/>
    </row>
    <row r="251" spans="2:6" ht="12.75" customHeight="1" x14ac:dyDescent="0.2">
      <c r="B251" s="326" t="s">
        <v>912</v>
      </c>
      <c r="C251" s="331" t="s">
        <v>913</v>
      </c>
      <c r="D251" s="337" t="s">
        <v>156</v>
      </c>
      <c r="E251" s="299"/>
      <c r="F251" s="298"/>
    </row>
    <row r="252" spans="2:6" ht="12.75" customHeight="1" x14ac:dyDescent="0.2">
      <c r="B252" s="326" t="s">
        <v>914</v>
      </c>
      <c r="C252" s="331" t="s">
        <v>915</v>
      </c>
      <c r="D252" s="337" t="s">
        <v>156</v>
      </c>
      <c r="E252" s="299"/>
      <c r="F252" s="298"/>
    </row>
    <row r="253" spans="2:6" ht="12.75" customHeight="1" x14ac:dyDescent="0.2">
      <c r="B253" s="326" t="s">
        <v>916</v>
      </c>
      <c r="C253" s="331" t="s">
        <v>917</v>
      </c>
      <c r="D253" s="337" t="s">
        <v>156</v>
      </c>
      <c r="E253" s="299"/>
      <c r="F253" s="298"/>
    </row>
    <row r="254" spans="2:6" ht="12.75" customHeight="1" x14ac:dyDescent="0.2">
      <c r="B254" s="326" t="s">
        <v>918</v>
      </c>
      <c r="C254" s="331" t="s">
        <v>919</v>
      </c>
      <c r="D254" s="337" t="s">
        <v>156</v>
      </c>
      <c r="E254" s="299"/>
      <c r="F254" s="298"/>
    </row>
    <row r="255" spans="2:6" ht="12.75" customHeight="1" x14ac:dyDescent="0.2">
      <c r="B255" s="326" t="s">
        <v>920</v>
      </c>
      <c r="C255" s="331" t="s">
        <v>921</v>
      </c>
      <c r="D255" s="337" t="s">
        <v>156</v>
      </c>
      <c r="E255" s="299"/>
      <c r="F255" s="298"/>
    </row>
    <row r="256" spans="2:6" ht="12.75" customHeight="1" x14ac:dyDescent="0.2">
      <c r="B256" s="326" t="s">
        <v>922</v>
      </c>
      <c r="C256" s="331" t="s">
        <v>923</v>
      </c>
      <c r="D256" s="337" t="s">
        <v>156</v>
      </c>
      <c r="E256" s="299"/>
      <c r="F256" s="298"/>
    </row>
    <row r="257" spans="2:6" ht="12.75" customHeight="1" x14ac:dyDescent="0.2">
      <c r="B257" s="326" t="s">
        <v>924</v>
      </c>
      <c r="C257" s="331" t="s">
        <v>1153</v>
      </c>
      <c r="D257" s="337" t="s">
        <v>156</v>
      </c>
      <c r="E257" s="299"/>
      <c r="F257" s="298"/>
    </row>
    <row r="258" spans="2:6" ht="12.75" customHeight="1" x14ac:dyDescent="0.2">
      <c r="B258" s="326" t="s">
        <v>925</v>
      </c>
      <c r="C258" s="331" t="s">
        <v>926</v>
      </c>
      <c r="D258" s="337" t="s">
        <v>156</v>
      </c>
      <c r="E258" s="299"/>
      <c r="F258" s="298"/>
    </row>
    <row r="259" spans="2:6" ht="12.75" customHeight="1" x14ac:dyDescent="0.2">
      <c r="B259" s="326" t="s">
        <v>927</v>
      </c>
      <c r="C259" s="331" t="s">
        <v>928</v>
      </c>
      <c r="D259" s="337" t="s">
        <v>156</v>
      </c>
      <c r="E259" s="299"/>
      <c r="F259" s="298"/>
    </row>
    <row r="260" spans="2:6" ht="12.75" customHeight="1" x14ac:dyDescent="0.2">
      <c r="B260" s="326" t="s">
        <v>1326</v>
      </c>
      <c r="C260" s="331" t="s">
        <v>1327</v>
      </c>
      <c r="D260" s="337" t="s">
        <v>156</v>
      </c>
      <c r="E260" s="299"/>
      <c r="F260" s="298"/>
    </row>
    <row r="261" spans="2:6" ht="12.75" customHeight="1" x14ac:dyDescent="0.2">
      <c r="B261" s="326" t="s">
        <v>929</v>
      </c>
      <c r="C261" s="331" t="s">
        <v>930</v>
      </c>
      <c r="D261" s="337" t="s">
        <v>156</v>
      </c>
      <c r="E261" s="299"/>
      <c r="F261" s="298"/>
    </row>
    <row r="262" spans="2:6" ht="12.75" customHeight="1" x14ac:dyDescent="0.2">
      <c r="B262" s="326" t="s">
        <v>931</v>
      </c>
      <c r="C262" s="331" t="s">
        <v>932</v>
      </c>
      <c r="D262" s="337" t="s">
        <v>156</v>
      </c>
      <c r="E262" s="299"/>
      <c r="F262" s="298"/>
    </row>
    <row r="263" spans="2:6" ht="12.75" customHeight="1" x14ac:dyDescent="0.2">
      <c r="B263" s="326" t="s">
        <v>933</v>
      </c>
      <c r="C263" s="331" t="s">
        <v>934</v>
      </c>
      <c r="D263" s="337" t="s">
        <v>156</v>
      </c>
      <c r="E263" s="299"/>
      <c r="F263" s="298"/>
    </row>
    <row r="264" spans="2:6" ht="12.75" customHeight="1" x14ac:dyDescent="0.2">
      <c r="B264" s="326" t="s">
        <v>935</v>
      </c>
      <c r="C264" s="331" t="s">
        <v>936</v>
      </c>
      <c r="D264" s="337" t="s">
        <v>156</v>
      </c>
      <c r="E264" s="299"/>
      <c r="F264" s="298"/>
    </row>
    <row r="265" spans="2:6" ht="12.75" customHeight="1" x14ac:dyDescent="0.2">
      <c r="B265" s="326" t="s">
        <v>937</v>
      </c>
      <c r="C265" s="331" t="s">
        <v>938</v>
      </c>
      <c r="D265" s="337" t="s">
        <v>156</v>
      </c>
      <c r="E265" s="299"/>
      <c r="F265" s="298"/>
    </row>
    <row r="266" spans="2:6" ht="12.75" customHeight="1" x14ac:dyDescent="0.2">
      <c r="B266" s="326" t="s">
        <v>939</v>
      </c>
      <c r="C266" s="331" t="s">
        <v>940</v>
      </c>
      <c r="D266" s="337" t="s">
        <v>156</v>
      </c>
      <c r="E266" s="299"/>
      <c r="F266" s="298"/>
    </row>
    <row r="267" spans="2:6" ht="12.75" customHeight="1" x14ac:dyDescent="0.2">
      <c r="B267" s="326" t="s">
        <v>941</v>
      </c>
      <c r="C267" s="331" t="s">
        <v>942</v>
      </c>
      <c r="D267" s="337" t="s">
        <v>156</v>
      </c>
      <c r="E267" s="299"/>
      <c r="F267" s="298"/>
    </row>
    <row r="268" spans="2:6" ht="12.75" customHeight="1" x14ac:dyDescent="0.2">
      <c r="B268" s="326" t="s">
        <v>943</v>
      </c>
      <c r="C268" s="331" t="s">
        <v>944</v>
      </c>
      <c r="D268" s="337" t="s">
        <v>156</v>
      </c>
      <c r="E268" s="299"/>
      <c r="F268" s="298"/>
    </row>
    <row r="269" spans="2:6" ht="12.75" customHeight="1" x14ac:dyDescent="0.2">
      <c r="B269" s="326" t="s">
        <v>945</v>
      </c>
      <c r="C269" s="331" t="s">
        <v>946</v>
      </c>
      <c r="D269" s="337" t="s">
        <v>156</v>
      </c>
      <c r="E269" s="299"/>
      <c r="F269" s="298"/>
    </row>
    <row r="270" spans="2:6" ht="12.75" customHeight="1" x14ac:dyDescent="0.2">
      <c r="B270" s="326" t="s">
        <v>947</v>
      </c>
      <c r="C270" s="331" t="s">
        <v>948</v>
      </c>
      <c r="D270" s="337" t="s">
        <v>156</v>
      </c>
      <c r="E270" s="299"/>
      <c r="F270" s="298"/>
    </row>
    <row r="271" spans="2:6" ht="12.75" customHeight="1" x14ac:dyDescent="0.2">
      <c r="B271" s="326" t="s">
        <v>949</v>
      </c>
      <c r="C271" s="331" t="s">
        <v>950</v>
      </c>
      <c r="D271" s="337" t="s">
        <v>156</v>
      </c>
      <c r="E271" s="299"/>
      <c r="F271" s="298"/>
    </row>
    <row r="272" spans="2:6" ht="12.75" customHeight="1" x14ac:dyDescent="0.2">
      <c r="B272" s="326" t="s">
        <v>951</v>
      </c>
      <c r="C272" s="331" t="s">
        <v>952</v>
      </c>
      <c r="D272" s="337" t="s">
        <v>156</v>
      </c>
      <c r="E272" s="299"/>
      <c r="F272" s="298"/>
    </row>
    <row r="273" spans="2:6" ht="12.75" customHeight="1" x14ac:dyDescent="0.2">
      <c r="B273" s="326" t="s">
        <v>953</v>
      </c>
      <c r="C273" s="331" t="s">
        <v>954</v>
      </c>
      <c r="D273" s="337" t="s">
        <v>156</v>
      </c>
      <c r="E273" s="299"/>
      <c r="F273" s="298"/>
    </row>
    <row r="274" spans="2:6" ht="12.75" customHeight="1" x14ac:dyDescent="0.2">
      <c r="B274" s="326" t="s">
        <v>955</v>
      </c>
      <c r="C274" s="331" t="s">
        <v>956</v>
      </c>
      <c r="D274" s="337" t="s">
        <v>156</v>
      </c>
      <c r="E274" s="299"/>
      <c r="F274" s="298"/>
    </row>
    <row r="275" spans="2:6" ht="12.75" customHeight="1" x14ac:dyDescent="0.2">
      <c r="B275" s="326" t="s">
        <v>957</v>
      </c>
      <c r="C275" s="331" t="s">
        <v>958</v>
      </c>
      <c r="D275" s="337" t="s">
        <v>156</v>
      </c>
      <c r="E275" s="299"/>
      <c r="F275" s="298"/>
    </row>
    <row r="276" spans="2:6" ht="12.75" customHeight="1" x14ac:dyDescent="0.2">
      <c r="B276" s="326" t="s">
        <v>963</v>
      </c>
      <c r="C276" s="331" t="s">
        <v>964</v>
      </c>
      <c r="D276" s="337" t="s">
        <v>156</v>
      </c>
      <c r="E276" s="299"/>
      <c r="F276" s="298"/>
    </row>
    <row r="277" spans="2:6" ht="12.75" customHeight="1" x14ac:dyDescent="0.2">
      <c r="B277" s="326" t="s">
        <v>965</v>
      </c>
      <c r="C277" s="331" t="s">
        <v>966</v>
      </c>
      <c r="D277" s="337" t="s">
        <v>156</v>
      </c>
      <c r="E277" s="299"/>
      <c r="F277" s="298"/>
    </row>
    <row r="278" spans="2:6" ht="12.75" customHeight="1" x14ac:dyDescent="0.2">
      <c r="B278" s="326" t="s">
        <v>967</v>
      </c>
      <c r="C278" s="331" t="s">
        <v>968</v>
      </c>
      <c r="D278" s="337" t="s">
        <v>156</v>
      </c>
      <c r="E278" s="299"/>
      <c r="F278" s="298"/>
    </row>
    <row r="279" spans="2:6" ht="12.75" customHeight="1" x14ac:dyDescent="0.2">
      <c r="B279" s="326" t="s">
        <v>969</v>
      </c>
      <c r="C279" s="331" t="s">
        <v>970</v>
      </c>
      <c r="D279" s="337" t="s">
        <v>156</v>
      </c>
      <c r="E279" s="299"/>
      <c r="F279" s="298"/>
    </row>
    <row r="280" spans="2:6" ht="12.75" customHeight="1" x14ac:dyDescent="0.2">
      <c r="B280" s="326" t="s">
        <v>971</v>
      </c>
      <c r="C280" s="331" t="s">
        <v>972</v>
      </c>
      <c r="D280" s="337" t="s">
        <v>156</v>
      </c>
      <c r="E280" s="299"/>
      <c r="F280" s="298"/>
    </row>
    <row r="281" spans="2:6" ht="12.75" customHeight="1" x14ac:dyDescent="0.2">
      <c r="B281" s="326" t="s">
        <v>973</v>
      </c>
      <c r="C281" s="331" t="s">
        <v>974</v>
      </c>
      <c r="D281" s="337" t="s">
        <v>156</v>
      </c>
      <c r="E281" s="299"/>
      <c r="F281" s="298"/>
    </row>
    <row r="282" spans="2:6" ht="12.75" customHeight="1" x14ac:dyDescent="0.2">
      <c r="B282" s="326" t="s">
        <v>1347</v>
      </c>
      <c r="C282" s="331" t="s">
        <v>1349</v>
      </c>
      <c r="D282" s="337" t="s">
        <v>156</v>
      </c>
      <c r="E282" s="299"/>
      <c r="F282" s="302"/>
    </row>
    <row r="283" spans="2:6" ht="12.75" customHeight="1" x14ac:dyDescent="0.2">
      <c r="B283" s="326" t="s">
        <v>1303</v>
      </c>
      <c r="C283" s="331" t="s">
        <v>1304</v>
      </c>
      <c r="D283" s="337" t="s">
        <v>156</v>
      </c>
      <c r="E283" s="299"/>
      <c r="F283" s="298"/>
    </row>
    <row r="284" spans="2:6" ht="12.75" customHeight="1" x14ac:dyDescent="0.2">
      <c r="B284" s="326" t="s">
        <v>975</v>
      </c>
      <c r="C284" s="331" t="s">
        <v>976</v>
      </c>
      <c r="D284" s="337" t="s">
        <v>156</v>
      </c>
      <c r="E284" s="299"/>
      <c r="F284" s="298"/>
    </row>
    <row r="285" spans="2:6" ht="12.75" customHeight="1" x14ac:dyDescent="0.2">
      <c r="B285" s="326" t="s">
        <v>977</v>
      </c>
      <c r="C285" s="331" t="s">
        <v>978</v>
      </c>
      <c r="D285" s="337" t="s">
        <v>156</v>
      </c>
      <c r="E285" s="299"/>
      <c r="F285" s="298"/>
    </row>
    <row r="286" spans="2:6" ht="12.75" customHeight="1" x14ac:dyDescent="0.2">
      <c r="B286" s="326" t="s">
        <v>979</v>
      </c>
      <c r="C286" s="331" t="s">
        <v>980</v>
      </c>
      <c r="D286" s="337" t="s">
        <v>156</v>
      </c>
      <c r="E286" s="299"/>
      <c r="F286" s="301"/>
    </row>
    <row r="287" spans="2:6" ht="12.75" customHeight="1" x14ac:dyDescent="0.2">
      <c r="B287" s="326" t="s">
        <v>981</v>
      </c>
      <c r="C287" s="331" t="s">
        <v>982</v>
      </c>
      <c r="D287" s="337" t="s">
        <v>156</v>
      </c>
      <c r="E287" s="299"/>
      <c r="F287" s="301"/>
    </row>
    <row r="288" spans="2:6" ht="12.75" customHeight="1" x14ac:dyDescent="0.2">
      <c r="B288" s="326" t="s">
        <v>983</v>
      </c>
      <c r="C288" s="331" t="s">
        <v>984</v>
      </c>
      <c r="D288" s="337" t="s">
        <v>156</v>
      </c>
      <c r="E288" s="299"/>
      <c r="F288" s="301"/>
    </row>
    <row r="289" spans="2:6" ht="12.75" customHeight="1" x14ac:dyDescent="0.25">
      <c r="B289" s="326" t="s">
        <v>1305</v>
      </c>
      <c r="C289" s="331" t="s">
        <v>1306</v>
      </c>
      <c r="D289" s="337" t="s">
        <v>156</v>
      </c>
      <c r="E289" s="299"/>
      <c r="F289" s="293"/>
    </row>
    <row r="290" spans="2:6" ht="12.75" customHeight="1" x14ac:dyDescent="0.2">
      <c r="B290" s="326" t="s">
        <v>985</v>
      </c>
      <c r="C290" s="331" t="s">
        <v>986</v>
      </c>
      <c r="D290" s="337" t="s">
        <v>156</v>
      </c>
      <c r="E290" s="299"/>
      <c r="F290" s="301"/>
    </row>
    <row r="291" spans="2:6" ht="12.75" customHeight="1" x14ac:dyDescent="0.2">
      <c r="B291" s="326" t="s">
        <v>987</v>
      </c>
      <c r="C291" s="331" t="s">
        <v>988</v>
      </c>
      <c r="D291" s="337" t="s">
        <v>156</v>
      </c>
      <c r="E291" s="299"/>
      <c r="F291" s="301"/>
    </row>
    <row r="292" spans="2:6" ht="12.75" customHeight="1" x14ac:dyDescent="0.2">
      <c r="B292" s="326" t="s">
        <v>989</v>
      </c>
      <c r="C292" s="331" t="s">
        <v>990</v>
      </c>
      <c r="D292" s="337" t="s">
        <v>156</v>
      </c>
      <c r="E292" s="299"/>
      <c r="F292" s="301"/>
    </row>
    <row r="293" spans="2:6" ht="12.75" customHeight="1" x14ac:dyDescent="0.2">
      <c r="B293" s="326" t="s">
        <v>1365</v>
      </c>
      <c r="C293" s="331" t="s">
        <v>1366</v>
      </c>
      <c r="D293" s="337" t="s">
        <v>156</v>
      </c>
      <c r="E293" s="299"/>
      <c r="F293" s="301"/>
    </row>
    <row r="294" spans="2:6" ht="12.75" customHeight="1" x14ac:dyDescent="0.2">
      <c r="B294" s="326" t="s">
        <v>991</v>
      </c>
      <c r="C294" s="331" t="s">
        <v>992</v>
      </c>
      <c r="D294" s="337" t="s">
        <v>156</v>
      </c>
      <c r="E294" s="299"/>
      <c r="F294" s="301"/>
    </row>
    <row r="295" spans="2:6" ht="12.75" customHeight="1" x14ac:dyDescent="0.2">
      <c r="B295" s="326" t="s">
        <v>993</v>
      </c>
      <c r="C295" s="331" t="s">
        <v>994</v>
      </c>
      <c r="D295" s="337" t="s">
        <v>156</v>
      </c>
      <c r="E295" s="299"/>
      <c r="F295" s="301"/>
    </row>
    <row r="296" spans="2:6" ht="12.75" customHeight="1" x14ac:dyDescent="0.2">
      <c r="B296" s="326" t="s">
        <v>1402</v>
      </c>
      <c r="C296" s="331" t="s">
        <v>1403</v>
      </c>
      <c r="D296" s="337" t="s">
        <v>1386</v>
      </c>
      <c r="E296" s="299"/>
      <c r="F296" s="301"/>
    </row>
    <row r="297" spans="2:6" ht="12.75" customHeight="1" x14ac:dyDescent="0.2">
      <c r="B297" s="326" t="s">
        <v>1395</v>
      </c>
      <c r="C297" s="331" t="s">
        <v>1396</v>
      </c>
      <c r="D297" s="337" t="s">
        <v>1386</v>
      </c>
      <c r="E297" s="299"/>
      <c r="F297" s="301"/>
    </row>
    <row r="298" spans="2:6" ht="12.75" customHeight="1" x14ac:dyDescent="0.2">
      <c r="B298" s="326" t="s">
        <v>1387</v>
      </c>
      <c r="C298" s="331" t="s">
        <v>1388</v>
      </c>
      <c r="D298" s="337" t="s">
        <v>1386</v>
      </c>
      <c r="E298" s="299"/>
      <c r="F298" s="301"/>
    </row>
    <row r="299" spans="2:6" ht="12.75" customHeight="1" x14ac:dyDescent="0.2">
      <c r="B299" s="326" t="s">
        <v>1393</v>
      </c>
      <c r="C299" s="331" t="s">
        <v>1394</v>
      </c>
      <c r="D299" s="337" t="s">
        <v>1386</v>
      </c>
      <c r="E299" s="299"/>
      <c r="F299" s="301"/>
    </row>
    <row r="300" spans="2:6" ht="12.75" customHeight="1" x14ac:dyDescent="0.2">
      <c r="B300" s="326" t="s">
        <v>1400</v>
      </c>
      <c r="C300" s="331" t="s">
        <v>1401</v>
      </c>
      <c r="D300" s="337" t="s">
        <v>1386</v>
      </c>
      <c r="E300" s="299"/>
      <c r="F300" s="301"/>
    </row>
    <row r="301" spans="2:6" ht="12.75" customHeight="1" x14ac:dyDescent="0.2">
      <c r="B301" s="326" t="s">
        <v>995</v>
      </c>
      <c r="C301" s="331" t="s">
        <v>627</v>
      </c>
      <c r="D301" s="337" t="s">
        <v>0</v>
      </c>
      <c r="E301" s="299"/>
      <c r="F301" s="301"/>
    </row>
    <row r="302" spans="2:6" ht="12.75" customHeight="1" x14ac:dyDescent="0.2">
      <c r="B302" s="326" t="s">
        <v>996</v>
      </c>
      <c r="C302" s="331" t="s">
        <v>628</v>
      </c>
      <c r="D302" s="337" t="s">
        <v>0</v>
      </c>
      <c r="E302" s="299"/>
      <c r="F302" s="301"/>
    </row>
    <row r="303" spans="2:6" ht="12.75" customHeight="1" x14ac:dyDescent="0.2">
      <c r="B303" s="326" t="s">
        <v>997</v>
      </c>
      <c r="C303" s="331" t="s">
        <v>629</v>
      </c>
      <c r="D303" s="337" t="s">
        <v>0</v>
      </c>
      <c r="E303" s="299"/>
      <c r="F303" s="301"/>
    </row>
    <row r="304" spans="2:6" ht="12.75" customHeight="1" x14ac:dyDescent="0.2">
      <c r="B304" s="326" t="s">
        <v>998</v>
      </c>
      <c r="C304" s="331" t="s">
        <v>999</v>
      </c>
      <c r="D304" s="337" t="s">
        <v>0</v>
      </c>
      <c r="E304" s="299"/>
      <c r="F304" s="300"/>
    </row>
    <row r="305" spans="2:6" ht="12.75" customHeight="1" x14ac:dyDescent="0.2">
      <c r="B305" s="326" t="s">
        <v>1000</v>
      </c>
      <c r="C305" s="331" t="s">
        <v>1186</v>
      </c>
      <c r="D305" s="337" t="s">
        <v>0</v>
      </c>
      <c r="E305" s="299"/>
      <c r="F305" s="300"/>
    </row>
    <row r="306" spans="2:6" ht="12.75" customHeight="1" x14ac:dyDescent="0.2">
      <c r="B306" s="326" t="s">
        <v>1001</v>
      </c>
      <c r="C306" s="331" t="s">
        <v>1002</v>
      </c>
      <c r="D306" s="337" t="s">
        <v>0</v>
      </c>
      <c r="F306" s="274"/>
    </row>
    <row r="307" spans="2:6" ht="12.75" customHeight="1" x14ac:dyDescent="0.2">
      <c r="B307" s="326" t="s">
        <v>1003</v>
      </c>
      <c r="C307" s="331" t="s">
        <v>1397</v>
      </c>
      <c r="D307" s="337" t="s">
        <v>1386</v>
      </c>
      <c r="F307" s="274"/>
    </row>
    <row r="308" spans="2:6" ht="12.75" customHeight="1" x14ac:dyDescent="0.2">
      <c r="B308" s="326" t="s">
        <v>1398</v>
      </c>
      <c r="C308" s="331" t="s">
        <v>1399</v>
      </c>
      <c r="D308" s="337" t="s">
        <v>1386</v>
      </c>
      <c r="F308" s="274"/>
    </row>
    <row r="309" spans="2:6" ht="12.75" customHeight="1" x14ac:dyDescent="0.2">
      <c r="B309" s="326" t="s">
        <v>1404</v>
      </c>
      <c r="C309" s="331" t="s">
        <v>1405</v>
      </c>
      <c r="D309" s="337" t="s">
        <v>1386</v>
      </c>
      <c r="F309" s="274"/>
    </row>
    <row r="310" spans="2:6" ht="12.75" customHeight="1" x14ac:dyDescent="0.2">
      <c r="B310" s="326" t="s">
        <v>1004</v>
      </c>
      <c r="C310" s="331" t="s">
        <v>630</v>
      </c>
      <c r="D310" s="337" t="s">
        <v>0</v>
      </c>
      <c r="F310" s="274"/>
    </row>
    <row r="311" spans="2:6" ht="12.75" customHeight="1" x14ac:dyDescent="0.2">
      <c r="B311" s="326" t="s">
        <v>1005</v>
      </c>
      <c r="C311" s="331" t="s">
        <v>1006</v>
      </c>
      <c r="D311" s="337" t="s">
        <v>0</v>
      </c>
      <c r="F311" s="274"/>
    </row>
    <row r="312" spans="2:6" ht="12.75" customHeight="1" x14ac:dyDescent="0.2">
      <c r="B312" s="326" t="s">
        <v>1007</v>
      </c>
      <c r="C312" s="331" t="s">
        <v>631</v>
      </c>
      <c r="D312" s="337" t="s">
        <v>0</v>
      </c>
      <c r="F312" s="274"/>
    </row>
    <row r="313" spans="2:6" ht="12.75" customHeight="1" x14ac:dyDescent="0.2">
      <c r="B313" s="326" t="s">
        <v>1008</v>
      </c>
      <c r="C313" s="331" t="s">
        <v>1009</v>
      </c>
      <c r="D313" s="337" t="s">
        <v>0</v>
      </c>
      <c r="F313" s="274"/>
    </row>
    <row r="314" spans="2:6" ht="12.75" customHeight="1" x14ac:dyDescent="0.2">
      <c r="B314" s="326" t="s">
        <v>1010</v>
      </c>
      <c r="C314" s="331" t="s">
        <v>1011</v>
      </c>
      <c r="D314" s="337" t="s">
        <v>0</v>
      </c>
      <c r="F314" s="274"/>
    </row>
    <row r="315" spans="2:6" ht="12.75" customHeight="1" x14ac:dyDescent="0.2">
      <c r="B315" s="326" t="s">
        <v>1356</v>
      </c>
      <c r="C315" s="331" t="s">
        <v>1357</v>
      </c>
      <c r="D315" s="337" t="s">
        <v>1358</v>
      </c>
    </row>
    <row r="316" spans="2:6" ht="12.75" customHeight="1" x14ac:dyDescent="0.2">
      <c r="B316" s="326" t="s">
        <v>1363</v>
      </c>
      <c r="C316" s="331" t="s">
        <v>1364</v>
      </c>
      <c r="D316" s="337" t="s">
        <v>1358</v>
      </c>
    </row>
    <row r="317" spans="2:6" ht="12.75" customHeight="1" x14ac:dyDescent="0.2">
      <c r="B317" s="326" t="s">
        <v>1380</v>
      </c>
      <c r="C317" s="331" t="s">
        <v>1381</v>
      </c>
      <c r="D317" s="337" t="s">
        <v>1358</v>
      </c>
    </row>
    <row r="318" spans="2:6" ht="12.75" customHeight="1" x14ac:dyDescent="0.2">
      <c r="B318" s="326" t="s">
        <v>1375</v>
      </c>
      <c r="C318" s="331" t="s">
        <v>1376</v>
      </c>
      <c r="D318" s="337" t="s">
        <v>1358</v>
      </c>
    </row>
    <row r="319" spans="2:6" ht="12.75" customHeight="1" x14ac:dyDescent="0.2">
      <c r="B319" s="326" t="s">
        <v>1382</v>
      </c>
      <c r="C319" s="331" t="s">
        <v>1383</v>
      </c>
      <c r="D319" s="337" t="s">
        <v>1358</v>
      </c>
    </row>
    <row r="320" spans="2:6" ht="12.75" customHeight="1" x14ac:dyDescent="0.2">
      <c r="B320" s="326" t="s">
        <v>1377</v>
      </c>
      <c r="C320" s="331" t="s">
        <v>1378</v>
      </c>
      <c r="D320" s="337" t="s">
        <v>1379</v>
      </c>
    </row>
    <row r="321" spans="2:4" ht="12.75" customHeight="1" x14ac:dyDescent="0.2">
      <c r="B321" s="326" t="s">
        <v>1012</v>
      </c>
      <c r="C321" s="331" t="s">
        <v>1013</v>
      </c>
      <c r="D321" s="337" t="s">
        <v>155</v>
      </c>
    </row>
    <row r="322" spans="2:4" ht="12.75" customHeight="1" x14ac:dyDescent="0.2">
      <c r="B322" s="326" t="s">
        <v>1151</v>
      </c>
      <c r="C322" s="331" t="s">
        <v>1072</v>
      </c>
      <c r="D322" s="337" t="s">
        <v>155</v>
      </c>
    </row>
    <row r="323" spans="2:4" ht="12.75" customHeight="1" x14ac:dyDescent="0.2">
      <c r="B323" s="327" t="s">
        <v>1384</v>
      </c>
      <c r="C323" s="333" t="s">
        <v>1385</v>
      </c>
      <c r="D323" s="337" t="s">
        <v>1386</v>
      </c>
    </row>
    <row r="324" spans="2:4" ht="12.75" customHeight="1" x14ac:dyDescent="0.2">
      <c r="D324" s="341" t="s">
        <v>1420</v>
      </c>
    </row>
  </sheetData>
  <mergeCells count="18">
    <mergeCell ref="C112:D112"/>
    <mergeCell ref="B106:D106"/>
    <mergeCell ref="B108:D108"/>
    <mergeCell ref="B110:D110"/>
    <mergeCell ref="B28:D28"/>
    <mergeCell ref="B2:D2"/>
    <mergeCell ref="B26:D26"/>
    <mergeCell ref="B24:D24"/>
    <mergeCell ref="B22:D22"/>
    <mergeCell ref="B20:D20"/>
    <mergeCell ref="B18:D18"/>
    <mergeCell ref="B16:D16"/>
    <mergeCell ref="B4:D4"/>
    <mergeCell ref="B14:D14"/>
    <mergeCell ref="B12:D12"/>
    <mergeCell ref="B10:D10"/>
    <mergeCell ref="B8:D8"/>
    <mergeCell ref="B6:D6"/>
  </mergeCells>
  <phoneticPr fontId="7" type="noConversion"/>
  <pageMargins left="0.75" right="0.75" top="1.25" bottom="1" header="0.5" footer="0.5"/>
  <pageSetup scale="72" orientation="landscape" r:id="rId1"/>
  <headerFooter alignWithMargins="0"/>
  <rowBreaks count="5" manualBreakCount="5">
    <brk id="21" max="4" man="1"/>
    <brk id="53" max="16383" man="1"/>
    <brk id="77" max="16383" man="1"/>
    <brk id="103" max="4" man="1"/>
    <brk id="138" max="4" man="1"/>
  </rowBreaks>
  <colBreaks count="1" manualBreakCount="1">
    <brk id="5"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82"/>
  <sheetViews>
    <sheetView zoomScaleNormal="100" workbookViewId="0"/>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8.85546875"/>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1339</v>
      </c>
      <c r="D2" s="22"/>
      <c r="E2" s="22"/>
      <c r="F2" s="22"/>
      <c r="G2" s="22"/>
      <c r="H2" s="22"/>
      <c r="I2" s="22"/>
    </row>
    <row r="3" spans="1:26" ht="22.5" x14ac:dyDescent="0.2">
      <c r="A3" s="20" t="s">
        <v>245</v>
      </c>
      <c r="B3" s="21" t="str">
        <f>"ANB"&amp;RIGHT(C2,2)</f>
        <v>ANB18</v>
      </c>
      <c r="C3" s="202" t="str">
        <f>RIGHT(C2,2)&amp;"/Pupil Property Tax"</f>
        <v>18/Pupil Property Tax</v>
      </c>
      <c r="D3" s="202" t="str">
        <f>RIGHT(C2,2)&amp;"/Pupil Non Levy Revenue"</f>
        <v>18/Pupil Non Levy Revenue</v>
      </c>
      <c r="E3" s="202" t="str">
        <f>RIGHT(C2,2)&amp;"/Pupil County Revenue"</f>
        <v>18/Pupil County Revenue</v>
      </c>
      <c r="F3" s="202" t="str">
        <f>RIGHT(C2,2)&amp;"/Pupil State Revenue"</f>
        <v>18/Pupil State Revenue</v>
      </c>
      <c r="G3" s="202" t="str">
        <f>RIGHT(C2,2)&amp;"/Pupil Federal Revenue"</f>
        <v>18/Pupil Federal Revenue</v>
      </c>
      <c r="H3" s="202" t="str">
        <f>RIGHT(C2,2)&amp;"/Pupil Total Revenue"</f>
        <v>18/Pupil Total Revenue</v>
      </c>
      <c r="I3" s="202" t="str">
        <f>RIGHT(C2,2)&amp;"/Rev Per ANB"</f>
        <v>18/Rev Per ANB</v>
      </c>
      <c r="J3" s="202"/>
      <c r="L3" s="287"/>
      <c r="M3" s="278"/>
      <c r="N3" s="290"/>
      <c r="O3" s="290"/>
      <c r="P3" s="290"/>
      <c r="Q3" s="290"/>
      <c r="R3" s="290"/>
      <c r="S3" s="290"/>
      <c r="T3" s="290"/>
    </row>
    <row r="4" spans="1:26" ht="15" x14ac:dyDescent="0.25">
      <c r="A4" s="33" t="s">
        <v>102</v>
      </c>
      <c r="B4" s="214">
        <v>41164</v>
      </c>
      <c r="C4" s="214">
        <v>147408044.37</v>
      </c>
      <c r="D4" s="214">
        <v>10018265.149999999</v>
      </c>
      <c r="E4" s="214">
        <v>40114756.390000001</v>
      </c>
      <c r="F4" s="214">
        <v>195418291.38</v>
      </c>
      <c r="G4" s="214">
        <v>44163873.119999997</v>
      </c>
      <c r="H4" s="229">
        <f t="shared" ref="H4:H9" si="0">SUM(C4:G4)</f>
        <v>437123230.41000003</v>
      </c>
      <c r="I4" s="321">
        <f t="shared" ref="I4:I10" si="1">H4/B4</f>
        <v>10619.065941356526</v>
      </c>
      <c r="J4" s="221"/>
      <c r="L4" s="283"/>
      <c r="M4" s="289"/>
      <c r="N4" s="289"/>
      <c r="O4" s="289"/>
      <c r="P4" s="289"/>
      <c r="Q4" s="289"/>
      <c r="R4" s="289"/>
      <c r="S4" s="289"/>
      <c r="T4" s="289"/>
      <c r="U4" s="268"/>
      <c r="V4" s="268"/>
      <c r="W4" s="268"/>
      <c r="X4" s="268"/>
      <c r="Y4" s="268"/>
      <c r="Z4" s="268"/>
    </row>
    <row r="5" spans="1:26" ht="15" x14ac:dyDescent="0.25">
      <c r="A5" s="33" t="s">
        <v>76</v>
      </c>
      <c r="B5" s="214">
        <v>20520</v>
      </c>
      <c r="C5" s="214">
        <v>57566918.119999997</v>
      </c>
      <c r="D5" s="214">
        <v>6945130.6599999992</v>
      </c>
      <c r="E5" s="214">
        <v>20395636.759999998</v>
      </c>
      <c r="F5" s="214">
        <v>104646265.37</v>
      </c>
      <c r="G5" s="214">
        <v>41604956.599999994</v>
      </c>
      <c r="H5" s="229">
        <f t="shared" si="0"/>
        <v>231158907.50999999</v>
      </c>
      <c r="I5" s="321">
        <f t="shared" si="1"/>
        <v>11265.053972222222</v>
      </c>
      <c r="J5" s="221"/>
      <c r="L5" s="283"/>
      <c r="M5" s="289"/>
      <c r="N5" s="289"/>
      <c r="O5" s="289"/>
      <c r="P5" s="289"/>
      <c r="Q5" s="289"/>
      <c r="R5" s="289"/>
      <c r="S5" s="289"/>
      <c r="T5" s="289"/>
      <c r="U5" s="268"/>
      <c r="V5" s="268"/>
      <c r="W5" s="268"/>
      <c r="X5" s="268"/>
      <c r="Y5" s="268"/>
      <c r="Z5" s="268"/>
    </row>
    <row r="6" spans="1:26" ht="15" x14ac:dyDescent="0.25">
      <c r="A6" s="33" t="s">
        <v>77</v>
      </c>
      <c r="B6" s="214">
        <v>15370</v>
      </c>
      <c r="C6" s="214">
        <v>40100609.729999989</v>
      </c>
      <c r="D6" s="214">
        <v>6812863.0099999988</v>
      </c>
      <c r="E6" s="214">
        <v>14735401.800000001</v>
      </c>
      <c r="F6" s="214">
        <v>77942467.649999991</v>
      </c>
      <c r="G6" s="214">
        <v>33240014.150000002</v>
      </c>
      <c r="H6" s="229">
        <f t="shared" si="0"/>
        <v>172831356.34</v>
      </c>
      <c r="I6" s="321">
        <f t="shared" si="1"/>
        <v>11244.720646714379</v>
      </c>
      <c r="J6" s="221"/>
      <c r="L6" s="283"/>
      <c r="M6" s="289"/>
      <c r="N6" s="289"/>
      <c r="O6" s="289"/>
      <c r="P6" s="289"/>
      <c r="Q6" s="289"/>
      <c r="R6" s="289"/>
      <c r="S6" s="289"/>
      <c r="T6" s="289"/>
      <c r="U6" s="268"/>
      <c r="V6" s="268"/>
      <c r="W6" s="268"/>
      <c r="X6" s="268"/>
      <c r="Y6" s="268"/>
      <c r="Z6" s="268"/>
    </row>
    <row r="7" spans="1:26" ht="15" x14ac:dyDescent="0.25">
      <c r="A7" s="33" t="s">
        <v>78</v>
      </c>
      <c r="B7" s="214">
        <v>12079</v>
      </c>
      <c r="C7" s="214">
        <v>38775325.919999994</v>
      </c>
      <c r="D7" s="214">
        <v>8439022.0700000022</v>
      </c>
      <c r="E7" s="214">
        <v>12185210.330000009</v>
      </c>
      <c r="F7" s="214">
        <v>60277403.680000007</v>
      </c>
      <c r="G7" s="214">
        <v>17792520.850000005</v>
      </c>
      <c r="H7" s="229">
        <f t="shared" si="0"/>
        <v>137469482.85000002</v>
      </c>
      <c r="I7" s="321">
        <f t="shared" si="1"/>
        <v>11380.866201672326</v>
      </c>
      <c r="J7" s="221"/>
      <c r="L7" s="283"/>
      <c r="M7" s="289"/>
      <c r="N7" s="289"/>
      <c r="O7" s="289"/>
      <c r="P7" s="289"/>
      <c r="Q7" s="289"/>
      <c r="R7" s="289"/>
      <c r="S7" s="289"/>
      <c r="T7" s="289"/>
      <c r="U7" s="268"/>
      <c r="V7" s="268"/>
      <c r="W7" s="268"/>
      <c r="X7" s="268"/>
      <c r="Y7" s="268"/>
      <c r="Z7" s="268"/>
    </row>
    <row r="8" spans="1:26" ht="15" x14ac:dyDescent="0.25">
      <c r="A8" s="33" t="s">
        <v>79</v>
      </c>
      <c r="B8" s="214">
        <v>5086</v>
      </c>
      <c r="C8" s="214">
        <v>20547254.91</v>
      </c>
      <c r="D8" s="214">
        <v>6125026.839999998</v>
      </c>
      <c r="E8" s="214">
        <v>5989199.8600000003</v>
      </c>
      <c r="F8" s="214">
        <v>26684301.149999995</v>
      </c>
      <c r="G8" s="214">
        <v>12592896.379999997</v>
      </c>
      <c r="H8" s="229">
        <f t="shared" si="0"/>
        <v>71938679.139999986</v>
      </c>
      <c r="I8" s="321">
        <f t="shared" si="1"/>
        <v>14144.451266220996</v>
      </c>
      <c r="J8" s="221"/>
      <c r="L8" s="283"/>
      <c r="M8" s="289"/>
      <c r="N8" s="289"/>
      <c r="O8" s="289"/>
      <c r="P8" s="289"/>
      <c r="Q8" s="289"/>
      <c r="R8" s="289"/>
      <c r="S8" s="289"/>
      <c r="T8" s="289"/>
      <c r="U8" s="268"/>
      <c r="V8" s="268"/>
      <c r="W8" s="268"/>
      <c r="X8" s="268"/>
      <c r="Y8" s="268"/>
      <c r="Z8" s="268"/>
    </row>
    <row r="9" spans="1:26" ht="15" x14ac:dyDescent="0.25">
      <c r="A9" s="33" t="s">
        <v>80</v>
      </c>
      <c r="B9" s="220">
        <v>1396</v>
      </c>
      <c r="C9" s="220">
        <v>6892326.3200000003</v>
      </c>
      <c r="D9" s="220">
        <v>1337494.3200000003</v>
      </c>
      <c r="E9" s="220">
        <v>1702687.4400000004</v>
      </c>
      <c r="F9" s="220">
        <v>8018747.1199999973</v>
      </c>
      <c r="G9" s="220">
        <v>2817033.2199999997</v>
      </c>
      <c r="H9" s="238">
        <f t="shared" si="0"/>
        <v>20768288.419999998</v>
      </c>
      <c r="I9" s="322">
        <f t="shared" si="1"/>
        <v>14876.997435530084</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95615</v>
      </c>
      <c r="C10" s="229">
        <f t="shared" si="2"/>
        <v>311290479.37</v>
      </c>
      <c r="D10" s="229">
        <f t="shared" si="2"/>
        <v>39677802.049999997</v>
      </c>
      <c r="E10" s="229">
        <f t="shared" si="2"/>
        <v>95122892.580000013</v>
      </c>
      <c r="F10" s="229">
        <f t="shared" si="2"/>
        <v>472987476.34999996</v>
      </c>
      <c r="G10" s="229">
        <f t="shared" si="2"/>
        <v>152211294.31999999</v>
      </c>
      <c r="H10" s="229">
        <f t="shared" si="2"/>
        <v>1071289944.6700001</v>
      </c>
      <c r="I10" s="321">
        <f t="shared" si="1"/>
        <v>11204.203782565497</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20375</v>
      </c>
      <c r="C13" s="214">
        <v>86205104.600000009</v>
      </c>
      <c r="D13" s="214">
        <v>10502812.449999999</v>
      </c>
      <c r="E13" s="214">
        <v>23566321.610000007</v>
      </c>
      <c r="F13" s="214">
        <v>106314021.63000003</v>
      </c>
      <c r="G13" s="214">
        <v>12724835.620000001</v>
      </c>
      <c r="H13" s="229">
        <f>SUM(C13:G13)</f>
        <v>239313095.91000006</v>
      </c>
      <c r="I13" s="321">
        <f t="shared" ref="I13:I18" si="3">H13/B13</f>
        <v>11745.428020122703</v>
      </c>
      <c r="J13" s="221"/>
      <c r="L13" s="283"/>
      <c r="M13" s="289"/>
      <c r="N13" s="289"/>
      <c r="O13" s="289"/>
      <c r="P13" s="289"/>
      <c r="Q13" s="289"/>
      <c r="R13" s="289"/>
      <c r="S13" s="289"/>
      <c r="T13" s="289"/>
      <c r="U13" s="268"/>
      <c r="V13" s="268"/>
      <c r="W13" s="268"/>
      <c r="X13" s="268"/>
      <c r="Y13" s="268"/>
      <c r="Z13" s="268"/>
    </row>
    <row r="14" spans="1:26" ht="15" x14ac:dyDescent="0.25">
      <c r="A14" s="33" t="s">
        <v>82</v>
      </c>
      <c r="B14" s="214">
        <v>7188</v>
      </c>
      <c r="C14" s="214">
        <v>30384762.090000004</v>
      </c>
      <c r="D14" s="214">
        <v>6645325.0899999999</v>
      </c>
      <c r="E14" s="214">
        <v>8061081.5699999994</v>
      </c>
      <c r="F14" s="214">
        <v>38157716.149999999</v>
      </c>
      <c r="G14" s="214">
        <v>12517927.119999999</v>
      </c>
      <c r="H14" s="229">
        <f>SUM(C14:G14)</f>
        <v>95766812.020000011</v>
      </c>
      <c r="I14" s="321">
        <f t="shared" si="3"/>
        <v>13323.151366165834</v>
      </c>
      <c r="J14" s="221"/>
      <c r="L14" s="283"/>
      <c r="M14" s="289"/>
      <c r="N14" s="289"/>
      <c r="O14" s="289"/>
      <c r="P14" s="289"/>
      <c r="Q14" s="289"/>
      <c r="R14" s="289"/>
      <c r="S14" s="289"/>
      <c r="T14" s="289"/>
      <c r="U14" s="268"/>
      <c r="V14" s="268"/>
      <c r="W14" s="268"/>
      <c r="X14" s="268"/>
      <c r="Y14" s="268"/>
      <c r="Z14" s="268"/>
    </row>
    <row r="15" spans="1:26" ht="15" x14ac:dyDescent="0.25">
      <c r="A15" s="33" t="s">
        <v>83</v>
      </c>
      <c r="B15" s="214">
        <v>4611</v>
      </c>
      <c r="C15" s="214">
        <v>19404481.780000001</v>
      </c>
      <c r="D15" s="214">
        <v>4738063.01</v>
      </c>
      <c r="E15" s="214">
        <v>5355833.2300000004</v>
      </c>
      <c r="F15" s="214">
        <v>27227923.649999999</v>
      </c>
      <c r="G15" s="214">
        <v>6490267.4000000004</v>
      </c>
      <c r="H15" s="229">
        <f>SUM(C15:G15)</f>
        <v>63216569.07</v>
      </c>
      <c r="I15" s="321">
        <f t="shared" si="3"/>
        <v>13709.947748861419</v>
      </c>
      <c r="J15" s="221"/>
      <c r="L15" s="283"/>
      <c r="M15" s="289"/>
      <c r="N15" s="289"/>
      <c r="O15" s="289"/>
      <c r="P15" s="289"/>
      <c r="Q15" s="289"/>
      <c r="R15" s="289"/>
      <c r="S15" s="289"/>
      <c r="T15" s="289"/>
      <c r="U15" s="268"/>
      <c r="V15" s="268"/>
      <c r="W15" s="268"/>
      <c r="X15" s="268"/>
      <c r="Y15" s="268"/>
      <c r="Z15" s="268"/>
    </row>
    <row r="16" spans="1:26" ht="15" x14ac:dyDescent="0.25">
      <c r="A16" s="33" t="s">
        <v>84</v>
      </c>
      <c r="B16" s="214">
        <v>4159</v>
      </c>
      <c r="C16" s="214">
        <v>21723293.879999992</v>
      </c>
      <c r="D16" s="214">
        <v>5458908.8200000003</v>
      </c>
      <c r="E16" s="214">
        <v>6622309.8299999991</v>
      </c>
      <c r="F16" s="214">
        <v>28453595.960000005</v>
      </c>
      <c r="G16" s="214">
        <v>12708724.879999999</v>
      </c>
      <c r="H16" s="229">
        <f>SUM(C16:G16)</f>
        <v>74966833.36999999</v>
      </c>
      <c r="I16" s="321">
        <f t="shared" si="3"/>
        <v>18025.20638855494</v>
      </c>
      <c r="J16" s="221"/>
      <c r="L16" s="283"/>
      <c r="M16" s="289"/>
      <c r="N16" s="289"/>
      <c r="O16" s="289"/>
      <c r="P16" s="289"/>
      <c r="Q16" s="289"/>
      <c r="R16" s="289"/>
      <c r="S16" s="289"/>
      <c r="T16" s="289"/>
      <c r="U16" s="268"/>
      <c r="V16" s="268"/>
      <c r="W16" s="268"/>
      <c r="X16" s="268"/>
      <c r="Y16" s="268"/>
      <c r="Z16" s="268"/>
    </row>
    <row r="17" spans="1:26" ht="15" x14ac:dyDescent="0.25">
      <c r="A17" s="33" t="s">
        <v>85</v>
      </c>
      <c r="B17" s="220">
        <v>1795</v>
      </c>
      <c r="C17" s="220">
        <v>14634602.119999997</v>
      </c>
      <c r="D17" s="220">
        <v>4287742.3000000007</v>
      </c>
      <c r="E17" s="220">
        <v>3796718.5900000003</v>
      </c>
      <c r="F17" s="220">
        <v>16463294.930000002</v>
      </c>
      <c r="G17" s="220">
        <v>4440129.67</v>
      </c>
      <c r="H17" s="238">
        <f>SUM(C17:G17)</f>
        <v>43622487.609999999</v>
      </c>
      <c r="I17" s="322">
        <f t="shared" si="3"/>
        <v>24302.221509749303</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38128</v>
      </c>
      <c r="C18" s="229">
        <f t="shared" si="4"/>
        <v>172352244.47000003</v>
      </c>
      <c r="D18" s="229">
        <f t="shared" si="4"/>
        <v>31632851.669999998</v>
      </c>
      <c r="E18" s="229">
        <f t="shared" si="4"/>
        <v>47402264.830000013</v>
      </c>
      <c r="F18" s="229">
        <f t="shared" si="4"/>
        <v>216616552.32000005</v>
      </c>
      <c r="G18" s="229">
        <f t="shared" si="4"/>
        <v>48881884.689999998</v>
      </c>
      <c r="H18" s="229">
        <f t="shared" si="4"/>
        <v>516885797.98000008</v>
      </c>
      <c r="I18" s="321">
        <f t="shared" si="3"/>
        <v>13556.593526542176</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10743</v>
      </c>
      <c r="C21" s="214">
        <v>31071325.569999997</v>
      </c>
      <c r="D21" s="214">
        <v>7043388.3700000001</v>
      </c>
      <c r="E21" s="214">
        <v>10641047.950000001</v>
      </c>
      <c r="F21" s="214">
        <v>57039822.340000011</v>
      </c>
      <c r="G21" s="214">
        <v>11940958.290000001</v>
      </c>
      <c r="H21" s="221">
        <f>SUM(C21:G21)</f>
        <v>117736542.52000003</v>
      </c>
      <c r="I21" s="321">
        <f>H21/B21</f>
        <v>10959.372849297219</v>
      </c>
      <c r="J21" s="221"/>
      <c r="L21" s="283"/>
      <c r="M21" s="289"/>
      <c r="N21" s="289"/>
      <c r="O21" s="289"/>
      <c r="P21" s="289"/>
      <c r="Q21" s="289"/>
      <c r="R21" s="289"/>
      <c r="S21" s="289"/>
      <c r="T21" s="289"/>
      <c r="U21" s="268"/>
      <c r="V21" s="268"/>
      <c r="W21" s="268"/>
      <c r="X21" s="268"/>
      <c r="Y21" s="268"/>
      <c r="Z21" s="268"/>
    </row>
    <row r="22" spans="1:26" ht="15" x14ac:dyDescent="0.25">
      <c r="A22" s="33" t="s">
        <v>87</v>
      </c>
      <c r="B22" s="220">
        <v>7735</v>
      </c>
      <c r="C22" s="220">
        <v>43234115.539999984</v>
      </c>
      <c r="D22" s="220">
        <v>10652369.929999998</v>
      </c>
      <c r="E22" s="220">
        <v>11151179.099999996</v>
      </c>
      <c r="F22" s="220">
        <v>47320723.450000018</v>
      </c>
      <c r="G22" s="220">
        <v>13719113.650000002</v>
      </c>
      <c r="H22" s="220">
        <f>SUM(C22:G22)</f>
        <v>126077501.67</v>
      </c>
      <c r="I22" s="322">
        <f>H22/B22</f>
        <v>16299.612368455075</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18478</v>
      </c>
      <c r="C23" s="221">
        <f t="shared" si="5"/>
        <v>74305441.109999985</v>
      </c>
      <c r="D23" s="221">
        <f t="shared" si="5"/>
        <v>17695758.299999997</v>
      </c>
      <c r="E23" s="221">
        <f t="shared" si="5"/>
        <v>21792227.049999997</v>
      </c>
      <c r="F23" s="221">
        <f t="shared" si="5"/>
        <v>104360545.79000002</v>
      </c>
      <c r="G23" s="221">
        <f t="shared" si="5"/>
        <v>25660071.940000005</v>
      </c>
      <c r="H23" s="221">
        <f t="shared" si="5"/>
        <v>243814044.19000003</v>
      </c>
      <c r="I23" s="323">
        <f>H23/B23</f>
        <v>13194.82867139301</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152221</v>
      </c>
      <c r="C25" s="192">
        <f t="shared" ref="C25:H25" si="6">C10+C18+C23</f>
        <v>557948164.95000005</v>
      </c>
      <c r="D25" s="192">
        <f t="shared" si="6"/>
        <v>89006412.019999996</v>
      </c>
      <c r="E25" s="192">
        <f t="shared" si="6"/>
        <v>164317384.46000004</v>
      </c>
      <c r="F25" s="192">
        <f t="shared" si="6"/>
        <v>793964574.46000004</v>
      </c>
      <c r="G25" s="192">
        <f t="shared" si="6"/>
        <v>226753250.94999999</v>
      </c>
      <c r="H25" s="192">
        <f t="shared" si="6"/>
        <v>1831989786.8400002</v>
      </c>
      <c r="I25" s="222">
        <f>H25/B25</f>
        <v>12035.066034515607</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FY18</v>
      </c>
      <c r="C29" s="223"/>
      <c r="D29" s="223"/>
      <c r="E29" s="223"/>
      <c r="F29" s="223"/>
      <c r="G29" s="223"/>
      <c r="H29" s="223"/>
      <c r="I29" s="182"/>
    </row>
    <row r="30" spans="1:26" ht="22.5" x14ac:dyDescent="0.2">
      <c r="A30" s="20" t="s">
        <v>245</v>
      </c>
      <c r="B30" s="202" t="str">
        <f>B3</f>
        <v>ANB18</v>
      </c>
      <c r="C30" s="202" t="str">
        <f t="shared" ref="C30:G30" si="7">C3</f>
        <v>18/Pupil Property Tax</v>
      </c>
      <c r="D30" s="202" t="str">
        <f t="shared" si="7"/>
        <v>18/Pupil Non Levy Revenue</v>
      </c>
      <c r="E30" s="202" t="str">
        <f t="shared" si="7"/>
        <v>18/Pupil County Revenue</v>
      </c>
      <c r="F30" s="202" t="str">
        <f t="shared" si="7"/>
        <v>18/Pupil State Revenue</v>
      </c>
      <c r="G30" s="202" t="str">
        <f t="shared" si="7"/>
        <v>18/Pupil Federal Revenue</v>
      </c>
      <c r="H30" s="202" t="str">
        <f>I3</f>
        <v>18/Rev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41164</v>
      </c>
      <c r="C32" s="182">
        <f t="shared" ref="C32:H38" si="9">C4/$B32</f>
        <v>3580.9941786512486</v>
      </c>
      <c r="D32" s="182">
        <f t="shared" si="9"/>
        <v>243.37443275677774</v>
      </c>
      <c r="E32" s="182">
        <f t="shared" si="9"/>
        <v>974.51064983966569</v>
      </c>
      <c r="F32" s="182">
        <f t="shared" si="9"/>
        <v>4747.310547565834</v>
      </c>
      <c r="G32" s="182">
        <f t="shared" si="9"/>
        <v>1072.8761325429987</v>
      </c>
      <c r="H32" s="182">
        <f t="shared" si="9"/>
        <v>10619.065941356526</v>
      </c>
      <c r="I32" s="182"/>
      <c r="J32" s="182"/>
    </row>
    <row r="33" spans="1:10" x14ac:dyDescent="0.2">
      <c r="A33" s="33" t="s">
        <v>76</v>
      </c>
      <c r="B33" s="221">
        <f t="shared" si="8"/>
        <v>20520</v>
      </c>
      <c r="C33" s="182">
        <f t="shared" si="9"/>
        <v>2805.4053664717349</v>
      </c>
      <c r="D33" s="182">
        <f t="shared" si="9"/>
        <v>338.45665984405457</v>
      </c>
      <c r="E33" s="182">
        <f t="shared" si="9"/>
        <v>993.93941325536048</v>
      </c>
      <c r="F33" s="182">
        <f t="shared" si="9"/>
        <v>5099.7205346003902</v>
      </c>
      <c r="G33" s="182">
        <f t="shared" si="9"/>
        <v>2027.531998050682</v>
      </c>
      <c r="H33" s="182">
        <f t="shared" si="9"/>
        <v>11265.053972222222</v>
      </c>
      <c r="I33" s="182"/>
      <c r="J33" s="182"/>
    </row>
    <row r="34" spans="1:10" x14ac:dyDescent="0.2">
      <c r="A34" s="33" t="s">
        <v>77</v>
      </c>
      <c r="B34" s="221">
        <f t="shared" si="8"/>
        <v>15370</v>
      </c>
      <c r="C34" s="182">
        <f t="shared" si="9"/>
        <v>2609.0181997397522</v>
      </c>
      <c r="D34" s="182">
        <f t="shared" si="9"/>
        <v>443.25718998048137</v>
      </c>
      <c r="E34" s="182">
        <f t="shared" si="9"/>
        <v>958.71189329863375</v>
      </c>
      <c r="F34" s="182">
        <f t="shared" si="9"/>
        <v>5071.0779212752104</v>
      </c>
      <c r="G34" s="182">
        <f t="shared" si="9"/>
        <v>2162.6554424202996</v>
      </c>
      <c r="H34" s="182">
        <f t="shared" si="9"/>
        <v>11244.720646714379</v>
      </c>
      <c r="I34" s="182"/>
      <c r="J34" s="182"/>
    </row>
    <row r="35" spans="1:10" x14ac:dyDescent="0.2">
      <c r="A35" s="33" t="s">
        <v>78</v>
      </c>
      <c r="B35" s="221">
        <f t="shared" si="8"/>
        <v>12079</v>
      </c>
      <c r="C35" s="182">
        <f t="shared" si="9"/>
        <v>3210.143713883599</v>
      </c>
      <c r="D35" s="182">
        <f t="shared" si="9"/>
        <v>698.65237768027168</v>
      </c>
      <c r="E35" s="182">
        <f t="shared" si="9"/>
        <v>1008.7929737561064</v>
      </c>
      <c r="F35" s="182">
        <f t="shared" si="9"/>
        <v>4990.2643993708098</v>
      </c>
      <c r="G35" s="182">
        <f t="shared" si="9"/>
        <v>1473.0127369815386</v>
      </c>
      <c r="H35" s="182">
        <f t="shared" si="9"/>
        <v>11380.866201672326</v>
      </c>
      <c r="I35" s="182"/>
      <c r="J35" s="182"/>
    </row>
    <row r="36" spans="1:10" x14ac:dyDescent="0.2">
      <c r="A36" s="33" t="s">
        <v>79</v>
      </c>
      <c r="B36" s="221">
        <f t="shared" si="8"/>
        <v>5086</v>
      </c>
      <c r="C36" s="182">
        <f t="shared" si="9"/>
        <v>4039.963607943374</v>
      </c>
      <c r="D36" s="182">
        <f t="shared" si="9"/>
        <v>1204.2915532835229</v>
      </c>
      <c r="E36" s="182">
        <f t="shared" si="9"/>
        <v>1177.5855013763273</v>
      </c>
      <c r="F36" s="182">
        <f t="shared" si="9"/>
        <v>5246.6183936295702</v>
      </c>
      <c r="G36" s="182">
        <f t="shared" si="9"/>
        <v>2475.9922099882024</v>
      </c>
      <c r="H36" s="182">
        <f t="shared" si="9"/>
        <v>14144.451266220996</v>
      </c>
      <c r="I36" s="182"/>
      <c r="J36" s="182"/>
    </row>
    <row r="37" spans="1:10" x14ac:dyDescent="0.2">
      <c r="A37" s="33" t="s">
        <v>80</v>
      </c>
      <c r="B37" s="220">
        <f t="shared" si="8"/>
        <v>1396</v>
      </c>
      <c r="C37" s="183">
        <f t="shared" si="9"/>
        <v>4937.1965042979946</v>
      </c>
      <c r="D37" s="183">
        <f t="shared" si="9"/>
        <v>958.09048710601735</v>
      </c>
      <c r="E37" s="183">
        <f t="shared" si="9"/>
        <v>1219.6901432664758</v>
      </c>
      <c r="F37" s="183">
        <f t="shared" si="9"/>
        <v>5744.0881948424048</v>
      </c>
      <c r="G37" s="183">
        <f t="shared" si="9"/>
        <v>2017.9321060171917</v>
      </c>
      <c r="H37" s="183">
        <f t="shared" si="9"/>
        <v>14876.997435530084</v>
      </c>
      <c r="I37" s="182"/>
      <c r="J37" s="182"/>
    </row>
    <row r="38" spans="1:10" x14ac:dyDescent="0.2">
      <c r="A38" s="33" t="s">
        <v>171</v>
      </c>
      <c r="B38" s="221">
        <f>SUM(B32:B37)</f>
        <v>95615</v>
      </c>
      <c r="C38" s="182">
        <f t="shared" si="9"/>
        <v>3255.6657362338547</v>
      </c>
      <c r="D38" s="182">
        <f t="shared" si="9"/>
        <v>414.97465931077755</v>
      </c>
      <c r="E38" s="182">
        <f t="shared" si="9"/>
        <v>994.8532403911521</v>
      </c>
      <c r="F38" s="182">
        <f t="shared" si="9"/>
        <v>4946.7915740208118</v>
      </c>
      <c r="G38" s="182">
        <f t="shared" si="9"/>
        <v>1591.9185726089001</v>
      </c>
      <c r="H38" s="182">
        <f t="shared" si="9"/>
        <v>11204.203782565497</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20375</v>
      </c>
      <c r="C41" s="182">
        <f t="shared" ref="C41:H46" si="10">C13/$B41</f>
        <v>4230.9253791411047</v>
      </c>
      <c r="D41" s="182">
        <f t="shared" si="10"/>
        <v>515.47545766871167</v>
      </c>
      <c r="E41" s="182">
        <f t="shared" si="10"/>
        <v>1156.6292814723929</v>
      </c>
      <c r="F41" s="182">
        <f t="shared" si="10"/>
        <v>5217.8660922699401</v>
      </c>
      <c r="G41" s="182">
        <f t="shared" si="10"/>
        <v>624.53180957055224</v>
      </c>
      <c r="H41" s="182">
        <f t="shared" si="10"/>
        <v>11745.428020122703</v>
      </c>
      <c r="I41" s="182"/>
      <c r="J41" s="182"/>
    </row>
    <row r="42" spans="1:10" x14ac:dyDescent="0.2">
      <c r="A42" s="33" t="s">
        <v>82</v>
      </c>
      <c r="B42" s="221">
        <f>B14</f>
        <v>7188</v>
      </c>
      <c r="C42" s="182">
        <f t="shared" si="10"/>
        <v>4227.1510976627715</v>
      </c>
      <c r="D42" s="182">
        <f t="shared" si="10"/>
        <v>924.50265581524764</v>
      </c>
      <c r="E42" s="182">
        <f t="shared" si="10"/>
        <v>1121.4637687813022</v>
      </c>
      <c r="F42" s="182">
        <f t="shared" si="10"/>
        <v>5308.530349193099</v>
      </c>
      <c r="G42" s="182">
        <f t="shared" si="10"/>
        <v>1741.5034947134111</v>
      </c>
      <c r="H42" s="182">
        <f t="shared" si="10"/>
        <v>13323.151366165834</v>
      </c>
      <c r="I42" s="182"/>
      <c r="J42" s="182"/>
    </row>
    <row r="43" spans="1:10" x14ac:dyDescent="0.2">
      <c r="A43" s="33" t="s">
        <v>83</v>
      </c>
      <c r="B43" s="221">
        <f>B15</f>
        <v>4611</v>
      </c>
      <c r="C43" s="182">
        <f t="shared" si="10"/>
        <v>4208.3022728258511</v>
      </c>
      <c r="D43" s="182">
        <f t="shared" si="10"/>
        <v>1027.556497505964</v>
      </c>
      <c r="E43" s="182">
        <f t="shared" si="10"/>
        <v>1161.5339904576015</v>
      </c>
      <c r="F43" s="182">
        <f t="shared" si="10"/>
        <v>5904.9932010409884</v>
      </c>
      <c r="G43" s="182">
        <f t="shared" si="10"/>
        <v>1407.561787031013</v>
      </c>
      <c r="H43" s="182">
        <f t="shared" si="10"/>
        <v>13709.947748861419</v>
      </c>
      <c r="I43" s="182"/>
      <c r="J43" s="182"/>
    </row>
    <row r="44" spans="1:10" x14ac:dyDescent="0.2">
      <c r="A44" s="33" t="s">
        <v>84</v>
      </c>
      <c r="B44" s="221">
        <f>B16</f>
        <v>4159</v>
      </c>
      <c r="C44" s="182">
        <f t="shared" si="10"/>
        <v>5223.2012214474616</v>
      </c>
      <c r="D44" s="182">
        <f t="shared" si="10"/>
        <v>1312.5532147150759</v>
      </c>
      <c r="E44" s="182">
        <f t="shared" si="10"/>
        <v>1592.2841620581869</v>
      </c>
      <c r="F44" s="182">
        <f t="shared" si="10"/>
        <v>6841.4513007934611</v>
      </c>
      <c r="G44" s="182">
        <f t="shared" si="10"/>
        <v>3055.7164895407545</v>
      </c>
      <c r="H44" s="182">
        <f t="shared" si="10"/>
        <v>18025.20638855494</v>
      </c>
      <c r="I44" s="182"/>
      <c r="J44" s="182"/>
    </row>
    <row r="45" spans="1:10" x14ac:dyDescent="0.2">
      <c r="A45" s="33" t="s">
        <v>85</v>
      </c>
      <c r="B45" s="220">
        <f>B17</f>
        <v>1795</v>
      </c>
      <c r="C45" s="183">
        <f t="shared" si="10"/>
        <v>8152.9816824512518</v>
      </c>
      <c r="D45" s="183">
        <f t="shared" si="10"/>
        <v>2388.7143732590534</v>
      </c>
      <c r="E45" s="183">
        <f t="shared" si="10"/>
        <v>2115.1635598885796</v>
      </c>
      <c r="F45" s="183">
        <f t="shared" si="10"/>
        <v>9171.7520501392773</v>
      </c>
      <c r="G45" s="183">
        <f t="shared" si="10"/>
        <v>2473.6098440111418</v>
      </c>
      <c r="H45" s="183">
        <f t="shared" si="10"/>
        <v>24302.221509749303</v>
      </c>
      <c r="I45" s="182"/>
      <c r="J45" s="182"/>
    </row>
    <row r="46" spans="1:10" x14ac:dyDescent="0.2">
      <c r="A46" s="33" t="s">
        <v>172</v>
      </c>
      <c r="B46" s="221">
        <f>SUM(B41:B45)</f>
        <v>38128</v>
      </c>
      <c r="C46" s="182">
        <f t="shared" si="10"/>
        <v>4520.3589086760394</v>
      </c>
      <c r="D46" s="182">
        <f t="shared" si="10"/>
        <v>829.64885831934532</v>
      </c>
      <c r="E46" s="182">
        <f t="shared" si="10"/>
        <v>1243.2402651594632</v>
      </c>
      <c r="F46" s="182">
        <f t="shared" si="10"/>
        <v>5681.2985816198079</v>
      </c>
      <c r="G46" s="182">
        <f t="shared" si="10"/>
        <v>1282.0469127675199</v>
      </c>
      <c r="H46" s="182">
        <f t="shared" si="10"/>
        <v>13556.593526542176</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10743</v>
      </c>
      <c r="C49" s="182">
        <f t="shared" ref="C49:G51" si="11">C21/$B49</f>
        <v>2892.2391855161495</v>
      </c>
      <c r="D49" s="182">
        <f t="shared" si="11"/>
        <v>655.62583728939774</v>
      </c>
      <c r="E49" s="182">
        <f t="shared" si="11"/>
        <v>990.50990877780896</v>
      </c>
      <c r="F49" s="182">
        <f t="shared" si="11"/>
        <v>5309.4873257004574</v>
      </c>
      <c r="G49" s="182">
        <f t="shared" si="11"/>
        <v>1111.5105920134042</v>
      </c>
      <c r="H49" s="182">
        <f>H21/$B49</f>
        <v>10959.372849297219</v>
      </c>
      <c r="I49" s="182"/>
      <c r="J49" s="182"/>
    </row>
    <row r="50" spans="1:10" x14ac:dyDescent="0.2">
      <c r="A50" s="33" t="s">
        <v>87</v>
      </c>
      <c r="B50" s="220">
        <f>B22</f>
        <v>7735</v>
      </c>
      <c r="C50" s="183">
        <f t="shared" si="11"/>
        <v>5589.4137737556539</v>
      </c>
      <c r="D50" s="183">
        <f t="shared" si="11"/>
        <v>1377.164826115061</v>
      </c>
      <c r="E50" s="183">
        <f t="shared" si="11"/>
        <v>1441.6521137685838</v>
      </c>
      <c r="F50" s="183">
        <f t="shared" si="11"/>
        <v>6117.7405882352969</v>
      </c>
      <c r="G50" s="183">
        <f t="shared" si="11"/>
        <v>1773.6410665804785</v>
      </c>
      <c r="H50" s="183">
        <f>H22/$B50</f>
        <v>16299.612368455075</v>
      </c>
      <c r="I50" s="182"/>
      <c r="J50" s="182"/>
    </row>
    <row r="51" spans="1:10" x14ac:dyDescent="0.2">
      <c r="A51" s="33" t="s">
        <v>173</v>
      </c>
      <c r="B51" s="221">
        <f>SUM(B49:B50)</f>
        <v>18478</v>
      </c>
      <c r="C51" s="182">
        <f t="shared" si="11"/>
        <v>4021.2924077281082</v>
      </c>
      <c r="D51" s="182">
        <f t="shared" si="11"/>
        <v>957.66632211278261</v>
      </c>
      <c r="E51" s="182">
        <f t="shared" si="11"/>
        <v>1179.3607019157917</v>
      </c>
      <c r="F51" s="182">
        <f t="shared" si="11"/>
        <v>5647.8269179564895</v>
      </c>
      <c r="G51" s="182">
        <f t="shared" si="11"/>
        <v>1388.6823216798357</v>
      </c>
      <c r="H51" s="182">
        <f>H23/$B51</f>
        <v>13194.82867139301</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152221</v>
      </c>
      <c r="C53" s="192">
        <f t="shared" ref="C53:G53" si="12">C25/$B53</f>
        <v>3665.3823385078276</v>
      </c>
      <c r="D53" s="192">
        <f t="shared" si="12"/>
        <v>584.71835042471139</v>
      </c>
      <c r="E53" s="192">
        <f t="shared" si="12"/>
        <v>1079.4659374199357</v>
      </c>
      <c r="F53" s="192">
        <f t="shared" si="12"/>
        <v>5215.867550863547</v>
      </c>
      <c r="G53" s="192">
        <f t="shared" si="12"/>
        <v>1489.631857299584</v>
      </c>
      <c r="H53" s="192">
        <f>H25/$B53</f>
        <v>12035.066034515607</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FY18</v>
      </c>
      <c r="I57" s="202"/>
      <c r="J57" s="182"/>
    </row>
    <row r="58" spans="1:10" ht="22.5" x14ac:dyDescent="0.2">
      <c r="A58" s="20" t="s">
        <v>245</v>
      </c>
      <c r="B58" s="21"/>
      <c r="C58" s="202" t="str">
        <f t="shared" ref="C58:G58" si="13">C3</f>
        <v>18/Pupil Property Tax</v>
      </c>
      <c r="D58" s="202" t="str">
        <f t="shared" si="13"/>
        <v>18/Pupil Non Levy Revenue</v>
      </c>
      <c r="E58" s="202" t="str">
        <f t="shared" si="13"/>
        <v>18/Pupil County Revenue</v>
      </c>
      <c r="F58" s="202" t="str">
        <f t="shared" si="13"/>
        <v>18/Pupil State Revenue</v>
      </c>
      <c r="G58" s="202" t="str">
        <f t="shared" si="13"/>
        <v>18/Pupil Federal Revenue</v>
      </c>
      <c r="H58" s="202"/>
      <c r="I58" s="202"/>
    </row>
    <row r="59" spans="1:10" x14ac:dyDescent="0.2">
      <c r="A59" s="33" t="s">
        <v>102</v>
      </c>
      <c r="B59" s="221"/>
      <c r="C59" s="224">
        <f t="shared" ref="C59:G65" si="14">C32/$H32</f>
        <v>0.33722308519668132</v>
      </c>
      <c r="D59" s="224">
        <f t="shared" si="14"/>
        <v>2.2918629011327903E-2</v>
      </c>
      <c r="E59" s="224">
        <f t="shared" si="14"/>
        <v>9.1769902854108978E-2</v>
      </c>
      <c r="F59" s="224">
        <f t="shared" si="14"/>
        <v>0.44705537886125901</v>
      </c>
      <c r="G59" s="224">
        <f t="shared" si="14"/>
        <v>0.10103300407662265</v>
      </c>
      <c r="H59" s="313"/>
      <c r="I59" s="182"/>
    </row>
    <row r="60" spans="1:10" x14ac:dyDescent="0.2">
      <c r="A60" s="33" t="s">
        <v>76</v>
      </c>
      <c r="B60" s="221"/>
      <c r="C60" s="224">
        <f t="shared" si="14"/>
        <v>0.24903612298613081</v>
      </c>
      <c r="D60" s="224">
        <f t="shared" si="14"/>
        <v>3.004483251288749E-2</v>
      </c>
      <c r="E60" s="224">
        <f t="shared" si="14"/>
        <v>8.8232103965613679E-2</v>
      </c>
      <c r="F60" s="224">
        <f t="shared" si="14"/>
        <v>0.45270271648724147</v>
      </c>
      <c r="G60" s="224">
        <f t="shared" si="14"/>
        <v>0.17998422404812653</v>
      </c>
      <c r="H60" s="313"/>
      <c r="I60" s="182"/>
    </row>
    <row r="61" spans="1:10" x14ac:dyDescent="0.2">
      <c r="A61" s="33" t="s">
        <v>77</v>
      </c>
      <c r="B61" s="221"/>
      <c r="C61" s="224">
        <f t="shared" si="14"/>
        <v>0.23202161100392363</v>
      </c>
      <c r="D61" s="224">
        <f t="shared" si="14"/>
        <v>3.9419137558566006E-2</v>
      </c>
      <c r="E61" s="224">
        <f t="shared" si="14"/>
        <v>8.5258844876574327E-2</v>
      </c>
      <c r="F61" s="224">
        <f t="shared" si="14"/>
        <v>0.45097411315032898</v>
      </c>
      <c r="G61" s="224">
        <f t="shared" si="14"/>
        <v>0.19232629341060695</v>
      </c>
      <c r="H61" s="313"/>
      <c r="I61" s="182"/>
    </row>
    <row r="62" spans="1:10" x14ac:dyDescent="0.2">
      <c r="A62" s="33" t="s">
        <v>78</v>
      </c>
      <c r="B62" s="221"/>
      <c r="C62" s="224">
        <f t="shared" si="14"/>
        <v>0.28206497264785474</v>
      </c>
      <c r="D62" s="224">
        <f t="shared" si="14"/>
        <v>6.1388330668329126E-2</v>
      </c>
      <c r="E62" s="224">
        <f t="shared" si="14"/>
        <v>8.8639384373737071E-2</v>
      </c>
      <c r="F62" s="224">
        <f t="shared" si="14"/>
        <v>0.43847843485213195</v>
      </c>
      <c r="G62" s="224">
        <f t="shared" si="14"/>
        <v>0.12942887745794704</v>
      </c>
      <c r="H62" s="313"/>
      <c r="I62" s="182"/>
    </row>
    <row r="63" spans="1:10" x14ac:dyDescent="0.2">
      <c r="A63" s="33" t="s">
        <v>79</v>
      </c>
      <c r="B63" s="221"/>
      <c r="C63" s="224">
        <f t="shared" si="14"/>
        <v>0.28562179839322532</v>
      </c>
      <c r="D63" s="224">
        <f t="shared" si="14"/>
        <v>8.5142331124541115E-2</v>
      </c>
      <c r="E63" s="224">
        <f t="shared" si="14"/>
        <v>8.325423724203232E-2</v>
      </c>
      <c r="F63" s="224">
        <f t="shared" si="14"/>
        <v>0.37093120792598416</v>
      </c>
      <c r="G63" s="224">
        <f t="shared" si="14"/>
        <v>0.17505042531421713</v>
      </c>
      <c r="H63" s="313"/>
      <c r="I63" s="182"/>
    </row>
    <row r="64" spans="1:10" x14ac:dyDescent="0.2">
      <c r="A64" s="33" t="s">
        <v>80</v>
      </c>
      <c r="B64" s="221"/>
      <c r="C64" s="225">
        <f t="shared" si="14"/>
        <v>0.33186780636976543</v>
      </c>
      <c r="D64" s="225">
        <f t="shared" si="14"/>
        <v>6.4400796683465961E-2</v>
      </c>
      <c r="E64" s="225">
        <f t="shared" si="14"/>
        <v>8.1984966963397007E-2</v>
      </c>
      <c r="F64" s="225">
        <f t="shared" si="14"/>
        <v>0.38610534281091219</v>
      </c>
      <c r="G64" s="225">
        <f t="shared" si="14"/>
        <v>0.13564108717245946</v>
      </c>
      <c r="H64" s="313"/>
      <c r="I64" s="182"/>
    </row>
    <row r="65" spans="1:9" x14ac:dyDescent="0.2">
      <c r="A65" s="33" t="s">
        <v>171</v>
      </c>
      <c r="B65" s="221"/>
      <c r="C65" s="224">
        <f t="shared" si="14"/>
        <v>0.29057537683310364</v>
      </c>
      <c r="D65" s="224">
        <f t="shared" si="14"/>
        <v>3.7037407330675863E-2</v>
      </c>
      <c r="E65" s="224">
        <f t="shared" si="14"/>
        <v>8.8792854869277849E-2</v>
      </c>
      <c r="F65" s="224">
        <f t="shared" si="14"/>
        <v>0.44151210295892296</v>
      </c>
      <c r="G65" s="224">
        <f t="shared" si="14"/>
        <v>0.1420822580080196</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0.36021891853515481</v>
      </c>
      <c r="D68" s="224">
        <f t="shared" si="15"/>
        <v>4.3887328480969788E-2</v>
      </c>
      <c r="E68" s="224">
        <f t="shared" si="15"/>
        <v>9.8474851618077494E-2</v>
      </c>
      <c r="F68" s="224">
        <f t="shared" si="15"/>
        <v>0.44424656839499577</v>
      </c>
      <c r="G68" s="224">
        <f t="shared" si="15"/>
        <v>5.3172332970802018E-2</v>
      </c>
      <c r="H68" s="313"/>
      <c r="I68" s="182"/>
    </row>
    <row r="69" spans="1:9" x14ac:dyDescent="0.2">
      <c r="A69" s="33" t="s">
        <v>82</v>
      </c>
      <c r="B69" s="221"/>
      <c r="C69" s="224">
        <f t="shared" si="15"/>
        <v>0.31727862136263263</v>
      </c>
      <c r="D69" s="224">
        <f t="shared" si="15"/>
        <v>6.9390689215092435E-2</v>
      </c>
      <c r="E69" s="224">
        <f t="shared" si="15"/>
        <v>8.4174061973750547E-2</v>
      </c>
      <c r="F69" s="224">
        <f t="shared" si="15"/>
        <v>0.3984440470048341</v>
      </c>
      <c r="G69" s="224">
        <f t="shared" si="15"/>
        <v>0.13071258044369008</v>
      </c>
      <c r="H69" s="313"/>
      <c r="I69" s="182"/>
    </row>
    <row r="70" spans="1:9" x14ac:dyDescent="0.2">
      <c r="A70" s="33" t="s">
        <v>83</v>
      </c>
      <c r="B70" s="221"/>
      <c r="C70" s="224">
        <f t="shared" si="15"/>
        <v>0.30695246618830779</v>
      </c>
      <c r="D70" s="224">
        <f t="shared" si="15"/>
        <v>7.4949701948448369E-2</v>
      </c>
      <c r="E70" s="224">
        <f t="shared" si="15"/>
        <v>8.4721985213551551E-2</v>
      </c>
      <c r="F70" s="224">
        <f t="shared" si="15"/>
        <v>0.43070865835585587</v>
      </c>
      <c r="G70" s="224">
        <f t="shared" si="15"/>
        <v>0.10266718829383634</v>
      </c>
      <c r="H70" s="313"/>
      <c r="I70" s="182"/>
    </row>
    <row r="71" spans="1:9" x14ac:dyDescent="0.2">
      <c r="A71" s="33" t="s">
        <v>84</v>
      </c>
      <c r="B71" s="221"/>
      <c r="C71" s="224">
        <f t="shared" si="15"/>
        <v>0.28977206190348648</v>
      </c>
      <c r="D71" s="224">
        <f t="shared" si="15"/>
        <v>7.2817652481831127E-2</v>
      </c>
      <c r="E71" s="224">
        <f t="shared" si="15"/>
        <v>8.8336528732852887E-2</v>
      </c>
      <c r="F71" s="224">
        <f t="shared" si="15"/>
        <v>0.37954912433831678</v>
      </c>
      <c r="G71" s="224">
        <f t="shared" si="15"/>
        <v>0.16952463254351274</v>
      </c>
      <c r="H71" s="313"/>
      <c r="I71" s="182"/>
    </row>
    <row r="72" spans="1:9" x14ac:dyDescent="0.2">
      <c r="A72" s="33" t="s">
        <v>85</v>
      </c>
      <c r="B72" s="221"/>
      <c r="C72" s="225">
        <f t="shared" si="15"/>
        <v>0.33548297957783518</v>
      </c>
      <c r="D72" s="225">
        <f t="shared" si="15"/>
        <v>9.829201714340291E-2</v>
      </c>
      <c r="E72" s="225">
        <f t="shared" si="15"/>
        <v>8.7035811069372443E-2</v>
      </c>
      <c r="F72" s="225">
        <f t="shared" si="15"/>
        <v>0.3774038536542782</v>
      </c>
      <c r="G72" s="225">
        <f t="shared" si="15"/>
        <v>0.10178533855511133</v>
      </c>
      <c r="H72" s="313"/>
      <c r="I72" s="182"/>
    </row>
    <row r="73" spans="1:9" x14ac:dyDescent="0.2">
      <c r="A73" s="33" t="s">
        <v>172</v>
      </c>
      <c r="B73" s="221"/>
      <c r="C73" s="224">
        <f t="shared" si="15"/>
        <v>0.33344356750283333</v>
      </c>
      <c r="D73" s="224">
        <f t="shared" si="15"/>
        <v>6.1198918201316052E-2</v>
      </c>
      <c r="E73" s="224">
        <f t="shared" si="15"/>
        <v>9.1707423603529056E-2</v>
      </c>
      <c r="F73" s="224">
        <f t="shared" si="15"/>
        <v>0.41908010080087671</v>
      </c>
      <c r="G73" s="224">
        <f t="shared" si="15"/>
        <v>9.4569989891444828E-2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0.26390553777916381</v>
      </c>
      <c r="D76" s="224">
        <f t="shared" si="16"/>
        <v>5.9823298860704463E-2</v>
      </c>
      <c r="E76" s="224">
        <f t="shared" si="16"/>
        <v>9.0380163390583648E-2</v>
      </c>
      <c r="F76" s="224">
        <f t="shared" si="16"/>
        <v>0.48446999647803146</v>
      </c>
      <c r="G76" s="224">
        <f t="shared" si="16"/>
        <v>0.10142100349151649</v>
      </c>
      <c r="H76" s="313"/>
      <c r="I76" s="182"/>
    </row>
    <row r="77" spans="1:9" x14ac:dyDescent="0.2">
      <c r="A77" s="33" t="s">
        <v>87</v>
      </c>
      <c r="B77" s="221"/>
      <c r="C77" s="225">
        <f t="shared" si="16"/>
        <v>0.3429169754105898</v>
      </c>
      <c r="D77" s="225">
        <f t="shared" si="16"/>
        <v>8.4490648917535743E-2</v>
      </c>
      <c r="E77" s="225">
        <f t="shared" si="16"/>
        <v>8.844701832042573E-2</v>
      </c>
      <c r="F77" s="225">
        <f t="shared" si="16"/>
        <v>0.37533043424241591</v>
      </c>
      <c r="G77" s="225">
        <f t="shared" si="16"/>
        <v>0.10881492310903278</v>
      </c>
      <c r="H77" s="313"/>
      <c r="I77" s="182"/>
    </row>
    <row r="78" spans="1:9" x14ac:dyDescent="0.2">
      <c r="A78" s="33" t="s">
        <v>173</v>
      </c>
      <c r="B78" s="221"/>
      <c r="C78" s="224">
        <f t="shared" si="16"/>
        <v>0.30476276031127658</v>
      </c>
      <c r="D78" s="224">
        <f t="shared" si="16"/>
        <v>7.2578912994076747E-2</v>
      </c>
      <c r="E78" s="224">
        <f t="shared" si="16"/>
        <v>8.9380524089160737E-2</v>
      </c>
      <c r="F78" s="224">
        <f t="shared" si="16"/>
        <v>0.42803336508652329</v>
      </c>
      <c r="G78" s="224">
        <f t="shared" si="16"/>
        <v>0.10524443751896242</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0.30455855647121538</v>
      </c>
      <c r="D80" s="226">
        <f>D53/$H53</f>
        <v>4.8584556889657765E-2</v>
      </c>
      <c r="E80" s="226">
        <f>E53/$H53</f>
        <v>8.9693395476527812E-2</v>
      </c>
      <c r="F80" s="226">
        <f>F53/$H53</f>
        <v>0.43338919253993757</v>
      </c>
      <c r="G80" s="226">
        <f>G53/$H53</f>
        <v>0.1237742986226614</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Q74"/>
  <sheetViews>
    <sheetView zoomScaleNormal="100" workbookViewId="0">
      <selection activeCell="C1" sqref="C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1346</v>
      </c>
      <c r="D1" s="22"/>
      <c r="E1" s="22"/>
      <c r="F1" s="22"/>
      <c r="G1" s="22"/>
      <c r="H1" s="22"/>
    </row>
    <row r="2" spans="1:17" x14ac:dyDescent="0.2">
      <c r="A2" s="22" t="s">
        <v>1212</v>
      </c>
    </row>
    <row r="3" spans="1:17" ht="34.5" x14ac:dyDescent="0.25">
      <c r="A3" s="22" t="s">
        <v>245</v>
      </c>
      <c r="B3" s="202" t="str">
        <f>"ANB"&amp;RIGHT(C1,2)</f>
        <v>ANB19</v>
      </c>
      <c r="C3" s="172" t="str">
        <f>RIGHT(C1,2)&amp;"/Pupil Salaries &amp; Benefits"</f>
        <v>19/Pupil Salaries &amp; Benefits</v>
      </c>
      <c r="D3" s="172" t="str">
        <f>RIGHT(C1,2)&amp;"/Pupil Purchased Services"</f>
        <v>19/Pupil Purchased Services</v>
      </c>
      <c r="E3" s="172" t="str">
        <f>RIGHT(C1,2)&amp;"/Pupil Supplies"</f>
        <v>19/Pupil Supplies</v>
      </c>
      <c r="F3" s="172" t="str">
        <f>RIGHT(C1,2)&amp;"/Pupil Capital Outlay"</f>
        <v>19/Pupil Capital Outlay</v>
      </c>
      <c r="G3" s="172" t="str">
        <f>RIGHT(C1,2)&amp;"/Pupil Other"</f>
        <v>19/Pupil Other</v>
      </c>
      <c r="H3" s="172" t="str">
        <f>RIGHT(C1,2)&amp;"/Pupil Total Expenditures"</f>
        <v>19/Pupil Total Expenditures</v>
      </c>
      <c r="K3" s="247"/>
      <c r="L3" s="247"/>
      <c r="M3" s="247"/>
      <c r="N3" s="247"/>
      <c r="O3" s="247"/>
      <c r="P3" s="247"/>
      <c r="Q3" s="247"/>
    </row>
    <row r="4" spans="1:17" ht="15" x14ac:dyDescent="0.25">
      <c r="A4" s="182" t="s">
        <v>102</v>
      </c>
      <c r="B4" s="214">
        <v>41234</v>
      </c>
      <c r="C4" s="214">
        <v>333935335.10000002</v>
      </c>
      <c r="D4" s="214">
        <v>48917461.619999997</v>
      </c>
      <c r="E4" s="214">
        <v>23756357.109999999</v>
      </c>
      <c r="F4" s="214">
        <v>5317333.99</v>
      </c>
      <c r="G4" s="214">
        <v>34130480.300000004</v>
      </c>
      <c r="H4" s="214">
        <f t="shared" ref="H4:H9" si="0">SUM(C4:G4)</f>
        <v>446056968.12000006</v>
      </c>
      <c r="K4" s="294"/>
      <c r="L4" s="293"/>
      <c r="M4" s="293"/>
      <c r="N4" s="293"/>
      <c r="O4" s="293"/>
      <c r="P4" s="293"/>
      <c r="Q4" s="293"/>
    </row>
    <row r="5" spans="1:17" ht="15" x14ac:dyDescent="0.25">
      <c r="A5" s="33" t="s">
        <v>76</v>
      </c>
      <c r="B5" s="214">
        <v>18111</v>
      </c>
      <c r="C5" s="214">
        <v>154959778.12999997</v>
      </c>
      <c r="D5" s="214">
        <v>22751313.48</v>
      </c>
      <c r="E5" s="214">
        <v>14460255.069999997</v>
      </c>
      <c r="F5" s="214">
        <v>6666467.4700000007</v>
      </c>
      <c r="G5" s="214">
        <v>10660563.979999999</v>
      </c>
      <c r="H5" s="214">
        <f t="shared" si="0"/>
        <v>209498378.12999994</v>
      </c>
      <c r="K5" s="294"/>
      <c r="L5" s="293"/>
      <c r="M5" s="293"/>
      <c r="N5" s="293"/>
      <c r="O5" s="293"/>
      <c r="P5" s="293"/>
      <c r="Q5" s="293"/>
    </row>
    <row r="6" spans="1:17" ht="15" x14ac:dyDescent="0.25">
      <c r="A6" s="33" t="s">
        <v>77</v>
      </c>
      <c r="B6" s="214">
        <v>15624</v>
      </c>
      <c r="C6" s="214">
        <v>131532680.10000002</v>
      </c>
      <c r="D6" s="214">
        <v>18673327.539999999</v>
      </c>
      <c r="E6" s="214">
        <v>14149777.470000001</v>
      </c>
      <c r="F6" s="214">
        <v>4122389.5600000005</v>
      </c>
      <c r="G6" s="214">
        <v>8003467.9899999984</v>
      </c>
      <c r="H6" s="214">
        <f t="shared" si="0"/>
        <v>176481642.66000003</v>
      </c>
      <c r="K6" s="294"/>
      <c r="L6" s="293"/>
      <c r="M6" s="293"/>
      <c r="N6" s="293"/>
      <c r="O6" s="293"/>
      <c r="P6" s="293"/>
      <c r="Q6" s="293"/>
    </row>
    <row r="7" spans="1:17" ht="15" x14ac:dyDescent="0.25">
      <c r="A7" s="33" t="s">
        <v>78</v>
      </c>
      <c r="B7" s="214">
        <v>12187</v>
      </c>
      <c r="C7" s="214">
        <v>98537641.549999967</v>
      </c>
      <c r="D7" s="214">
        <v>18680984.120000001</v>
      </c>
      <c r="E7" s="214">
        <v>13245004.439999998</v>
      </c>
      <c r="F7" s="214">
        <v>3972781.0299999984</v>
      </c>
      <c r="G7" s="214">
        <v>5671674.1699999999</v>
      </c>
      <c r="H7" s="214">
        <f t="shared" si="0"/>
        <v>140108085.30999994</v>
      </c>
      <c r="K7" s="294"/>
      <c r="L7" s="293"/>
      <c r="M7" s="293"/>
      <c r="N7" s="293"/>
      <c r="O7" s="293"/>
      <c r="P7" s="293"/>
      <c r="Q7" s="293"/>
    </row>
    <row r="8" spans="1:17" ht="15" x14ac:dyDescent="0.25">
      <c r="A8" s="33" t="s">
        <v>79</v>
      </c>
      <c r="B8" s="214">
        <v>5057</v>
      </c>
      <c r="C8" s="214">
        <v>50570278.529999986</v>
      </c>
      <c r="D8" s="214">
        <v>11188800.550000001</v>
      </c>
      <c r="E8" s="214">
        <v>7418208.5399999982</v>
      </c>
      <c r="F8" s="214">
        <v>3953835.6999999997</v>
      </c>
      <c r="G8" s="214">
        <v>1242457.8400000001</v>
      </c>
      <c r="H8" s="214">
        <f t="shared" si="0"/>
        <v>74373581.159999982</v>
      </c>
      <c r="K8" s="294"/>
      <c r="L8" s="293"/>
      <c r="M8" s="293"/>
      <c r="N8" s="293"/>
      <c r="O8" s="293"/>
      <c r="P8" s="293"/>
      <c r="Q8" s="293"/>
    </row>
    <row r="9" spans="1:17" ht="15" x14ac:dyDescent="0.25">
      <c r="A9" s="33" t="s">
        <v>80</v>
      </c>
      <c r="B9" s="220">
        <v>1434</v>
      </c>
      <c r="C9" s="220">
        <v>14082278.699999999</v>
      </c>
      <c r="D9" s="220">
        <v>3876142.6800000011</v>
      </c>
      <c r="E9" s="220">
        <v>2938568.7</v>
      </c>
      <c r="F9" s="220">
        <v>828114.46999999986</v>
      </c>
      <c r="G9" s="220">
        <v>51669.039999999994</v>
      </c>
      <c r="H9" s="220">
        <f t="shared" si="0"/>
        <v>21776773.589999996</v>
      </c>
      <c r="K9" s="294"/>
      <c r="L9" s="293"/>
      <c r="M9" s="293"/>
      <c r="N9" s="293"/>
      <c r="O9" s="293"/>
      <c r="P9" s="293"/>
      <c r="Q9" s="293"/>
    </row>
    <row r="10" spans="1:17" x14ac:dyDescent="0.2">
      <c r="A10" s="33" t="s">
        <v>103</v>
      </c>
      <c r="B10" s="221">
        <f t="shared" ref="B10:H10" si="1">SUM(B4:B9)</f>
        <v>93647</v>
      </c>
      <c r="C10" s="221">
        <f t="shared" si="1"/>
        <v>783617992.11000001</v>
      </c>
      <c r="D10" s="221">
        <f t="shared" si="1"/>
        <v>124088029.98999999</v>
      </c>
      <c r="E10" s="221">
        <f t="shared" si="1"/>
        <v>75968171.329999983</v>
      </c>
      <c r="F10" s="221">
        <f t="shared" si="1"/>
        <v>24860922.219999999</v>
      </c>
      <c r="G10" s="221">
        <f t="shared" si="1"/>
        <v>59760313.32</v>
      </c>
      <c r="H10" s="214">
        <f t="shared" si="1"/>
        <v>1068295428.97</v>
      </c>
    </row>
    <row r="11" spans="1:17" x14ac:dyDescent="0.2">
      <c r="A11" s="33"/>
      <c r="B11" s="182"/>
      <c r="C11" s="221"/>
      <c r="D11" s="221"/>
      <c r="E11" s="221"/>
      <c r="F11" s="221"/>
      <c r="G11" s="221"/>
      <c r="H11" s="214"/>
    </row>
    <row r="12" spans="1:17" ht="15" x14ac:dyDescent="0.25">
      <c r="A12" s="33" t="s">
        <v>81</v>
      </c>
      <c r="B12" s="214">
        <v>20388</v>
      </c>
      <c r="C12" s="214">
        <v>170205233.31999999</v>
      </c>
      <c r="D12" s="214">
        <v>34801891.140000001</v>
      </c>
      <c r="E12" s="214">
        <v>13614507.089999996</v>
      </c>
      <c r="F12" s="214">
        <v>4097030.5</v>
      </c>
      <c r="G12" s="214">
        <v>26957577.550000001</v>
      </c>
      <c r="H12" s="214">
        <f>SUM(C12:G12)</f>
        <v>249676239.59999999</v>
      </c>
      <c r="K12" s="294"/>
      <c r="L12" s="293"/>
      <c r="M12" s="293"/>
      <c r="N12" s="293"/>
      <c r="O12" s="293"/>
      <c r="P12" s="293"/>
      <c r="Q12" s="293"/>
    </row>
    <row r="13" spans="1:17" ht="15" x14ac:dyDescent="0.25">
      <c r="A13" s="33" t="s">
        <v>82</v>
      </c>
      <c r="B13" s="214">
        <v>7161</v>
      </c>
      <c r="C13" s="214">
        <v>66902457.640000001</v>
      </c>
      <c r="D13" s="214">
        <v>8859903.4700000007</v>
      </c>
      <c r="E13" s="214">
        <v>7160717.4299999997</v>
      </c>
      <c r="F13" s="214">
        <v>2759578.8900000006</v>
      </c>
      <c r="G13" s="214">
        <v>5823983.6100000003</v>
      </c>
      <c r="H13" s="214">
        <f>SUM(C13:G13)</f>
        <v>91506641.039999992</v>
      </c>
      <c r="K13" s="294"/>
      <c r="L13" s="293"/>
      <c r="M13" s="293"/>
      <c r="N13" s="293"/>
      <c r="O13" s="293"/>
      <c r="P13" s="293"/>
      <c r="Q13" s="293"/>
    </row>
    <row r="14" spans="1:17" ht="15" x14ac:dyDescent="0.25">
      <c r="A14" s="33" t="s">
        <v>83</v>
      </c>
      <c r="B14" s="214">
        <v>4666</v>
      </c>
      <c r="C14" s="214">
        <v>42559475.600000001</v>
      </c>
      <c r="D14" s="214">
        <v>7395035.9199999999</v>
      </c>
      <c r="E14" s="214">
        <v>6453917.6100000013</v>
      </c>
      <c r="F14" s="214">
        <v>4574777.37</v>
      </c>
      <c r="G14" s="214">
        <v>3414364.55</v>
      </c>
      <c r="H14" s="214">
        <f>SUM(C14:G14)</f>
        <v>64397571.049999997</v>
      </c>
      <c r="K14" s="294"/>
      <c r="L14" s="293"/>
      <c r="M14" s="293"/>
      <c r="N14" s="293"/>
      <c r="O14" s="293"/>
      <c r="P14" s="293"/>
      <c r="Q14" s="293"/>
    </row>
    <row r="15" spans="1:17" ht="15" x14ac:dyDescent="0.25">
      <c r="A15" s="33" t="s">
        <v>84</v>
      </c>
      <c r="B15" s="214">
        <v>4303</v>
      </c>
      <c r="C15" s="214">
        <v>50447475.079999998</v>
      </c>
      <c r="D15" s="214">
        <v>10613882.9</v>
      </c>
      <c r="E15" s="214">
        <v>7503908.4899999984</v>
      </c>
      <c r="F15" s="214">
        <v>4077352.2</v>
      </c>
      <c r="G15" s="214">
        <v>3245613.52</v>
      </c>
      <c r="H15" s="214">
        <f>SUM(C15:G15)</f>
        <v>75888232.189999998</v>
      </c>
      <c r="K15" s="294"/>
      <c r="L15" s="293"/>
      <c r="M15" s="293"/>
      <c r="N15" s="293"/>
      <c r="O15" s="293"/>
      <c r="P15" s="293"/>
      <c r="Q15" s="293"/>
    </row>
    <row r="16" spans="1:17" ht="15" x14ac:dyDescent="0.25">
      <c r="A16" s="33" t="s">
        <v>85</v>
      </c>
      <c r="B16" s="220">
        <v>1583</v>
      </c>
      <c r="C16" s="220">
        <v>24484012.279999994</v>
      </c>
      <c r="D16" s="220">
        <v>7079643.4399999995</v>
      </c>
      <c r="E16" s="220">
        <v>4592101.5000000019</v>
      </c>
      <c r="F16" s="220">
        <v>3916152.3899999997</v>
      </c>
      <c r="G16" s="220">
        <v>683215.49</v>
      </c>
      <c r="H16" s="220">
        <f>SUM(C16:G16)</f>
        <v>40755125.099999994</v>
      </c>
      <c r="K16" s="294"/>
      <c r="L16" s="293"/>
      <c r="M16" s="293"/>
      <c r="N16" s="293"/>
      <c r="O16" s="293"/>
      <c r="P16" s="293"/>
      <c r="Q16" s="293"/>
    </row>
    <row r="17" spans="1:17" x14ac:dyDescent="0.2">
      <c r="A17" s="33" t="s">
        <v>104</v>
      </c>
      <c r="B17" s="221">
        <f t="shared" ref="B17:H17" si="2">SUM(B12:B16)</f>
        <v>38101</v>
      </c>
      <c r="C17" s="221">
        <f t="shared" si="2"/>
        <v>354598653.91999996</v>
      </c>
      <c r="D17" s="221">
        <f t="shared" si="2"/>
        <v>68750356.870000005</v>
      </c>
      <c r="E17" s="221">
        <f t="shared" si="2"/>
        <v>39325152.11999999</v>
      </c>
      <c r="F17" s="221">
        <f t="shared" si="2"/>
        <v>19424891.350000001</v>
      </c>
      <c r="G17" s="221">
        <f t="shared" si="2"/>
        <v>40124754.720000006</v>
      </c>
      <c r="H17" s="221">
        <f t="shared" si="2"/>
        <v>522223808.98000002</v>
      </c>
    </row>
    <row r="18" spans="1:17" x14ac:dyDescent="0.2">
      <c r="A18" s="33"/>
      <c r="B18" s="182"/>
      <c r="C18" s="221"/>
      <c r="D18" s="221"/>
      <c r="E18" s="221"/>
      <c r="F18" s="221"/>
      <c r="G18" s="221"/>
      <c r="H18" s="214"/>
    </row>
    <row r="19" spans="1:17" ht="15" x14ac:dyDescent="0.25">
      <c r="A19" s="33" t="s">
        <v>86</v>
      </c>
      <c r="B19" s="214">
        <v>13277</v>
      </c>
      <c r="C19" s="214">
        <v>105149319.96999998</v>
      </c>
      <c r="D19" s="214">
        <v>19425065.43</v>
      </c>
      <c r="E19" s="214">
        <v>10868596.74</v>
      </c>
      <c r="F19" s="214">
        <v>3530784.86</v>
      </c>
      <c r="G19" s="214">
        <v>12776192.100000001</v>
      </c>
      <c r="H19" s="214">
        <f>SUM(C19:G19)</f>
        <v>151749959.09999999</v>
      </c>
      <c r="K19" s="294"/>
      <c r="L19" s="293"/>
      <c r="M19" s="293"/>
      <c r="N19" s="293"/>
      <c r="O19" s="293"/>
      <c r="P19" s="293"/>
      <c r="Q19" s="293"/>
    </row>
    <row r="20" spans="1:17" ht="15" x14ac:dyDescent="0.25">
      <c r="A20" s="33" t="s">
        <v>87</v>
      </c>
      <c r="B20" s="220">
        <v>7603</v>
      </c>
      <c r="C20" s="220">
        <v>87356516.369999975</v>
      </c>
      <c r="D20" s="220">
        <v>16021266.420000006</v>
      </c>
      <c r="E20" s="220">
        <v>14510257.91</v>
      </c>
      <c r="F20" s="220">
        <v>4928584.21</v>
      </c>
      <c r="G20" s="220">
        <v>4171056.4100000006</v>
      </c>
      <c r="H20" s="220">
        <f>SUM(C20:G20)</f>
        <v>126987681.31999996</v>
      </c>
      <c r="K20" s="294"/>
      <c r="L20" s="293"/>
      <c r="M20" s="293"/>
      <c r="N20" s="293"/>
      <c r="O20" s="293"/>
      <c r="P20" s="293"/>
      <c r="Q20" s="293"/>
    </row>
    <row r="21" spans="1:17" ht="15" x14ac:dyDescent="0.25">
      <c r="A21" s="33" t="s">
        <v>105</v>
      </c>
      <c r="B21" s="221">
        <f t="shared" ref="B21:H21" si="3">SUM(B19:B20)</f>
        <v>20880</v>
      </c>
      <c r="C21" s="221">
        <f t="shared" si="3"/>
        <v>192505836.33999997</v>
      </c>
      <c r="D21" s="221">
        <f t="shared" si="3"/>
        <v>35446331.850000009</v>
      </c>
      <c r="E21" s="221">
        <f t="shared" si="3"/>
        <v>25378854.649999999</v>
      </c>
      <c r="F21" s="221">
        <f t="shared" si="3"/>
        <v>8459369.0700000003</v>
      </c>
      <c r="G21" s="221">
        <f t="shared" si="3"/>
        <v>16947248.510000002</v>
      </c>
      <c r="H21" s="221">
        <f t="shared" si="3"/>
        <v>278737640.41999996</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152628</v>
      </c>
      <c r="C23" s="222">
        <f t="shared" si="4"/>
        <v>1330722482.3699999</v>
      </c>
      <c r="D23" s="222">
        <f t="shared" si="4"/>
        <v>228284718.71000001</v>
      </c>
      <c r="E23" s="222">
        <f t="shared" si="4"/>
        <v>140672178.09999996</v>
      </c>
      <c r="F23" s="222">
        <f t="shared" si="4"/>
        <v>52745182.640000001</v>
      </c>
      <c r="G23" s="222">
        <f t="shared" si="4"/>
        <v>116832316.55000001</v>
      </c>
      <c r="H23" s="222">
        <f t="shared" si="4"/>
        <v>1869256878.3699999</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FY2019</v>
      </c>
      <c r="C26" s="22"/>
      <c r="D26" s="22"/>
      <c r="E26" s="22"/>
      <c r="F26" s="22"/>
      <c r="G26" s="22"/>
      <c r="H26" s="22"/>
    </row>
    <row r="27" spans="1:17" ht="33.75" x14ac:dyDescent="0.2">
      <c r="A27" s="155" t="s">
        <v>245</v>
      </c>
      <c r="B27" s="172" t="str">
        <f t="shared" ref="B27:H34" si="5">B3</f>
        <v>ANB19</v>
      </c>
      <c r="C27" s="172" t="str">
        <f t="shared" si="5"/>
        <v>19/Pupil Salaries &amp; Benefits</v>
      </c>
      <c r="D27" s="172" t="str">
        <f t="shared" si="5"/>
        <v>19/Pupil Purchased Services</v>
      </c>
      <c r="E27" s="172" t="str">
        <f t="shared" si="5"/>
        <v>19/Pupil Supplies</v>
      </c>
      <c r="F27" s="172" t="str">
        <f t="shared" si="5"/>
        <v>19/Pupil Capital Outlay</v>
      </c>
      <c r="G27" s="172" t="str">
        <f t="shared" si="5"/>
        <v>19/Pupil Other</v>
      </c>
      <c r="H27" s="172" t="str">
        <f t="shared" si="5"/>
        <v>19/Pupil Total Expenditures</v>
      </c>
    </row>
    <row r="28" spans="1:17" x14ac:dyDescent="0.2">
      <c r="A28" s="33" t="s">
        <v>102</v>
      </c>
      <c r="B28" s="214">
        <f t="shared" si="5"/>
        <v>41234</v>
      </c>
      <c r="C28" s="182">
        <f t="shared" ref="C28:H34" si="6">C4/$B28</f>
        <v>8098.5433161953733</v>
      </c>
      <c r="D28" s="182">
        <f t="shared" si="6"/>
        <v>1186.3380128049666</v>
      </c>
      <c r="E28" s="182">
        <f t="shared" si="6"/>
        <v>576.13515812193816</v>
      </c>
      <c r="F28" s="182">
        <f t="shared" si="6"/>
        <v>128.95508536644516</v>
      </c>
      <c r="G28" s="182">
        <f t="shared" si="6"/>
        <v>827.72664063636819</v>
      </c>
      <c r="H28" s="182">
        <f t="shared" si="6"/>
        <v>10817.698213125093</v>
      </c>
    </row>
    <row r="29" spans="1:17" x14ac:dyDescent="0.2">
      <c r="A29" s="33" t="s">
        <v>76</v>
      </c>
      <c r="B29" s="214">
        <f t="shared" si="5"/>
        <v>18111</v>
      </c>
      <c r="C29" s="182">
        <f t="shared" si="6"/>
        <v>8556.1138606371806</v>
      </c>
      <c r="D29" s="182">
        <f t="shared" si="6"/>
        <v>1256.2151996024515</v>
      </c>
      <c r="E29" s="182">
        <f t="shared" si="6"/>
        <v>798.4238899011649</v>
      </c>
      <c r="F29" s="182">
        <f t="shared" si="6"/>
        <v>368.08941913754074</v>
      </c>
      <c r="G29" s="182">
        <f t="shared" si="6"/>
        <v>588.6237082436088</v>
      </c>
      <c r="H29" s="182">
        <f t="shared" si="6"/>
        <v>11567.466077521944</v>
      </c>
    </row>
    <row r="30" spans="1:17" x14ac:dyDescent="0.2">
      <c r="A30" s="33" t="s">
        <v>77</v>
      </c>
      <c r="B30" s="214">
        <f t="shared" si="5"/>
        <v>15624</v>
      </c>
      <c r="C30" s="182">
        <f t="shared" si="6"/>
        <v>8418.630318740401</v>
      </c>
      <c r="D30" s="182">
        <f t="shared" si="6"/>
        <v>1195.169453405018</v>
      </c>
      <c r="E30" s="182">
        <f t="shared" si="6"/>
        <v>905.64371927803381</v>
      </c>
      <c r="F30" s="182">
        <f t="shared" si="6"/>
        <v>263.84981822836664</v>
      </c>
      <c r="G30" s="182">
        <f t="shared" si="6"/>
        <v>512.25473566308233</v>
      </c>
      <c r="H30" s="182">
        <f t="shared" si="6"/>
        <v>11295.548045314901</v>
      </c>
    </row>
    <row r="31" spans="1:17" x14ac:dyDescent="0.2">
      <c r="A31" s="33" t="s">
        <v>78</v>
      </c>
      <c r="B31" s="214">
        <f t="shared" si="5"/>
        <v>12187</v>
      </c>
      <c r="C31" s="182">
        <f t="shared" si="6"/>
        <v>8085.4715311397367</v>
      </c>
      <c r="D31" s="182">
        <f t="shared" si="6"/>
        <v>1532.8615836547142</v>
      </c>
      <c r="E31" s="182">
        <f t="shared" si="6"/>
        <v>1086.8141823254286</v>
      </c>
      <c r="F31" s="182">
        <f t="shared" si="6"/>
        <v>325.9851505702797</v>
      </c>
      <c r="G31" s="182">
        <f t="shared" si="6"/>
        <v>465.38722983507017</v>
      </c>
      <c r="H31" s="182">
        <f t="shared" si="6"/>
        <v>11496.519677525228</v>
      </c>
    </row>
    <row r="32" spans="1:17" x14ac:dyDescent="0.2">
      <c r="A32" s="33" t="s">
        <v>79</v>
      </c>
      <c r="B32" s="214">
        <f t="shared" si="5"/>
        <v>5057</v>
      </c>
      <c r="C32" s="182">
        <f t="shared" si="6"/>
        <v>10000.055078109548</v>
      </c>
      <c r="D32" s="182">
        <f t="shared" si="6"/>
        <v>2212.5371860787031</v>
      </c>
      <c r="E32" s="182">
        <f t="shared" si="6"/>
        <v>1466.9188333003754</v>
      </c>
      <c r="F32" s="182">
        <f t="shared" si="6"/>
        <v>781.85400435040538</v>
      </c>
      <c r="G32" s="182">
        <f t="shared" si="6"/>
        <v>245.69069408740361</v>
      </c>
      <c r="H32" s="182">
        <f t="shared" si="6"/>
        <v>14707.055795926435</v>
      </c>
    </row>
    <row r="33" spans="1:8" x14ac:dyDescent="0.2">
      <c r="A33" s="33" t="s">
        <v>80</v>
      </c>
      <c r="B33" s="220">
        <f t="shared" si="5"/>
        <v>1434</v>
      </c>
      <c r="C33" s="183">
        <f t="shared" si="6"/>
        <v>9820.2780334728031</v>
      </c>
      <c r="D33" s="183">
        <f t="shared" si="6"/>
        <v>2703.0283682008376</v>
      </c>
      <c r="E33" s="183">
        <f t="shared" si="6"/>
        <v>2049.2110878661088</v>
      </c>
      <c r="F33" s="183">
        <f t="shared" si="6"/>
        <v>577.48568340306826</v>
      </c>
      <c r="G33" s="183">
        <f t="shared" si="6"/>
        <v>36.031408647140857</v>
      </c>
      <c r="H33" s="183">
        <f t="shared" si="6"/>
        <v>15186.034581589956</v>
      </c>
    </row>
    <row r="34" spans="1:8" x14ac:dyDescent="0.2">
      <c r="A34" s="33" t="s">
        <v>103</v>
      </c>
      <c r="B34" s="214">
        <f t="shared" si="5"/>
        <v>93647</v>
      </c>
      <c r="C34" s="182">
        <f t="shared" si="6"/>
        <v>8367.7853226478164</v>
      </c>
      <c r="D34" s="182">
        <f t="shared" si="6"/>
        <v>1325.0614540775464</v>
      </c>
      <c r="E34" s="182">
        <f t="shared" si="6"/>
        <v>811.21841949021302</v>
      </c>
      <c r="F34" s="182">
        <f t="shared" si="6"/>
        <v>265.47483870278813</v>
      </c>
      <c r="G34" s="182">
        <f t="shared" si="6"/>
        <v>638.14445011586065</v>
      </c>
      <c r="H34" s="182">
        <f t="shared" si="6"/>
        <v>11407.684485034224</v>
      </c>
    </row>
    <row r="35" spans="1:8" x14ac:dyDescent="0.2">
      <c r="A35" s="33"/>
      <c r="B35" s="214"/>
      <c r="C35" s="182"/>
      <c r="D35" s="182"/>
      <c r="E35" s="182"/>
      <c r="F35" s="182"/>
      <c r="G35" s="182"/>
      <c r="H35" s="182"/>
    </row>
    <row r="36" spans="1:8" x14ac:dyDescent="0.2">
      <c r="A36" s="33" t="s">
        <v>81</v>
      </c>
      <c r="B36" s="214">
        <f t="shared" ref="B36:B41" si="7">B12</f>
        <v>20388</v>
      </c>
      <c r="C36" s="182">
        <f t="shared" ref="C36:H41" si="8">C12/$B36</f>
        <v>8348.304557582891</v>
      </c>
      <c r="D36" s="182">
        <f t="shared" si="8"/>
        <v>1706.9791612713361</v>
      </c>
      <c r="E36" s="182">
        <f t="shared" si="8"/>
        <v>667.77060476751012</v>
      </c>
      <c r="F36" s="182">
        <f t="shared" si="8"/>
        <v>200.95303609966646</v>
      </c>
      <c r="G36" s="182">
        <f t="shared" si="8"/>
        <v>1322.2276608789484</v>
      </c>
      <c r="H36" s="182">
        <f t="shared" si="8"/>
        <v>12246.235020600352</v>
      </c>
    </row>
    <row r="37" spans="1:8" x14ac:dyDescent="0.2">
      <c r="A37" s="33" t="s">
        <v>82</v>
      </c>
      <c r="B37" s="214">
        <f t="shared" si="7"/>
        <v>7161</v>
      </c>
      <c r="C37" s="182">
        <f t="shared" si="8"/>
        <v>9342.6138304706055</v>
      </c>
      <c r="D37" s="182">
        <f t="shared" si="8"/>
        <v>1237.2438863287252</v>
      </c>
      <c r="E37" s="182">
        <f t="shared" si="8"/>
        <v>999.96054042731453</v>
      </c>
      <c r="F37" s="182">
        <f t="shared" si="8"/>
        <v>385.362224549644</v>
      </c>
      <c r="G37" s="182">
        <f t="shared" si="8"/>
        <v>813.29194386258905</v>
      </c>
      <c r="H37" s="182">
        <f t="shared" si="8"/>
        <v>12778.472425638876</v>
      </c>
    </row>
    <row r="38" spans="1:8" x14ac:dyDescent="0.2">
      <c r="A38" s="33" t="s">
        <v>83</v>
      </c>
      <c r="B38" s="214">
        <f t="shared" si="7"/>
        <v>4666</v>
      </c>
      <c r="C38" s="182">
        <f t="shared" si="8"/>
        <v>9121.1906558079736</v>
      </c>
      <c r="D38" s="182">
        <f t="shared" si="8"/>
        <v>1584.8769652807543</v>
      </c>
      <c r="E38" s="182">
        <f t="shared" si="8"/>
        <v>1383.1799421345909</v>
      </c>
      <c r="F38" s="182">
        <f t="shared" si="8"/>
        <v>980.44950064294903</v>
      </c>
      <c r="G38" s="182">
        <f t="shared" si="8"/>
        <v>731.75408272610366</v>
      </c>
      <c r="H38" s="182">
        <f t="shared" si="8"/>
        <v>13801.45114659237</v>
      </c>
    </row>
    <row r="39" spans="1:8" x14ac:dyDescent="0.2">
      <c r="A39" s="33" t="s">
        <v>84</v>
      </c>
      <c r="B39" s="214">
        <f t="shared" si="7"/>
        <v>4303</v>
      </c>
      <c r="C39" s="182">
        <f t="shared" si="8"/>
        <v>11723.791559377178</v>
      </c>
      <c r="D39" s="182">
        <f t="shared" si="8"/>
        <v>2466.6239600278877</v>
      </c>
      <c r="E39" s="182">
        <f t="shared" si="8"/>
        <v>1743.8783383685798</v>
      </c>
      <c r="F39" s="182">
        <f t="shared" si="8"/>
        <v>947.5603532419243</v>
      </c>
      <c r="G39" s="182">
        <f t="shared" si="8"/>
        <v>754.2676086451313</v>
      </c>
      <c r="H39" s="182">
        <f t="shared" si="8"/>
        <v>17636.121819660701</v>
      </c>
    </row>
    <row r="40" spans="1:8" x14ac:dyDescent="0.2">
      <c r="A40" s="33" t="s">
        <v>85</v>
      </c>
      <c r="B40" s="220">
        <f t="shared" si="7"/>
        <v>1583</v>
      </c>
      <c r="C40" s="183">
        <f t="shared" si="8"/>
        <v>15466.84288060644</v>
      </c>
      <c r="D40" s="183">
        <f t="shared" si="8"/>
        <v>4472.2952874289322</v>
      </c>
      <c r="E40" s="183">
        <f t="shared" si="8"/>
        <v>2900.8853442830082</v>
      </c>
      <c r="F40" s="183">
        <f t="shared" si="8"/>
        <v>2473.8802210991785</v>
      </c>
      <c r="G40" s="183">
        <f t="shared" si="8"/>
        <v>431.59538218572328</v>
      </c>
      <c r="H40" s="183">
        <f t="shared" si="8"/>
        <v>25745.499115603281</v>
      </c>
    </row>
    <row r="41" spans="1:8" x14ac:dyDescent="0.2">
      <c r="A41" s="33" t="s">
        <v>104</v>
      </c>
      <c r="B41" s="214">
        <f t="shared" si="7"/>
        <v>38101</v>
      </c>
      <c r="C41" s="182">
        <f t="shared" si="8"/>
        <v>9306.8070108396096</v>
      </c>
      <c r="D41" s="182">
        <f t="shared" si="8"/>
        <v>1804.423948715257</v>
      </c>
      <c r="E41" s="182">
        <f t="shared" si="8"/>
        <v>1032.12913361854</v>
      </c>
      <c r="F41" s="182">
        <f t="shared" si="8"/>
        <v>509.82628671163491</v>
      </c>
      <c r="G41" s="182">
        <f t="shared" si="8"/>
        <v>1053.1155276764391</v>
      </c>
      <c r="H41" s="182">
        <f t="shared" si="8"/>
        <v>13706.301907561481</v>
      </c>
    </row>
    <row r="42" spans="1:8" x14ac:dyDescent="0.2">
      <c r="A42" s="33"/>
      <c r="B42" s="214"/>
      <c r="C42" s="182"/>
      <c r="D42" s="182"/>
      <c r="E42" s="182"/>
      <c r="F42" s="182"/>
      <c r="G42" s="182"/>
      <c r="H42" s="182"/>
    </row>
    <row r="43" spans="1:8" x14ac:dyDescent="0.2">
      <c r="A43" s="33" t="s">
        <v>86</v>
      </c>
      <c r="B43" s="214">
        <f>B19</f>
        <v>13277</v>
      </c>
      <c r="C43" s="182">
        <f t="shared" ref="C43:H45" si="9">C19/$B43</f>
        <v>7919.6595593884149</v>
      </c>
      <c r="D43" s="182">
        <f t="shared" si="9"/>
        <v>1463.0613414174888</v>
      </c>
      <c r="E43" s="182">
        <f t="shared" si="9"/>
        <v>818.60335467349557</v>
      </c>
      <c r="F43" s="182">
        <f t="shared" si="9"/>
        <v>265.93242901257815</v>
      </c>
      <c r="G43" s="182">
        <f t="shared" si="9"/>
        <v>962.28004067183861</v>
      </c>
      <c r="H43" s="182">
        <f t="shared" si="9"/>
        <v>11429.536725163816</v>
      </c>
    </row>
    <row r="44" spans="1:8" x14ac:dyDescent="0.2">
      <c r="A44" s="33" t="s">
        <v>87</v>
      </c>
      <c r="B44" s="220">
        <f>B20</f>
        <v>7603</v>
      </c>
      <c r="C44" s="183">
        <f t="shared" si="9"/>
        <v>11489.743044850713</v>
      </c>
      <c r="D44" s="183">
        <f t="shared" si="9"/>
        <v>2107.2295699066167</v>
      </c>
      <c r="E44" s="183">
        <f t="shared" si="9"/>
        <v>1908.4911100881232</v>
      </c>
      <c r="F44" s="183">
        <f t="shared" si="9"/>
        <v>648.24203735367621</v>
      </c>
      <c r="G44" s="183">
        <f t="shared" si="9"/>
        <v>548.60665658292783</v>
      </c>
      <c r="H44" s="183">
        <f t="shared" si="9"/>
        <v>16702.312418782054</v>
      </c>
    </row>
    <row r="45" spans="1:8" x14ac:dyDescent="0.2">
      <c r="A45" s="33" t="s">
        <v>105</v>
      </c>
      <c r="B45" s="214">
        <f>B21</f>
        <v>20880</v>
      </c>
      <c r="C45" s="182">
        <f t="shared" si="9"/>
        <v>9219.6281772030634</v>
      </c>
      <c r="D45" s="182">
        <f t="shared" si="9"/>
        <v>1697.6212571839085</v>
      </c>
      <c r="E45" s="182">
        <f t="shared" si="9"/>
        <v>1215.4623874521071</v>
      </c>
      <c r="F45" s="182">
        <f t="shared" si="9"/>
        <v>405.1421968390805</v>
      </c>
      <c r="G45" s="182">
        <f t="shared" si="9"/>
        <v>811.64983285440621</v>
      </c>
      <c r="H45" s="182">
        <f t="shared" si="9"/>
        <v>13349.503851532565</v>
      </c>
    </row>
    <row r="46" spans="1:8" x14ac:dyDescent="0.2">
      <c r="A46" s="33"/>
      <c r="B46" s="214"/>
      <c r="C46" s="182"/>
      <c r="D46" s="182"/>
      <c r="E46" s="182"/>
      <c r="F46" s="182"/>
      <c r="G46" s="182"/>
      <c r="H46" s="182"/>
    </row>
    <row r="47" spans="1:8" ht="13.5" thickBot="1" x14ac:dyDescent="0.25">
      <c r="A47" s="33" t="s">
        <v>209</v>
      </c>
      <c r="B47" s="222">
        <f>B23</f>
        <v>152628</v>
      </c>
      <c r="C47" s="192">
        <f t="shared" ref="C47:H47" si="10">C23/$B47</f>
        <v>8718.7310478418112</v>
      </c>
      <c r="D47" s="192">
        <f t="shared" si="10"/>
        <v>1495.6935733286161</v>
      </c>
      <c r="E47" s="192">
        <f t="shared" si="10"/>
        <v>921.6669162932094</v>
      </c>
      <c r="F47" s="192">
        <f t="shared" si="10"/>
        <v>345.57998951699557</v>
      </c>
      <c r="G47" s="192">
        <f t="shared" si="10"/>
        <v>765.47105740755308</v>
      </c>
      <c r="H47" s="222">
        <f t="shared" si="10"/>
        <v>12247.142584388184</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FY2019</v>
      </c>
      <c r="C52" s="182"/>
      <c r="D52" s="182"/>
      <c r="E52" s="182"/>
      <c r="F52" s="182"/>
      <c r="G52" s="182"/>
      <c r="H52" s="182"/>
    </row>
    <row r="53" spans="1:8" ht="33.75" x14ac:dyDescent="0.2">
      <c r="A53" s="155" t="s">
        <v>245</v>
      </c>
      <c r="B53" s="172" t="str">
        <f t="shared" ref="B53:H59" si="11">B3</f>
        <v>ANB19</v>
      </c>
      <c r="C53" s="172" t="str">
        <f t="shared" si="11"/>
        <v>19/Pupil Salaries &amp; Benefits</v>
      </c>
      <c r="D53" s="172" t="str">
        <f t="shared" si="11"/>
        <v>19/Pupil Purchased Services</v>
      </c>
      <c r="E53" s="172" t="str">
        <f t="shared" si="11"/>
        <v>19/Pupil Supplies</v>
      </c>
      <c r="F53" s="172" t="str">
        <f t="shared" si="11"/>
        <v>19/Pupil Capital Outlay</v>
      </c>
      <c r="G53" s="172" t="str">
        <f t="shared" si="11"/>
        <v>19/Pupil Other</v>
      </c>
      <c r="H53" s="172" t="str">
        <f t="shared" si="11"/>
        <v>19/Pupil Total Expenditures</v>
      </c>
    </row>
    <row r="54" spans="1:8" x14ac:dyDescent="0.2">
      <c r="A54" s="33" t="s">
        <v>102</v>
      </c>
      <c r="B54" s="214">
        <f t="shared" si="11"/>
        <v>41234</v>
      </c>
      <c r="C54" s="191">
        <f t="shared" ref="C54:H60" si="12">C28/$H28</f>
        <v>0.74863831072394182</v>
      </c>
      <c r="D54" s="191">
        <f t="shared" si="12"/>
        <v>0.10966639939775588</v>
      </c>
      <c r="E54" s="191">
        <f t="shared" si="12"/>
        <v>5.3258571904225838E-2</v>
      </c>
      <c r="F54" s="191">
        <f t="shared" si="12"/>
        <v>1.1920750868237772E-2</v>
      </c>
      <c r="G54" s="191">
        <f t="shared" si="12"/>
        <v>7.6515967105838564E-2</v>
      </c>
      <c r="H54" s="191">
        <f t="shared" si="12"/>
        <v>1</v>
      </c>
    </row>
    <row r="55" spans="1:8" x14ac:dyDescent="0.2">
      <c r="A55" s="33" t="s">
        <v>76</v>
      </c>
      <c r="B55" s="214">
        <f t="shared" si="11"/>
        <v>18111</v>
      </c>
      <c r="C55" s="191">
        <f t="shared" si="12"/>
        <v>0.73967053832675911</v>
      </c>
      <c r="D55" s="191">
        <f t="shared" si="12"/>
        <v>0.10859899576827339</v>
      </c>
      <c r="E55" s="191">
        <f t="shared" si="12"/>
        <v>6.9023231583334663E-2</v>
      </c>
      <c r="F55" s="191">
        <f t="shared" si="12"/>
        <v>3.1821093459078048E-2</v>
      </c>
      <c r="G55" s="191">
        <f t="shared" si="12"/>
        <v>5.0886140862555052E-2</v>
      </c>
      <c r="H55" s="191">
        <f t="shared" si="12"/>
        <v>1</v>
      </c>
    </row>
    <row r="56" spans="1:8" x14ac:dyDescent="0.2">
      <c r="A56" s="33" t="s">
        <v>77</v>
      </c>
      <c r="B56" s="214">
        <f t="shared" si="11"/>
        <v>15624</v>
      </c>
      <c r="C56" s="191">
        <f t="shared" si="12"/>
        <v>0.74530516668752778</v>
      </c>
      <c r="D56" s="191">
        <f t="shared" si="12"/>
        <v>0.10580889467339684</v>
      </c>
      <c r="E56" s="191">
        <f t="shared" si="12"/>
        <v>8.0177049900086186E-2</v>
      </c>
      <c r="F56" s="191">
        <f t="shared" si="12"/>
        <v>2.3358744274281112E-2</v>
      </c>
      <c r="G56" s="191">
        <f t="shared" si="12"/>
        <v>4.5350144464708135E-2</v>
      </c>
      <c r="H56" s="191">
        <f t="shared" si="12"/>
        <v>1</v>
      </c>
    </row>
    <row r="57" spans="1:8" x14ac:dyDescent="0.2">
      <c r="A57" s="33" t="s">
        <v>78</v>
      </c>
      <c r="B57" s="214">
        <f t="shared" si="11"/>
        <v>12187</v>
      </c>
      <c r="C57" s="191">
        <f t="shared" si="12"/>
        <v>0.70329732457607874</v>
      </c>
      <c r="D57" s="191">
        <f t="shared" si="12"/>
        <v>0.13333266298420168</v>
      </c>
      <c r="E57" s="191">
        <f t="shared" si="12"/>
        <v>9.4534190590745734E-2</v>
      </c>
      <c r="F57" s="191">
        <f t="shared" si="12"/>
        <v>2.8355116132019891E-2</v>
      </c>
      <c r="G57" s="191">
        <f t="shared" si="12"/>
        <v>4.0480705716954044E-2</v>
      </c>
      <c r="H57" s="191">
        <f t="shared" si="12"/>
        <v>1</v>
      </c>
    </row>
    <row r="58" spans="1:8" x14ac:dyDescent="0.2">
      <c r="A58" s="33" t="s">
        <v>79</v>
      </c>
      <c r="B58" s="214">
        <f t="shared" si="11"/>
        <v>5057</v>
      </c>
      <c r="C58" s="191">
        <f t="shared" si="12"/>
        <v>0.67994948933826482</v>
      </c>
      <c r="D58" s="191">
        <f t="shared" si="12"/>
        <v>0.15044052438364533</v>
      </c>
      <c r="E58" s="191">
        <f t="shared" si="12"/>
        <v>9.974252179737314E-2</v>
      </c>
      <c r="F58" s="191">
        <f t="shared" si="12"/>
        <v>5.3161830294202295E-2</v>
      </c>
      <c r="G58" s="191">
        <f t="shared" si="12"/>
        <v>1.6705634186514415E-2</v>
      </c>
      <c r="H58" s="191">
        <f t="shared" si="12"/>
        <v>1</v>
      </c>
    </row>
    <row r="59" spans="1:8" x14ac:dyDescent="0.2">
      <c r="A59" s="33" t="s">
        <v>80</v>
      </c>
      <c r="B59" s="220">
        <f t="shared" si="11"/>
        <v>1434</v>
      </c>
      <c r="C59" s="193">
        <f t="shared" si="12"/>
        <v>0.64666506458360995</v>
      </c>
      <c r="D59" s="193">
        <f t="shared" si="12"/>
        <v>0.17799435090696564</v>
      </c>
      <c r="E59" s="193">
        <f t="shared" si="12"/>
        <v>0.13494049923673751</v>
      </c>
      <c r="F59" s="193">
        <f t="shared" si="12"/>
        <v>3.8027417908237528E-2</v>
      </c>
      <c r="G59" s="193">
        <f t="shared" si="12"/>
        <v>2.3726673644495558E-3</v>
      </c>
      <c r="H59" s="193">
        <f t="shared" si="12"/>
        <v>1</v>
      </c>
    </row>
    <row r="60" spans="1:8" x14ac:dyDescent="0.2">
      <c r="A60" s="33" t="s">
        <v>103</v>
      </c>
      <c r="B60" s="214">
        <f>SUM(B54:B59)</f>
        <v>93647</v>
      </c>
      <c r="C60" s="191">
        <f t="shared" si="12"/>
        <v>0.73352180572889614</v>
      </c>
      <c r="D60" s="191">
        <f t="shared" si="12"/>
        <v>0.11615516328628291</v>
      </c>
      <c r="E60" s="191">
        <f t="shared" si="12"/>
        <v>7.1111575758818796E-2</v>
      </c>
      <c r="F60" s="191">
        <f t="shared" si="12"/>
        <v>2.3271579701478015E-2</v>
      </c>
      <c r="G60" s="191">
        <f t="shared" si="12"/>
        <v>5.5939875524524216E-2</v>
      </c>
      <c r="H60" s="191">
        <f t="shared" si="12"/>
        <v>1</v>
      </c>
    </row>
    <row r="61" spans="1:8" x14ac:dyDescent="0.2">
      <c r="A61" s="33"/>
      <c r="B61" s="214"/>
      <c r="C61" s="191"/>
      <c r="D61" s="191"/>
      <c r="E61" s="191"/>
      <c r="F61" s="191"/>
      <c r="G61" s="191"/>
      <c r="H61" s="191"/>
    </row>
    <row r="62" spans="1:8" x14ac:dyDescent="0.2">
      <c r="A62" s="33" t="s">
        <v>81</v>
      </c>
      <c r="B62" s="214">
        <f t="shared" ref="B62:B67" si="13">B12</f>
        <v>20388</v>
      </c>
      <c r="C62" s="191">
        <f t="shared" ref="C62:H67" si="14">C36/$H36</f>
        <v>0.68170376801846067</v>
      </c>
      <c r="D62" s="191">
        <f t="shared" si="14"/>
        <v>0.13938807791944974</v>
      </c>
      <c r="E62" s="191">
        <f t="shared" si="14"/>
        <v>5.4528645223956652E-2</v>
      </c>
      <c r="F62" s="191">
        <f t="shared" si="14"/>
        <v>1.640937282043237E-2</v>
      </c>
      <c r="G62" s="191">
        <f t="shared" si="14"/>
        <v>0.10797013601770059</v>
      </c>
      <c r="H62" s="191">
        <f t="shared" si="14"/>
        <v>1</v>
      </c>
    </row>
    <row r="63" spans="1:8" x14ac:dyDescent="0.2">
      <c r="A63" s="33" t="s">
        <v>82</v>
      </c>
      <c r="B63" s="214">
        <f t="shared" si="13"/>
        <v>7161</v>
      </c>
      <c r="C63" s="191">
        <f t="shared" si="14"/>
        <v>0.73112133589031159</v>
      </c>
      <c r="D63" s="191">
        <f t="shared" si="14"/>
        <v>9.6822518773551108E-2</v>
      </c>
      <c r="E63" s="191">
        <f t="shared" si="14"/>
        <v>7.8253527269893541E-2</v>
      </c>
      <c r="F63" s="191">
        <f t="shared" si="14"/>
        <v>3.0157143335571842E-2</v>
      </c>
      <c r="G63" s="191">
        <f t="shared" si="14"/>
        <v>6.3645474730672086E-2</v>
      </c>
      <c r="H63" s="191">
        <f t="shared" si="14"/>
        <v>1</v>
      </c>
    </row>
    <row r="64" spans="1:8" x14ac:dyDescent="0.2">
      <c r="A64" s="33" t="s">
        <v>83</v>
      </c>
      <c r="B64" s="214">
        <f t="shared" si="13"/>
        <v>4666</v>
      </c>
      <c r="C64" s="191">
        <f t="shared" si="14"/>
        <v>0.66088634875616181</v>
      </c>
      <c r="D64" s="191">
        <f t="shared" si="14"/>
        <v>0.11483408146338775</v>
      </c>
      <c r="E64" s="191">
        <f t="shared" si="14"/>
        <v>0.10021989191159099</v>
      </c>
      <c r="F64" s="191">
        <f t="shared" si="14"/>
        <v>7.10395950562797E-2</v>
      </c>
      <c r="G64" s="191">
        <f t="shared" si="14"/>
        <v>5.302008281257993E-2</v>
      </c>
      <c r="H64" s="191">
        <f t="shared" si="14"/>
        <v>1</v>
      </c>
    </row>
    <row r="65" spans="1:8" x14ac:dyDescent="0.2">
      <c r="A65" s="33" t="s">
        <v>84</v>
      </c>
      <c r="B65" s="214">
        <f t="shared" si="13"/>
        <v>4303</v>
      </c>
      <c r="C65" s="191">
        <f t="shared" si="14"/>
        <v>0.66476018249701174</v>
      </c>
      <c r="D65" s="191">
        <f t="shared" si="14"/>
        <v>0.13986203912915265</v>
      </c>
      <c r="E65" s="191">
        <f t="shared" si="14"/>
        <v>9.8881055381717139E-2</v>
      </c>
      <c r="F65" s="191">
        <f t="shared" si="14"/>
        <v>5.3728385578828711E-2</v>
      </c>
      <c r="G65" s="191">
        <f t="shared" si="14"/>
        <v>4.2768337413289802E-2</v>
      </c>
      <c r="H65" s="191">
        <f t="shared" si="14"/>
        <v>1</v>
      </c>
    </row>
    <row r="66" spans="1:8" x14ac:dyDescent="0.2">
      <c r="A66" s="33" t="s">
        <v>85</v>
      </c>
      <c r="B66" s="220">
        <f t="shared" si="13"/>
        <v>1583</v>
      </c>
      <c r="C66" s="193">
        <f t="shared" si="14"/>
        <v>0.60075910011131328</v>
      </c>
      <c r="D66" s="193">
        <f t="shared" si="14"/>
        <v>0.17371173374216931</v>
      </c>
      <c r="E66" s="193">
        <f t="shared" si="14"/>
        <v>0.11267543624838493</v>
      </c>
      <c r="F66" s="193">
        <f t="shared" si="14"/>
        <v>9.6089813990044654E-2</v>
      </c>
      <c r="G66" s="193">
        <f t="shared" si="14"/>
        <v>1.6763915908087842E-2</v>
      </c>
      <c r="H66" s="193">
        <f t="shared" si="14"/>
        <v>1</v>
      </c>
    </row>
    <row r="67" spans="1:8" x14ac:dyDescent="0.2">
      <c r="A67" s="33" t="s">
        <v>104</v>
      </c>
      <c r="B67" s="214">
        <f t="shared" si="13"/>
        <v>38101</v>
      </c>
      <c r="C67" s="191">
        <f t="shared" si="14"/>
        <v>0.67901663582247795</v>
      </c>
      <c r="D67" s="191">
        <f t="shared" si="14"/>
        <v>0.13164921952578573</v>
      </c>
      <c r="E67" s="191">
        <f t="shared" si="14"/>
        <v>7.5303253976124362E-2</v>
      </c>
      <c r="F67" s="191">
        <f t="shared" si="14"/>
        <v>3.7196487436948575E-2</v>
      </c>
      <c r="G67" s="191">
        <f t="shared" si="14"/>
        <v>7.6834403238663321E-2</v>
      </c>
      <c r="H67" s="191">
        <f t="shared" si="14"/>
        <v>1</v>
      </c>
    </row>
    <row r="68" spans="1:8" x14ac:dyDescent="0.2">
      <c r="A68" s="33"/>
      <c r="B68" s="214"/>
      <c r="C68" s="191"/>
      <c r="D68" s="191"/>
      <c r="E68" s="191"/>
      <c r="F68" s="191"/>
      <c r="G68" s="191"/>
      <c r="H68" s="191"/>
    </row>
    <row r="69" spans="1:8" x14ac:dyDescent="0.2">
      <c r="A69" s="33" t="s">
        <v>86</v>
      </c>
      <c r="B69" s="214">
        <f>B19</f>
        <v>13277</v>
      </c>
      <c r="C69" s="191">
        <f t="shared" ref="C69:H71" si="15">C43/$H43</f>
        <v>0.69291168573369322</v>
      </c>
      <c r="D69" s="191">
        <f t="shared" si="15"/>
        <v>0.12800705545626734</v>
      </c>
      <c r="E69" s="191">
        <f t="shared" si="15"/>
        <v>7.1621744114196612E-2</v>
      </c>
      <c r="F69" s="191">
        <f t="shared" si="15"/>
        <v>2.3267122317135441E-2</v>
      </c>
      <c r="G69" s="191">
        <f t="shared" si="15"/>
        <v>8.4192392378707417E-2</v>
      </c>
      <c r="H69" s="191">
        <f t="shared" si="15"/>
        <v>1</v>
      </c>
    </row>
    <row r="70" spans="1:8" x14ac:dyDescent="0.2">
      <c r="A70" s="33" t="s">
        <v>87</v>
      </c>
      <c r="B70" s="220">
        <f>B20</f>
        <v>7603</v>
      </c>
      <c r="C70" s="193">
        <f t="shared" si="15"/>
        <v>0.68791331144843681</v>
      </c>
      <c r="D70" s="193">
        <f t="shared" si="15"/>
        <v>0.12616394167893774</v>
      </c>
      <c r="E70" s="193">
        <f t="shared" si="15"/>
        <v>0.1142650827164501</v>
      </c>
      <c r="F70" s="193">
        <f t="shared" si="15"/>
        <v>3.8811514304134091E-2</v>
      </c>
      <c r="G70" s="193">
        <f t="shared" si="15"/>
        <v>3.2846149852041429E-2</v>
      </c>
      <c r="H70" s="193">
        <f t="shared" si="15"/>
        <v>1</v>
      </c>
    </row>
    <row r="71" spans="1:8" x14ac:dyDescent="0.2">
      <c r="A71" s="33" t="s">
        <v>105</v>
      </c>
      <c r="B71" s="214">
        <f>B21</f>
        <v>20880</v>
      </c>
      <c r="C71" s="191">
        <f t="shared" si="15"/>
        <v>0.69063451943531373</v>
      </c>
      <c r="D71" s="191">
        <f t="shared" si="15"/>
        <v>0.12716736712196358</v>
      </c>
      <c r="E71" s="191">
        <f t="shared" si="15"/>
        <v>9.1049255535633131E-2</v>
      </c>
      <c r="F71" s="191">
        <f t="shared" si="15"/>
        <v>3.0348858005877791E-2</v>
      </c>
      <c r="G71" s="191">
        <f t="shared" si="15"/>
        <v>6.0799999901211779E-2</v>
      </c>
      <c r="H71" s="191">
        <f t="shared" si="15"/>
        <v>1</v>
      </c>
    </row>
    <row r="72" spans="1:8" x14ac:dyDescent="0.2">
      <c r="A72" s="33"/>
      <c r="B72" s="214"/>
      <c r="C72" s="191"/>
      <c r="D72" s="191"/>
      <c r="E72" s="191"/>
      <c r="F72" s="191"/>
      <c r="G72" s="191"/>
      <c r="H72" s="191"/>
    </row>
    <row r="73" spans="1:8" ht="13.5" thickBot="1" x14ac:dyDescent="0.25">
      <c r="A73" s="33" t="s">
        <v>230</v>
      </c>
      <c r="B73" s="222">
        <f>B71+B67+B60</f>
        <v>152628</v>
      </c>
      <c r="C73" s="195">
        <f t="shared" ref="C73:H73" si="16">C47/$H47</f>
        <v>0.71189920324401634</v>
      </c>
      <c r="D73" s="195">
        <f t="shared" si="16"/>
        <v>0.12212592145658722</v>
      </c>
      <c r="E73" s="195">
        <f t="shared" si="16"/>
        <v>7.5255669634163247E-2</v>
      </c>
      <c r="F73" s="195">
        <f t="shared" si="16"/>
        <v>2.8217193286989014E-2</v>
      </c>
      <c r="G73" s="195">
        <f t="shared" si="16"/>
        <v>6.2502012378244293E-2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1342</v>
      </c>
      <c r="D1" s="22"/>
      <c r="E1" s="22"/>
      <c r="F1" s="22"/>
      <c r="G1" s="22"/>
      <c r="H1" s="22"/>
    </row>
    <row r="2" spans="1:17" x14ac:dyDescent="0.2">
      <c r="A2" s="22" t="s">
        <v>1212</v>
      </c>
    </row>
    <row r="3" spans="1:17" ht="34.5" x14ac:dyDescent="0.25">
      <c r="A3" s="22" t="s">
        <v>245</v>
      </c>
      <c r="B3" s="202" t="str">
        <f>"ANB"&amp;RIGHT(C1,2)</f>
        <v>ANB18</v>
      </c>
      <c r="C3" s="172" t="str">
        <f>RIGHT(C1,2)&amp;"/Pupil Salaries &amp; Benefits"</f>
        <v>18/Pupil Salaries &amp; Benefits</v>
      </c>
      <c r="D3" s="172" t="str">
        <f>RIGHT(C1,2)&amp;"/Pupil Purchased Services"</f>
        <v>18/Pupil Purchased Services</v>
      </c>
      <c r="E3" s="172" t="str">
        <f>RIGHT(C1,2)&amp;"/Pupil Supplies"</f>
        <v>18/Pupil Supplies</v>
      </c>
      <c r="F3" s="172" t="str">
        <f>RIGHT(C1,2)&amp;"/Pupil Capital Outlay"</f>
        <v>18/Pupil Capital Outlay</v>
      </c>
      <c r="G3" s="172" t="str">
        <f>RIGHT(C1,2)&amp;"/Pupil Other"</f>
        <v>18/Pupil Other</v>
      </c>
      <c r="H3" s="172" t="str">
        <f>RIGHT(C1,2)&amp;"/Pupil Total Expenditures"</f>
        <v>18/Pupil Total Expenditures</v>
      </c>
      <c r="K3" s="247"/>
      <c r="L3" s="247"/>
      <c r="M3" s="247"/>
      <c r="N3" s="247"/>
      <c r="O3" s="247"/>
      <c r="P3" s="247"/>
      <c r="Q3" s="247"/>
    </row>
    <row r="4" spans="1:17" ht="15" x14ac:dyDescent="0.25">
      <c r="A4" s="182" t="s">
        <v>102</v>
      </c>
      <c r="B4" s="214">
        <v>41164</v>
      </c>
      <c r="C4" s="214">
        <v>325080362.51999998</v>
      </c>
      <c r="D4" s="214">
        <v>47422281.189999998</v>
      </c>
      <c r="E4" s="214">
        <v>20167321.920000002</v>
      </c>
      <c r="F4" s="214">
        <v>4742597.0900000008</v>
      </c>
      <c r="G4" s="214">
        <v>32466603.650000002</v>
      </c>
      <c r="H4" s="214">
        <f t="shared" ref="H4:H9" si="0">SUM(C4:G4)</f>
        <v>429879166.36999995</v>
      </c>
      <c r="K4" s="294"/>
      <c r="L4" s="293"/>
      <c r="M4" s="293"/>
      <c r="N4" s="293"/>
      <c r="O4" s="293"/>
      <c r="P4" s="293"/>
      <c r="Q4" s="293"/>
    </row>
    <row r="5" spans="1:17" ht="15" x14ac:dyDescent="0.25">
      <c r="A5" s="33" t="s">
        <v>76</v>
      </c>
      <c r="B5" s="214">
        <v>20520</v>
      </c>
      <c r="C5" s="214">
        <v>167191426.36000001</v>
      </c>
      <c r="D5" s="214">
        <v>25449114.370000001</v>
      </c>
      <c r="E5" s="214">
        <v>15653157.259999998</v>
      </c>
      <c r="F5" s="214">
        <v>4465814.6399999997</v>
      </c>
      <c r="G5" s="214">
        <v>11168043.069999998</v>
      </c>
      <c r="H5" s="214">
        <f t="shared" si="0"/>
        <v>223927555.69999999</v>
      </c>
      <c r="K5" s="294"/>
      <c r="L5" s="293"/>
      <c r="M5" s="293"/>
      <c r="N5" s="293"/>
      <c r="O5" s="293"/>
      <c r="P5" s="293"/>
      <c r="Q5" s="293"/>
    </row>
    <row r="6" spans="1:17" ht="15" x14ac:dyDescent="0.25">
      <c r="A6" s="33" t="s">
        <v>77</v>
      </c>
      <c r="B6" s="214">
        <v>15370</v>
      </c>
      <c r="C6" s="214">
        <v>127349127.54000001</v>
      </c>
      <c r="D6" s="214">
        <v>18325148.760000002</v>
      </c>
      <c r="E6" s="214">
        <v>13798894.909999996</v>
      </c>
      <c r="F6" s="214">
        <v>4983969.9700000007</v>
      </c>
      <c r="G6" s="214">
        <v>5875908.1300000008</v>
      </c>
      <c r="H6" s="214">
        <f t="shared" si="0"/>
        <v>170333049.31</v>
      </c>
      <c r="K6" s="294"/>
      <c r="L6" s="293"/>
      <c r="M6" s="293"/>
      <c r="N6" s="293"/>
      <c r="O6" s="293"/>
      <c r="P6" s="293"/>
      <c r="Q6" s="293"/>
    </row>
    <row r="7" spans="1:17" ht="15" x14ac:dyDescent="0.25">
      <c r="A7" s="33" t="s">
        <v>78</v>
      </c>
      <c r="B7" s="214">
        <v>12079</v>
      </c>
      <c r="C7" s="214">
        <v>96029705.249999985</v>
      </c>
      <c r="D7" s="214">
        <v>17785052.399999999</v>
      </c>
      <c r="E7" s="214">
        <v>12429655.890000002</v>
      </c>
      <c r="F7" s="214">
        <v>5052381.2899999982</v>
      </c>
      <c r="G7" s="214">
        <v>4647641</v>
      </c>
      <c r="H7" s="214">
        <f t="shared" si="0"/>
        <v>135944435.82999998</v>
      </c>
      <c r="K7" s="294"/>
      <c r="L7" s="293"/>
      <c r="M7" s="293"/>
      <c r="N7" s="293"/>
      <c r="O7" s="293"/>
      <c r="P7" s="293"/>
      <c r="Q7" s="293"/>
    </row>
    <row r="8" spans="1:17" ht="15" x14ac:dyDescent="0.25">
      <c r="A8" s="33" t="s">
        <v>79</v>
      </c>
      <c r="B8" s="214">
        <v>5086</v>
      </c>
      <c r="C8" s="214">
        <v>49408572.289999992</v>
      </c>
      <c r="D8" s="214">
        <v>10314260.209999999</v>
      </c>
      <c r="E8" s="214">
        <v>7807540.3200000012</v>
      </c>
      <c r="F8" s="214">
        <v>2485422.0300000003</v>
      </c>
      <c r="G8" s="214">
        <v>1458890.7999999998</v>
      </c>
      <c r="H8" s="214">
        <f t="shared" si="0"/>
        <v>71474685.649999991</v>
      </c>
      <c r="K8" s="294"/>
      <c r="L8" s="293"/>
      <c r="M8" s="293"/>
      <c r="N8" s="293"/>
      <c r="O8" s="293"/>
      <c r="P8" s="293"/>
      <c r="Q8" s="293"/>
    </row>
    <row r="9" spans="1:17" ht="15" x14ac:dyDescent="0.25">
      <c r="A9" s="33" t="s">
        <v>80</v>
      </c>
      <c r="B9" s="220">
        <v>1396</v>
      </c>
      <c r="C9" s="220">
        <v>13102187.000000004</v>
      </c>
      <c r="D9" s="220">
        <v>3752491.0599999991</v>
      </c>
      <c r="E9" s="220">
        <v>2546958.2400000007</v>
      </c>
      <c r="F9" s="220">
        <v>591888.09</v>
      </c>
      <c r="G9" s="220">
        <v>81304.790000000008</v>
      </c>
      <c r="H9" s="220">
        <f t="shared" si="0"/>
        <v>20074829.180000003</v>
      </c>
      <c r="K9" s="294"/>
      <c r="L9" s="293"/>
      <c r="M9" s="293"/>
      <c r="N9" s="293"/>
      <c r="O9" s="293"/>
      <c r="P9" s="293"/>
      <c r="Q9" s="293"/>
    </row>
    <row r="10" spans="1:17" x14ac:dyDescent="0.2">
      <c r="A10" s="33" t="s">
        <v>103</v>
      </c>
      <c r="B10" s="221">
        <f t="shared" ref="B10:H10" si="1">SUM(B4:B9)</f>
        <v>95615</v>
      </c>
      <c r="C10" s="221">
        <f t="shared" si="1"/>
        <v>778161380.95999992</v>
      </c>
      <c r="D10" s="221">
        <f t="shared" si="1"/>
        <v>123048347.98999999</v>
      </c>
      <c r="E10" s="221">
        <f t="shared" si="1"/>
        <v>72403528.539999992</v>
      </c>
      <c r="F10" s="221">
        <f t="shared" si="1"/>
        <v>22322073.109999999</v>
      </c>
      <c r="G10" s="221">
        <f t="shared" si="1"/>
        <v>55698391.439999998</v>
      </c>
      <c r="H10" s="214">
        <f t="shared" si="1"/>
        <v>1051633722.0399997</v>
      </c>
    </row>
    <row r="11" spans="1:17" x14ac:dyDescent="0.2">
      <c r="A11" s="33"/>
      <c r="B11" s="182"/>
      <c r="C11" s="221"/>
      <c r="D11" s="221"/>
      <c r="E11" s="221"/>
      <c r="F11" s="221"/>
      <c r="G11" s="221"/>
      <c r="H11" s="214"/>
    </row>
    <row r="12" spans="1:17" ht="15" x14ac:dyDescent="0.25">
      <c r="A12" s="33" t="s">
        <v>81</v>
      </c>
      <c r="B12" s="214">
        <v>20375</v>
      </c>
      <c r="C12" s="214">
        <v>163344099.69</v>
      </c>
      <c r="D12" s="214">
        <v>34688950.960000001</v>
      </c>
      <c r="E12" s="214">
        <v>13735215.110000001</v>
      </c>
      <c r="F12" s="214">
        <v>3396214.27</v>
      </c>
      <c r="G12" s="214">
        <v>19745419.940000001</v>
      </c>
      <c r="H12" s="214">
        <f>SUM(C12:G12)</f>
        <v>234909899.97000003</v>
      </c>
      <c r="K12" s="294"/>
      <c r="L12" s="293"/>
      <c r="M12" s="293"/>
      <c r="N12" s="293"/>
      <c r="O12" s="293"/>
      <c r="P12" s="293"/>
      <c r="Q12" s="293"/>
    </row>
    <row r="13" spans="1:17" ht="15" x14ac:dyDescent="0.25">
      <c r="A13" s="33" t="s">
        <v>82</v>
      </c>
      <c r="B13" s="214">
        <v>7188</v>
      </c>
      <c r="C13" s="214">
        <v>64387640.769999996</v>
      </c>
      <c r="D13" s="214">
        <v>8775875.5399999991</v>
      </c>
      <c r="E13" s="214">
        <v>7221380.379999999</v>
      </c>
      <c r="F13" s="214">
        <v>5319631.9700000007</v>
      </c>
      <c r="G13" s="214">
        <v>5916337.4400000004</v>
      </c>
      <c r="H13" s="214">
        <f>SUM(C13:G13)</f>
        <v>91620866.099999994</v>
      </c>
      <c r="K13" s="294"/>
      <c r="L13" s="293"/>
      <c r="M13" s="293"/>
      <c r="N13" s="293"/>
      <c r="O13" s="293"/>
      <c r="P13" s="293"/>
      <c r="Q13" s="293"/>
    </row>
    <row r="14" spans="1:17" ht="15" x14ac:dyDescent="0.25">
      <c r="A14" s="33" t="s">
        <v>83</v>
      </c>
      <c r="B14" s="214">
        <v>4611</v>
      </c>
      <c r="C14" s="214">
        <v>41515601.109999999</v>
      </c>
      <c r="D14" s="214">
        <v>7204231.9699999988</v>
      </c>
      <c r="E14" s="214">
        <v>6065830.4300000006</v>
      </c>
      <c r="F14" s="214">
        <v>2419685.4899999998</v>
      </c>
      <c r="G14" s="214">
        <v>3704255.21</v>
      </c>
      <c r="H14" s="214">
        <f>SUM(C14:G14)</f>
        <v>60909604.210000001</v>
      </c>
      <c r="K14" s="294"/>
      <c r="L14" s="293"/>
      <c r="M14" s="293"/>
      <c r="N14" s="293"/>
      <c r="O14" s="293"/>
      <c r="P14" s="293"/>
      <c r="Q14" s="293"/>
    </row>
    <row r="15" spans="1:17" ht="15" x14ac:dyDescent="0.25">
      <c r="A15" s="33" t="s">
        <v>84</v>
      </c>
      <c r="B15" s="214">
        <v>4159</v>
      </c>
      <c r="C15" s="214">
        <v>46371639.489999995</v>
      </c>
      <c r="D15" s="214">
        <v>9058096.6099999994</v>
      </c>
      <c r="E15" s="214">
        <v>6507367.6399999997</v>
      </c>
      <c r="F15" s="214">
        <v>3835962.64</v>
      </c>
      <c r="G15" s="214">
        <v>2502699.8400000003</v>
      </c>
      <c r="H15" s="214">
        <f>SUM(C15:G15)</f>
        <v>68275766.219999999</v>
      </c>
      <c r="K15" s="294"/>
      <c r="L15" s="293"/>
      <c r="M15" s="293"/>
      <c r="N15" s="293"/>
      <c r="O15" s="293"/>
      <c r="P15" s="293"/>
      <c r="Q15" s="293"/>
    </row>
    <row r="16" spans="1:17" ht="15" x14ac:dyDescent="0.25">
      <c r="A16" s="33" t="s">
        <v>85</v>
      </c>
      <c r="B16" s="220">
        <v>1795</v>
      </c>
      <c r="C16" s="220">
        <v>26424700.209999997</v>
      </c>
      <c r="D16" s="220">
        <v>7428904.2399999993</v>
      </c>
      <c r="E16" s="220">
        <v>4706888.83</v>
      </c>
      <c r="F16" s="220">
        <v>2263506.2299999995</v>
      </c>
      <c r="G16" s="220">
        <v>869466.97</v>
      </c>
      <c r="H16" s="220">
        <f>SUM(C16:G16)</f>
        <v>41693466.479999989</v>
      </c>
      <c r="K16" s="294"/>
      <c r="L16" s="293"/>
      <c r="M16" s="293"/>
      <c r="N16" s="293"/>
      <c r="O16" s="293"/>
      <c r="P16" s="293"/>
      <c r="Q16" s="293"/>
    </row>
    <row r="17" spans="1:17" x14ac:dyDescent="0.2">
      <c r="A17" s="33" t="s">
        <v>104</v>
      </c>
      <c r="B17" s="221">
        <f t="shared" ref="B17:H17" si="2">SUM(B12:B16)</f>
        <v>38128</v>
      </c>
      <c r="C17" s="221">
        <f t="shared" si="2"/>
        <v>342043681.26999998</v>
      </c>
      <c r="D17" s="221">
        <f t="shared" si="2"/>
        <v>67156059.319999993</v>
      </c>
      <c r="E17" s="221">
        <f t="shared" si="2"/>
        <v>38236682.390000001</v>
      </c>
      <c r="F17" s="221">
        <f t="shared" si="2"/>
        <v>17235000.600000001</v>
      </c>
      <c r="G17" s="221">
        <f t="shared" si="2"/>
        <v>32738179.400000002</v>
      </c>
      <c r="H17" s="221">
        <f t="shared" si="2"/>
        <v>497409602.98000002</v>
      </c>
    </row>
    <row r="18" spans="1:17" x14ac:dyDescent="0.2">
      <c r="A18" s="33"/>
      <c r="B18" s="182"/>
      <c r="C18" s="221"/>
      <c r="D18" s="221"/>
      <c r="E18" s="221"/>
      <c r="F18" s="221"/>
      <c r="G18" s="221"/>
      <c r="H18" s="214"/>
    </row>
    <row r="19" spans="1:17" ht="15" x14ac:dyDescent="0.25">
      <c r="A19" s="33" t="s">
        <v>86</v>
      </c>
      <c r="B19" s="214">
        <v>10743</v>
      </c>
      <c r="C19" s="214">
        <v>85740431.640000015</v>
      </c>
      <c r="D19" s="214">
        <v>14496109.399999997</v>
      </c>
      <c r="E19" s="214">
        <v>8941550.8100000005</v>
      </c>
      <c r="F19" s="214">
        <v>3645614.4699999997</v>
      </c>
      <c r="G19" s="214">
        <v>5304274.18</v>
      </c>
      <c r="H19" s="214">
        <f>SUM(C19:G19)</f>
        <v>118127980.5</v>
      </c>
      <c r="K19" s="294"/>
      <c r="L19" s="293"/>
      <c r="M19" s="293"/>
      <c r="N19" s="293"/>
      <c r="O19" s="293"/>
      <c r="P19" s="293"/>
      <c r="Q19" s="293"/>
    </row>
    <row r="20" spans="1:17" ht="15" x14ac:dyDescent="0.25">
      <c r="A20" s="33" t="s">
        <v>87</v>
      </c>
      <c r="B20" s="220">
        <v>7735</v>
      </c>
      <c r="C20" s="220">
        <v>84921381.560000017</v>
      </c>
      <c r="D20" s="220">
        <v>15328550.779999994</v>
      </c>
      <c r="E20" s="220">
        <v>12936036.66</v>
      </c>
      <c r="F20" s="220">
        <v>6577728.7099999981</v>
      </c>
      <c r="G20" s="220">
        <v>4499584.32</v>
      </c>
      <c r="H20" s="220">
        <f>SUM(C20:G20)</f>
        <v>124263282.03</v>
      </c>
      <c r="K20" s="294"/>
      <c r="L20" s="293"/>
      <c r="M20" s="293"/>
      <c r="N20" s="293"/>
      <c r="O20" s="293"/>
      <c r="P20" s="293"/>
      <c r="Q20" s="293"/>
    </row>
    <row r="21" spans="1:17" ht="15" x14ac:dyDescent="0.25">
      <c r="A21" s="33" t="s">
        <v>105</v>
      </c>
      <c r="B21" s="221">
        <f t="shared" ref="B21:H21" si="3">SUM(B19:B20)</f>
        <v>18478</v>
      </c>
      <c r="C21" s="221">
        <f t="shared" si="3"/>
        <v>170661813.20000005</v>
      </c>
      <c r="D21" s="221">
        <f t="shared" si="3"/>
        <v>29824660.179999992</v>
      </c>
      <c r="E21" s="221">
        <f t="shared" si="3"/>
        <v>21877587.469999999</v>
      </c>
      <c r="F21" s="221">
        <f t="shared" si="3"/>
        <v>10223343.179999998</v>
      </c>
      <c r="G21" s="221">
        <f t="shared" si="3"/>
        <v>9803858.5</v>
      </c>
      <c r="H21" s="221">
        <f t="shared" si="3"/>
        <v>242391262.53</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152221</v>
      </c>
      <c r="C23" s="222">
        <f t="shared" si="4"/>
        <v>1290866875.4299998</v>
      </c>
      <c r="D23" s="222">
        <f t="shared" si="4"/>
        <v>220029067.48999998</v>
      </c>
      <c r="E23" s="222">
        <f t="shared" si="4"/>
        <v>132517798.39999999</v>
      </c>
      <c r="F23" s="222">
        <f t="shared" si="4"/>
        <v>49780416.890000001</v>
      </c>
      <c r="G23" s="222">
        <f t="shared" si="4"/>
        <v>98240429.340000004</v>
      </c>
      <c r="H23" s="222">
        <f t="shared" si="4"/>
        <v>1791434587.5499997</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FY2018</v>
      </c>
      <c r="C26" s="22"/>
      <c r="D26" s="22"/>
      <c r="E26" s="22"/>
      <c r="F26" s="22"/>
      <c r="G26" s="22"/>
      <c r="H26" s="22"/>
    </row>
    <row r="27" spans="1:17" ht="33.75" x14ac:dyDescent="0.2">
      <c r="A27" s="155" t="s">
        <v>245</v>
      </c>
      <c r="B27" s="172" t="str">
        <f t="shared" ref="B27:H34" si="5">B3</f>
        <v>ANB18</v>
      </c>
      <c r="C27" s="172" t="str">
        <f t="shared" si="5"/>
        <v>18/Pupil Salaries &amp; Benefits</v>
      </c>
      <c r="D27" s="172" t="str">
        <f t="shared" si="5"/>
        <v>18/Pupil Purchased Services</v>
      </c>
      <c r="E27" s="172" t="str">
        <f t="shared" si="5"/>
        <v>18/Pupil Supplies</v>
      </c>
      <c r="F27" s="172" t="str">
        <f t="shared" si="5"/>
        <v>18/Pupil Capital Outlay</v>
      </c>
      <c r="G27" s="172" t="str">
        <f t="shared" si="5"/>
        <v>18/Pupil Other</v>
      </c>
      <c r="H27" s="172" t="str">
        <f t="shared" si="5"/>
        <v>18/Pupil Total Expenditures</v>
      </c>
    </row>
    <row r="28" spans="1:17" x14ac:dyDescent="0.2">
      <c r="A28" s="33" t="s">
        <v>102</v>
      </c>
      <c r="B28" s="214">
        <f t="shared" si="5"/>
        <v>41164</v>
      </c>
      <c r="C28" s="182">
        <f t="shared" ref="C28:H34" si="6">C4/$B28</f>
        <v>7897.2005276455147</v>
      </c>
      <c r="D28" s="182">
        <f t="shared" si="6"/>
        <v>1152.03287314158</v>
      </c>
      <c r="E28" s="182">
        <f t="shared" si="6"/>
        <v>489.92619570498499</v>
      </c>
      <c r="F28" s="182">
        <f t="shared" si="6"/>
        <v>115.21225075308524</v>
      </c>
      <c r="G28" s="182">
        <f t="shared" si="6"/>
        <v>788.71352759692945</v>
      </c>
      <c r="H28" s="182">
        <f t="shared" si="6"/>
        <v>10443.085374842094</v>
      </c>
    </row>
    <row r="29" spans="1:17" x14ac:dyDescent="0.2">
      <c r="A29" s="33" t="s">
        <v>76</v>
      </c>
      <c r="B29" s="214">
        <f t="shared" si="5"/>
        <v>20520</v>
      </c>
      <c r="C29" s="182">
        <f t="shared" si="6"/>
        <v>8147.7303294346984</v>
      </c>
      <c r="D29" s="182">
        <f t="shared" si="6"/>
        <v>1240.2102519493178</v>
      </c>
      <c r="E29" s="182">
        <f t="shared" si="6"/>
        <v>762.8244278752436</v>
      </c>
      <c r="F29" s="182">
        <f t="shared" si="6"/>
        <v>217.63229239766079</v>
      </c>
      <c r="G29" s="182">
        <f t="shared" si="6"/>
        <v>544.25161159844049</v>
      </c>
      <c r="H29" s="182">
        <f t="shared" si="6"/>
        <v>10912.64891325536</v>
      </c>
    </row>
    <row r="30" spans="1:17" x14ac:dyDescent="0.2">
      <c r="A30" s="33" t="s">
        <v>77</v>
      </c>
      <c r="B30" s="214">
        <f t="shared" si="5"/>
        <v>15370</v>
      </c>
      <c r="C30" s="182">
        <f t="shared" si="6"/>
        <v>8285.5645764476249</v>
      </c>
      <c r="D30" s="182">
        <f t="shared" si="6"/>
        <v>1192.2673233571895</v>
      </c>
      <c r="E30" s="182">
        <f t="shared" si="6"/>
        <v>897.78106115809999</v>
      </c>
      <c r="F30" s="182">
        <f t="shared" si="6"/>
        <v>324.26610084580358</v>
      </c>
      <c r="G30" s="182">
        <f t="shared" si="6"/>
        <v>382.2972108002603</v>
      </c>
      <c r="H30" s="182">
        <f t="shared" si="6"/>
        <v>11082.176272608978</v>
      </c>
    </row>
    <row r="31" spans="1:17" x14ac:dyDescent="0.2">
      <c r="A31" s="33" t="s">
        <v>78</v>
      </c>
      <c r="B31" s="214">
        <f t="shared" si="5"/>
        <v>12079</v>
      </c>
      <c r="C31" s="182">
        <f t="shared" si="6"/>
        <v>7950.1370353506072</v>
      </c>
      <c r="D31" s="182">
        <f t="shared" si="6"/>
        <v>1472.3944366255485</v>
      </c>
      <c r="E31" s="182">
        <f t="shared" si="6"/>
        <v>1029.0302086265422</v>
      </c>
      <c r="F31" s="182">
        <f t="shared" si="6"/>
        <v>418.27810994287591</v>
      </c>
      <c r="G31" s="182">
        <f t="shared" si="6"/>
        <v>384.77034522725393</v>
      </c>
      <c r="H31" s="182">
        <f t="shared" si="6"/>
        <v>11254.610135772828</v>
      </c>
    </row>
    <row r="32" spans="1:17" x14ac:dyDescent="0.2">
      <c r="A32" s="33" t="s">
        <v>79</v>
      </c>
      <c r="B32" s="214">
        <f t="shared" si="5"/>
        <v>5086</v>
      </c>
      <c r="C32" s="182">
        <f t="shared" si="6"/>
        <v>9714.6229433739663</v>
      </c>
      <c r="D32" s="182">
        <f t="shared" si="6"/>
        <v>2027.9709418010223</v>
      </c>
      <c r="E32" s="182">
        <f t="shared" si="6"/>
        <v>1535.1042705465989</v>
      </c>
      <c r="F32" s="182">
        <f t="shared" si="6"/>
        <v>488.67912504915461</v>
      </c>
      <c r="G32" s="182">
        <f t="shared" si="6"/>
        <v>286.84443570585921</v>
      </c>
      <c r="H32" s="182">
        <f t="shared" si="6"/>
        <v>14053.221716476601</v>
      </c>
    </row>
    <row r="33" spans="1:8" x14ac:dyDescent="0.2">
      <c r="A33" s="33" t="s">
        <v>80</v>
      </c>
      <c r="B33" s="220">
        <f t="shared" si="5"/>
        <v>1396</v>
      </c>
      <c r="C33" s="183">
        <f t="shared" si="6"/>
        <v>9385.5207736389711</v>
      </c>
      <c r="D33" s="183">
        <f t="shared" si="6"/>
        <v>2688.0308452722056</v>
      </c>
      <c r="E33" s="183">
        <f t="shared" si="6"/>
        <v>1824.4686532951293</v>
      </c>
      <c r="F33" s="183">
        <f t="shared" si="6"/>
        <v>423.98860315186243</v>
      </c>
      <c r="G33" s="183">
        <f t="shared" si="6"/>
        <v>58.241253581661894</v>
      </c>
      <c r="H33" s="183">
        <f t="shared" si="6"/>
        <v>14380.25012893983</v>
      </c>
    </row>
    <row r="34" spans="1:8" x14ac:dyDescent="0.2">
      <c r="A34" s="33" t="s">
        <v>103</v>
      </c>
      <c r="B34" s="214">
        <f t="shared" si="5"/>
        <v>95615</v>
      </c>
      <c r="C34" s="182">
        <f t="shared" si="6"/>
        <v>8138.4864399937242</v>
      </c>
      <c r="D34" s="182">
        <f t="shared" si="6"/>
        <v>1286.9146890132301</v>
      </c>
      <c r="E34" s="182">
        <f t="shared" si="6"/>
        <v>757.24027129634464</v>
      </c>
      <c r="F34" s="182">
        <f t="shared" si="6"/>
        <v>233.4578581812477</v>
      </c>
      <c r="G34" s="182">
        <f t="shared" si="6"/>
        <v>582.52775652355797</v>
      </c>
      <c r="H34" s="182">
        <f t="shared" si="6"/>
        <v>10998.627015008102</v>
      </c>
    </row>
    <row r="35" spans="1:8" x14ac:dyDescent="0.2">
      <c r="A35" s="33"/>
      <c r="B35" s="214"/>
      <c r="C35" s="182"/>
      <c r="D35" s="182"/>
      <c r="E35" s="182"/>
      <c r="F35" s="182"/>
      <c r="G35" s="182"/>
      <c r="H35" s="182"/>
    </row>
    <row r="36" spans="1:8" x14ac:dyDescent="0.2">
      <c r="A36" s="33" t="s">
        <v>81</v>
      </c>
      <c r="B36" s="214">
        <f t="shared" ref="B36:B41" si="7">B12</f>
        <v>20375</v>
      </c>
      <c r="C36" s="182">
        <f t="shared" ref="C36:H41" si="8">C12/$B36</f>
        <v>8016.888328343558</v>
      </c>
      <c r="D36" s="182">
        <f t="shared" si="8"/>
        <v>1702.5252004907975</v>
      </c>
      <c r="E36" s="182">
        <f t="shared" si="8"/>
        <v>674.12098699386513</v>
      </c>
      <c r="F36" s="182">
        <f t="shared" si="8"/>
        <v>166.68536294478528</v>
      </c>
      <c r="G36" s="182">
        <f t="shared" si="8"/>
        <v>969.10036515337436</v>
      </c>
      <c r="H36" s="182">
        <f t="shared" si="8"/>
        <v>11529.320243926382</v>
      </c>
    </row>
    <row r="37" spans="1:8" x14ac:dyDescent="0.2">
      <c r="A37" s="33" t="s">
        <v>82</v>
      </c>
      <c r="B37" s="214">
        <f t="shared" si="7"/>
        <v>7188</v>
      </c>
      <c r="C37" s="182">
        <f t="shared" si="8"/>
        <v>8957.6573135781855</v>
      </c>
      <c r="D37" s="182">
        <f t="shared" si="8"/>
        <v>1220.9064468558709</v>
      </c>
      <c r="E37" s="182">
        <f t="shared" si="8"/>
        <v>1004.6439037284362</v>
      </c>
      <c r="F37" s="182">
        <f t="shared" si="8"/>
        <v>740.0712256538676</v>
      </c>
      <c r="G37" s="182">
        <f t="shared" si="8"/>
        <v>823.08534223706181</v>
      </c>
      <c r="H37" s="182">
        <f t="shared" si="8"/>
        <v>12746.364232053422</v>
      </c>
    </row>
    <row r="38" spans="1:8" x14ac:dyDescent="0.2">
      <c r="A38" s="33" t="s">
        <v>83</v>
      </c>
      <c r="B38" s="214">
        <f t="shared" si="7"/>
        <v>4611</v>
      </c>
      <c r="C38" s="182">
        <f t="shared" si="8"/>
        <v>9003.6003274777704</v>
      </c>
      <c r="D38" s="182">
        <f t="shared" si="8"/>
        <v>1562.4012079809149</v>
      </c>
      <c r="E38" s="182">
        <f t="shared" si="8"/>
        <v>1315.512997180655</v>
      </c>
      <c r="F38" s="182">
        <f t="shared" si="8"/>
        <v>524.76371502927771</v>
      </c>
      <c r="G38" s="182">
        <f t="shared" si="8"/>
        <v>803.35181305573633</v>
      </c>
      <c r="H38" s="182">
        <f t="shared" si="8"/>
        <v>13209.630060724356</v>
      </c>
    </row>
    <row r="39" spans="1:8" x14ac:dyDescent="0.2">
      <c r="A39" s="33" t="s">
        <v>84</v>
      </c>
      <c r="B39" s="214">
        <f t="shared" si="7"/>
        <v>4159</v>
      </c>
      <c r="C39" s="182">
        <f t="shared" si="8"/>
        <v>11149.708942053378</v>
      </c>
      <c r="D39" s="182">
        <f t="shared" si="8"/>
        <v>2177.9506155325798</v>
      </c>
      <c r="E39" s="182">
        <f t="shared" si="8"/>
        <v>1564.6471844193316</v>
      </c>
      <c r="F39" s="182">
        <f t="shared" si="8"/>
        <v>922.32811733589813</v>
      </c>
      <c r="G39" s="182">
        <f t="shared" si="8"/>
        <v>601.75519115171926</v>
      </c>
      <c r="H39" s="182">
        <f t="shared" si="8"/>
        <v>16416.390050492908</v>
      </c>
    </row>
    <row r="40" spans="1:8" x14ac:dyDescent="0.2">
      <c r="A40" s="33" t="s">
        <v>85</v>
      </c>
      <c r="B40" s="220">
        <f t="shared" si="7"/>
        <v>1795</v>
      </c>
      <c r="C40" s="183">
        <f t="shared" si="8"/>
        <v>14721.281454038995</v>
      </c>
      <c r="D40" s="183">
        <f t="shared" si="8"/>
        <v>4138.6653147632305</v>
      </c>
      <c r="E40" s="183">
        <f t="shared" si="8"/>
        <v>2622.2221894150416</v>
      </c>
      <c r="F40" s="183">
        <f t="shared" si="8"/>
        <v>1261.0062562674093</v>
      </c>
      <c r="G40" s="183">
        <f t="shared" si="8"/>
        <v>484.38271309192197</v>
      </c>
      <c r="H40" s="183">
        <f t="shared" si="8"/>
        <v>23227.557927576596</v>
      </c>
    </row>
    <row r="41" spans="1:8" x14ac:dyDescent="0.2">
      <c r="A41" s="33" t="s">
        <v>104</v>
      </c>
      <c r="B41" s="214">
        <f t="shared" si="7"/>
        <v>38128</v>
      </c>
      <c r="C41" s="182">
        <f t="shared" si="8"/>
        <v>8970.9316321338647</v>
      </c>
      <c r="D41" s="182">
        <f t="shared" si="8"/>
        <v>1761.3318117918589</v>
      </c>
      <c r="E41" s="182">
        <f t="shared" si="8"/>
        <v>1002.850461340747</v>
      </c>
      <c r="F41" s="182">
        <f t="shared" si="8"/>
        <v>452.03001993285778</v>
      </c>
      <c r="G41" s="182">
        <f t="shared" si="8"/>
        <v>858.63877989928665</v>
      </c>
      <c r="H41" s="182">
        <f t="shared" si="8"/>
        <v>13045.782705098616</v>
      </c>
    </row>
    <row r="42" spans="1:8" x14ac:dyDescent="0.2">
      <c r="A42" s="33"/>
      <c r="B42" s="214"/>
      <c r="C42" s="182"/>
      <c r="D42" s="182"/>
      <c r="E42" s="182"/>
      <c r="F42" s="182"/>
      <c r="G42" s="182"/>
      <c r="H42" s="182"/>
    </row>
    <row r="43" spans="1:8" x14ac:dyDescent="0.2">
      <c r="A43" s="33" t="s">
        <v>86</v>
      </c>
      <c r="B43" s="214">
        <f>B19</f>
        <v>10743</v>
      </c>
      <c r="C43" s="182">
        <f t="shared" ref="C43:H45" si="9">C19/$B43</f>
        <v>7981.0510695336516</v>
      </c>
      <c r="D43" s="182">
        <f t="shared" si="9"/>
        <v>1349.3539421018334</v>
      </c>
      <c r="E43" s="182">
        <f t="shared" si="9"/>
        <v>832.31414037047387</v>
      </c>
      <c r="F43" s="182">
        <f t="shared" si="9"/>
        <v>339.34789816624777</v>
      </c>
      <c r="G43" s="182">
        <f t="shared" si="9"/>
        <v>493.7423606069068</v>
      </c>
      <c r="H43" s="182">
        <f t="shared" si="9"/>
        <v>10995.809410779111</v>
      </c>
    </row>
    <row r="44" spans="1:8" x14ac:dyDescent="0.2">
      <c r="A44" s="33" t="s">
        <v>87</v>
      </c>
      <c r="B44" s="220">
        <f>B20</f>
        <v>7735</v>
      </c>
      <c r="C44" s="183">
        <f t="shared" si="9"/>
        <v>10978.847001939239</v>
      </c>
      <c r="D44" s="183">
        <f t="shared" si="9"/>
        <v>1981.7130937297989</v>
      </c>
      <c r="E44" s="183">
        <f t="shared" si="9"/>
        <v>1672.4029295410471</v>
      </c>
      <c r="F44" s="183">
        <f t="shared" si="9"/>
        <v>850.38509502262423</v>
      </c>
      <c r="G44" s="183">
        <f t="shared" si="9"/>
        <v>581.7174298642534</v>
      </c>
      <c r="H44" s="183">
        <f t="shared" si="9"/>
        <v>16065.065550096962</v>
      </c>
    </row>
    <row r="45" spans="1:8" x14ac:dyDescent="0.2">
      <c r="A45" s="33" t="s">
        <v>105</v>
      </c>
      <c r="B45" s="214">
        <f>B21</f>
        <v>18478</v>
      </c>
      <c r="C45" s="182">
        <f t="shared" si="9"/>
        <v>9235.9461630046571</v>
      </c>
      <c r="D45" s="182">
        <f t="shared" si="9"/>
        <v>1614.063220045459</v>
      </c>
      <c r="E45" s="182">
        <f t="shared" si="9"/>
        <v>1183.9802722156078</v>
      </c>
      <c r="F45" s="182">
        <f t="shared" si="9"/>
        <v>553.27108886243093</v>
      </c>
      <c r="G45" s="182">
        <f t="shared" si="9"/>
        <v>530.56924450698125</v>
      </c>
      <c r="H45" s="182">
        <f t="shared" si="9"/>
        <v>13117.829988635134</v>
      </c>
    </row>
    <row r="46" spans="1:8" x14ac:dyDescent="0.2">
      <c r="A46" s="33"/>
      <c r="B46" s="214"/>
      <c r="C46" s="182"/>
      <c r="D46" s="182"/>
      <c r="E46" s="182"/>
      <c r="F46" s="182"/>
      <c r="G46" s="182"/>
      <c r="H46" s="182"/>
    </row>
    <row r="47" spans="1:8" ht="13.5" thickBot="1" x14ac:dyDescent="0.25">
      <c r="A47" s="33" t="s">
        <v>209</v>
      </c>
      <c r="B47" s="222">
        <f>B23</f>
        <v>152221</v>
      </c>
      <c r="C47" s="192">
        <f t="shared" ref="C47:H47" si="10">C23/$B47</f>
        <v>8480.2154461605151</v>
      </c>
      <c r="D47" s="192">
        <f t="shared" si="10"/>
        <v>1445.4580346338546</v>
      </c>
      <c r="E47" s="192">
        <f t="shared" si="10"/>
        <v>870.56186991282402</v>
      </c>
      <c r="F47" s="192">
        <f t="shared" si="10"/>
        <v>327.02726226998902</v>
      </c>
      <c r="G47" s="192">
        <f t="shared" si="10"/>
        <v>645.38026514081503</v>
      </c>
      <c r="H47" s="222">
        <f t="shared" si="10"/>
        <v>11768.642878117998</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FY2018</v>
      </c>
      <c r="C52" s="182"/>
      <c r="D52" s="182"/>
      <c r="E52" s="182"/>
      <c r="F52" s="182"/>
      <c r="G52" s="182"/>
      <c r="H52" s="182"/>
    </row>
    <row r="53" spans="1:8" ht="33.75" x14ac:dyDescent="0.2">
      <c r="A53" s="155" t="s">
        <v>245</v>
      </c>
      <c r="B53" s="172" t="str">
        <f t="shared" ref="B53:H59" si="11">B3</f>
        <v>ANB18</v>
      </c>
      <c r="C53" s="172" t="str">
        <f t="shared" si="11"/>
        <v>18/Pupil Salaries &amp; Benefits</v>
      </c>
      <c r="D53" s="172" t="str">
        <f t="shared" si="11"/>
        <v>18/Pupil Purchased Services</v>
      </c>
      <c r="E53" s="172" t="str">
        <f t="shared" si="11"/>
        <v>18/Pupil Supplies</v>
      </c>
      <c r="F53" s="172" t="str">
        <f t="shared" si="11"/>
        <v>18/Pupil Capital Outlay</v>
      </c>
      <c r="G53" s="172" t="str">
        <f t="shared" si="11"/>
        <v>18/Pupil Other</v>
      </c>
      <c r="H53" s="172" t="str">
        <f t="shared" si="11"/>
        <v>18/Pupil Total Expenditures</v>
      </c>
    </row>
    <row r="54" spans="1:8" x14ac:dyDescent="0.2">
      <c r="A54" s="33" t="s">
        <v>102</v>
      </c>
      <c r="B54" s="214">
        <f t="shared" si="11"/>
        <v>41164</v>
      </c>
      <c r="C54" s="191">
        <f t="shared" ref="C54:H60" si="12">C28/$H28</f>
        <v>0.75621334540367346</v>
      </c>
      <c r="D54" s="191">
        <f t="shared" si="12"/>
        <v>0.11031537441194188</v>
      </c>
      <c r="E54" s="191">
        <f t="shared" si="12"/>
        <v>4.6913931862056904E-2</v>
      </c>
      <c r="F54" s="191">
        <f t="shared" si="12"/>
        <v>1.1032395754480492E-2</v>
      </c>
      <c r="G54" s="191">
        <f t="shared" si="12"/>
        <v>7.5524952567847345E-2</v>
      </c>
      <c r="H54" s="191">
        <f t="shared" si="12"/>
        <v>1</v>
      </c>
    </row>
    <row r="55" spans="1:8" x14ac:dyDescent="0.2">
      <c r="A55" s="33" t="s">
        <v>76</v>
      </c>
      <c r="B55" s="214">
        <f t="shared" si="11"/>
        <v>20520</v>
      </c>
      <c r="C55" s="191">
        <f t="shared" si="12"/>
        <v>0.74663176596269176</v>
      </c>
      <c r="D55" s="191">
        <f t="shared" si="12"/>
        <v>0.11364887313866215</v>
      </c>
      <c r="E55" s="191">
        <f t="shared" si="12"/>
        <v>6.990277373889095E-2</v>
      </c>
      <c r="F55" s="191">
        <f t="shared" si="12"/>
        <v>1.9943122346152593E-2</v>
      </c>
      <c r="G55" s="191">
        <f t="shared" si="12"/>
        <v>4.9873464813602657E-2</v>
      </c>
      <c r="H55" s="191">
        <f t="shared" si="12"/>
        <v>1</v>
      </c>
    </row>
    <row r="56" spans="1:8" x14ac:dyDescent="0.2">
      <c r="A56" s="33" t="s">
        <v>77</v>
      </c>
      <c r="B56" s="214">
        <f t="shared" si="11"/>
        <v>15370</v>
      </c>
      <c r="C56" s="191">
        <f t="shared" si="12"/>
        <v>0.74764778800049059</v>
      </c>
      <c r="D56" s="191">
        <f t="shared" si="12"/>
        <v>0.10758422299273757</v>
      </c>
      <c r="E56" s="191">
        <f t="shared" si="12"/>
        <v>8.1011259798951324E-2</v>
      </c>
      <c r="F56" s="191">
        <f t="shared" si="12"/>
        <v>2.9260146461238746E-2</v>
      </c>
      <c r="G56" s="191">
        <f t="shared" si="12"/>
        <v>3.4496582746581732E-2</v>
      </c>
      <c r="H56" s="191">
        <f t="shared" si="12"/>
        <v>1</v>
      </c>
    </row>
    <row r="57" spans="1:8" x14ac:dyDescent="0.2">
      <c r="A57" s="33" t="s">
        <v>78</v>
      </c>
      <c r="B57" s="214">
        <f t="shared" si="11"/>
        <v>12079</v>
      </c>
      <c r="C57" s="191">
        <f t="shared" si="12"/>
        <v>0.70638937639261812</v>
      </c>
      <c r="D57" s="191">
        <f t="shared" si="12"/>
        <v>0.13082589435466416</v>
      </c>
      <c r="E57" s="191">
        <f t="shared" si="12"/>
        <v>9.143188402019943E-2</v>
      </c>
      <c r="F57" s="191">
        <f t="shared" si="12"/>
        <v>3.7165046580634284E-2</v>
      </c>
      <c r="G57" s="191">
        <f t="shared" si="12"/>
        <v>3.4187798651883969E-2</v>
      </c>
      <c r="H57" s="191">
        <f t="shared" si="12"/>
        <v>1</v>
      </c>
    </row>
    <row r="58" spans="1:8" x14ac:dyDescent="0.2">
      <c r="A58" s="33" t="s">
        <v>79</v>
      </c>
      <c r="B58" s="214">
        <f t="shared" si="11"/>
        <v>5086</v>
      </c>
      <c r="C58" s="191">
        <f t="shared" si="12"/>
        <v>0.69127372636440543</v>
      </c>
      <c r="D58" s="191">
        <f t="shared" si="12"/>
        <v>0.14430647880715794</v>
      </c>
      <c r="E58" s="191">
        <f t="shared" si="12"/>
        <v>0.10923504243491559</v>
      </c>
      <c r="F58" s="191">
        <f t="shared" si="12"/>
        <v>3.4773458706355301E-2</v>
      </c>
      <c r="G58" s="191">
        <f t="shared" si="12"/>
        <v>2.0411293687165731E-2</v>
      </c>
      <c r="H58" s="191">
        <f t="shared" si="12"/>
        <v>1</v>
      </c>
    </row>
    <row r="59" spans="1:8" x14ac:dyDescent="0.2">
      <c r="A59" s="33" t="s">
        <v>80</v>
      </c>
      <c r="B59" s="220">
        <f t="shared" si="11"/>
        <v>1396</v>
      </c>
      <c r="C59" s="193">
        <f t="shared" si="12"/>
        <v>0.65266742160144264</v>
      </c>
      <c r="D59" s="193">
        <f t="shared" si="12"/>
        <v>0.18692518010257853</v>
      </c>
      <c r="E59" s="193">
        <f t="shared" si="12"/>
        <v>0.12687322104526122</v>
      </c>
      <c r="F59" s="193">
        <f t="shared" si="12"/>
        <v>2.9484090982436938E-2</v>
      </c>
      <c r="G59" s="193">
        <f t="shared" si="12"/>
        <v>4.0500862682807644E-3</v>
      </c>
      <c r="H59" s="193">
        <f t="shared" si="12"/>
        <v>1</v>
      </c>
    </row>
    <row r="60" spans="1:8" x14ac:dyDescent="0.2">
      <c r="A60" s="33" t="s">
        <v>103</v>
      </c>
      <c r="B60" s="214">
        <f>SUM(B54:B59)</f>
        <v>95615</v>
      </c>
      <c r="C60" s="191">
        <f t="shared" si="12"/>
        <v>0.73995476243429359</v>
      </c>
      <c r="D60" s="191">
        <f t="shared" si="12"/>
        <v>0.11700684887824447</v>
      </c>
      <c r="E60" s="191">
        <f t="shared" si="12"/>
        <v>6.8848618128704395E-2</v>
      </c>
      <c r="F60" s="191">
        <f t="shared" si="12"/>
        <v>2.1226091025969365E-2</v>
      </c>
      <c r="G60" s="191">
        <f t="shared" si="12"/>
        <v>5.2963679532788382E-2</v>
      </c>
      <c r="H60" s="191">
        <f t="shared" si="12"/>
        <v>1</v>
      </c>
    </row>
    <row r="61" spans="1:8" x14ac:dyDescent="0.2">
      <c r="A61" s="33"/>
      <c r="B61" s="214"/>
      <c r="C61" s="191"/>
      <c r="D61" s="191"/>
      <c r="E61" s="191"/>
      <c r="F61" s="191"/>
      <c r="G61" s="191"/>
      <c r="H61" s="191"/>
    </row>
    <row r="62" spans="1:8" x14ac:dyDescent="0.2">
      <c r="A62" s="33" t="s">
        <v>81</v>
      </c>
      <c r="B62" s="214">
        <f t="shared" ref="B62:B67" si="13">B12</f>
        <v>20375</v>
      </c>
      <c r="C62" s="191">
        <f t="shared" ref="C62:H67" si="14">C36/$H36</f>
        <v>0.69534787469945036</v>
      </c>
      <c r="D62" s="191">
        <f t="shared" si="14"/>
        <v>0.14766917428524753</v>
      </c>
      <c r="E62" s="191">
        <f t="shared" si="14"/>
        <v>5.8470141580895925E-2</v>
      </c>
      <c r="F62" s="191">
        <f t="shared" si="14"/>
        <v>1.4457518693055189E-2</v>
      </c>
      <c r="G62" s="191">
        <f t="shared" si="14"/>
        <v>8.405529074135086E-2</v>
      </c>
      <c r="H62" s="191">
        <f t="shared" si="14"/>
        <v>1</v>
      </c>
    </row>
    <row r="63" spans="1:8" x14ac:dyDescent="0.2">
      <c r="A63" s="33" t="s">
        <v>82</v>
      </c>
      <c r="B63" s="214">
        <f t="shared" si="13"/>
        <v>7188</v>
      </c>
      <c r="C63" s="191">
        <f t="shared" si="14"/>
        <v>0.70276175625456128</v>
      </c>
      <c r="D63" s="191">
        <f t="shared" si="14"/>
        <v>9.5784682175144811E-2</v>
      </c>
      <c r="E63" s="191">
        <f t="shared" si="14"/>
        <v>7.8818075918625261E-2</v>
      </c>
      <c r="F63" s="191">
        <f t="shared" si="14"/>
        <v>5.8061358688684131E-2</v>
      </c>
      <c r="G63" s="191">
        <f t="shared" si="14"/>
        <v>6.4574126962984479E-2</v>
      </c>
      <c r="H63" s="191">
        <f t="shared" si="14"/>
        <v>1</v>
      </c>
    </row>
    <row r="64" spans="1:8" x14ac:dyDescent="0.2">
      <c r="A64" s="33" t="s">
        <v>83</v>
      </c>
      <c r="B64" s="214">
        <f t="shared" si="13"/>
        <v>4611</v>
      </c>
      <c r="C64" s="191">
        <f t="shared" si="14"/>
        <v>0.68159367719523056</v>
      </c>
      <c r="D64" s="191">
        <f t="shared" si="14"/>
        <v>0.11827743856554603</v>
      </c>
      <c r="E64" s="191">
        <f t="shared" si="14"/>
        <v>9.9587421535143147E-2</v>
      </c>
      <c r="F64" s="191">
        <f t="shared" si="14"/>
        <v>3.9725844903827842E-2</v>
      </c>
      <c r="G64" s="191">
        <f t="shared" si="14"/>
        <v>6.0815617800252325E-2</v>
      </c>
      <c r="H64" s="191">
        <f t="shared" si="14"/>
        <v>1</v>
      </c>
    </row>
    <row r="65" spans="1:8" x14ac:dyDescent="0.2">
      <c r="A65" s="33" t="s">
        <v>84</v>
      </c>
      <c r="B65" s="214">
        <f t="shared" si="13"/>
        <v>4159</v>
      </c>
      <c r="C65" s="191">
        <f t="shared" si="14"/>
        <v>0.67918153185685326</v>
      </c>
      <c r="D65" s="191">
        <f t="shared" si="14"/>
        <v>0.13266927801019116</v>
      </c>
      <c r="E65" s="191">
        <f t="shared" si="14"/>
        <v>9.5310063881696841E-2</v>
      </c>
      <c r="F65" s="191">
        <f t="shared" si="14"/>
        <v>5.6183370064858129E-2</v>
      </c>
      <c r="G65" s="191">
        <f t="shared" si="14"/>
        <v>3.6655756186400518E-2</v>
      </c>
      <c r="H65" s="191">
        <f t="shared" si="14"/>
        <v>1</v>
      </c>
    </row>
    <row r="66" spans="1:8" x14ac:dyDescent="0.2">
      <c r="A66" s="33" t="s">
        <v>85</v>
      </c>
      <c r="B66" s="220">
        <f t="shared" si="13"/>
        <v>1795</v>
      </c>
      <c r="C66" s="193">
        <f t="shared" si="14"/>
        <v>0.63378515726620399</v>
      </c>
      <c r="D66" s="193">
        <f t="shared" si="14"/>
        <v>0.17817909776256149</v>
      </c>
      <c r="E66" s="193">
        <f t="shared" si="14"/>
        <v>0.1128927198283658</v>
      </c>
      <c r="F66" s="193">
        <f t="shared" si="14"/>
        <v>5.4289230929881659E-2</v>
      </c>
      <c r="G66" s="193">
        <f t="shared" si="14"/>
        <v>2.085379421298721E-2</v>
      </c>
      <c r="H66" s="193">
        <f t="shared" si="14"/>
        <v>1</v>
      </c>
    </row>
    <row r="67" spans="1:8" x14ac:dyDescent="0.2">
      <c r="A67" s="33" t="s">
        <v>104</v>
      </c>
      <c r="B67" s="214">
        <f t="shared" si="13"/>
        <v>38128</v>
      </c>
      <c r="C67" s="191">
        <f t="shared" si="14"/>
        <v>0.68764993522602536</v>
      </c>
      <c r="D67" s="191">
        <f t="shared" si="14"/>
        <v>0.13501158585935105</v>
      </c>
      <c r="E67" s="191">
        <f t="shared" si="14"/>
        <v>7.6871620814963293E-2</v>
      </c>
      <c r="F67" s="191">
        <f t="shared" si="14"/>
        <v>3.4649513191431065E-2</v>
      </c>
      <c r="G67" s="191">
        <f t="shared" si="14"/>
        <v>6.5817344908229172E-2</v>
      </c>
      <c r="H67" s="191">
        <f t="shared" si="14"/>
        <v>1</v>
      </c>
    </row>
    <row r="68" spans="1:8" x14ac:dyDescent="0.2">
      <c r="A68" s="33"/>
      <c r="B68" s="214"/>
      <c r="C68" s="191"/>
      <c r="D68" s="191"/>
      <c r="E68" s="191"/>
      <c r="F68" s="191"/>
      <c r="G68" s="191"/>
      <c r="H68" s="191"/>
    </row>
    <row r="69" spans="1:8" x14ac:dyDescent="0.2">
      <c r="A69" s="33" t="s">
        <v>86</v>
      </c>
      <c r="B69" s="214">
        <f>B19</f>
        <v>10743</v>
      </c>
      <c r="C69" s="191">
        <f t="shared" ref="C69:H71" si="15">C43/$H43</f>
        <v>0.72582661006381999</v>
      </c>
      <c r="D69" s="191">
        <f t="shared" si="15"/>
        <v>0.12271529013399156</v>
      </c>
      <c r="E69" s="191">
        <f t="shared" si="15"/>
        <v>7.5693758347117446E-2</v>
      </c>
      <c r="F69" s="191">
        <f t="shared" si="15"/>
        <v>3.0861566028380551E-2</v>
      </c>
      <c r="G69" s="191">
        <f t="shared" si="15"/>
        <v>4.4902775426690716E-2</v>
      </c>
      <c r="H69" s="191">
        <f t="shared" si="15"/>
        <v>1</v>
      </c>
    </row>
    <row r="70" spans="1:8" x14ac:dyDescent="0.2">
      <c r="A70" s="33" t="s">
        <v>87</v>
      </c>
      <c r="B70" s="220">
        <f>B20</f>
        <v>7735</v>
      </c>
      <c r="C70" s="193">
        <f t="shared" si="15"/>
        <v>0.68339883007031832</v>
      </c>
      <c r="D70" s="193">
        <f t="shared" si="15"/>
        <v>0.12335543154492999</v>
      </c>
      <c r="E70" s="193">
        <f t="shared" si="15"/>
        <v>0.1041018428668007</v>
      </c>
      <c r="F70" s="193">
        <f t="shared" si="15"/>
        <v>5.2933807980477969E-2</v>
      </c>
      <c r="G70" s="193">
        <f t="shared" si="15"/>
        <v>3.6210087537473033E-2</v>
      </c>
      <c r="H70" s="193">
        <f t="shared" si="15"/>
        <v>1</v>
      </c>
    </row>
    <row r="71" spans="1:8" x14ac:dyDescent="0.2">
      <c r="A71" s="33" t="s">
        <v>105</v>
      </c>
      <c r="B71" s="214">
        <f>B21</f>
        <v>18478</v>
      </c>
      <c r="C71" s="191">
        <f t="shared" si="15"/>
        <v>0.70407576336988542</v>
      </c>
      <c r="D71" s="191">
        <f t="shared" si="15"/>
        <v>0.12304346232904616</v>
      </c>
      <c r="E71" s="191">
        <f t="shared" si="15"/>
        <v>9.0257327106798166E-2</v>
      </c>
      <c r="F71" s="191">
        <f t="shared" si="15"/>
        <v>4.2177028467495555E-2</v>
      </c>
      <c r="G71" s="191">
        <f t="shared" si="15"/>
        <v>4.0446418726774881E-2</v>
      </c>
      <c r="H71" s="191">
        <f t="shared" si="15"/>
        <v>1</v>
      </c>
    </row>
    <row r="72" spans="1:8" x14ac:dyDescent="0.2">
      <c r="A72" s="33"/>
      <c r="B72" s="214"/>
      <c r="C72" s="191"/>
      <c r="D72" s="191"/>
      <c r="E72" s="191"/>
      <c r="F72" s="191"/>
      <c r="G72" s="191"/>
      <c r="H72" s="191"/>
    </row>
    <row r="73" spans="1:8" ht="13.5" thickBot="1" x14ac:dyDescent="0.25">
      <c r="A73" s="33" t="s">
        <v>230</v>
      </c>
      <c r="B73" s="222">
        <f>B71+B67+B60</f>
        <v>152221</v>
      </c>
      <c r="C73" s="195">
        <f t="shared" ref="C73:H73" si="16">C47/$H47</f>
        <v>0.72057717563408996</v>
      </c>
      <c r="D73" s="195">
        <f t="shared" si="16"/>
        <v>0.12282283094182966</v>
      </c>
      <c r="E73" s="195">
        <f t="shared" si="16"/>
        <v>7.3973004273203108E-2</v>
      </c>
      <c r="F73" s="195">
        <f t="shared" si="16"/>
        <v>2.7788018181607539E-2</v>
      </c>
      <c r="G73" s="195">
        <f t="shared" si="16"/>
        <v>5.4838970969269658E-2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1330</v>
      </c>
      <c r="D1" s="22"/>
      <c r="E1" s="22"/>
      <c r="F1" s="22"/>
      <c r="G1" s="22"/>
      <c r="H1" s="22"/>
    </row>
    <row r="2" spans="1:17" x14ac:dyDescent="0.2">
      <c r="A2" s="22" t="s">
        <v>1212</v>
      </c>
    </row>
    <row r="3" spans="1:17" ht="34.5" x14ac:dyDescent="0.25">
      <c r="A3" s="22" t="s">
        <v>245</v>
      </c>
      <c r="B3" s="202" t="str">
        <f>"ANB"&amp;RIGHT(C1,2)</f>
        <v>ANB17</v>
      </c>
      <c r="C3" s="172" t="str">
        <f>RIGHT(C1,2)&amp;"/Pupil Salaries &amp; Benefits"</f>
        <v>17/Pupil Salaries &amp; Benefits</v>
      </c>
      <c r="D3" s="172" t="str">
        <f>RIGHT(C1,2)&amp;"/Pupil Purchased Services"</f>
        <v>17/Pupil Purchased Services</v>
      </c>
      <c r="E3" s="172" t="str">
        <f>RIGHT(C1,2)&amp;"/Pupil Supplies"</f>
        <v>17/Pupil Supplies</v>
      </c>
      <c r="F3" s="172" t="str">
        <f>RIGHT(C1,2)&amp;"/Pupil Capital Outlay"</f>
        <v>17/Pupil Capital Outlay</v>
      </c>
      <c r="G3" s="172" t="str">
        <f>RIGHT(C1,2)&amp;"/Pupil Other"</f>
        <v>17/Pupil Other</v>
      </c>
      <c r="H3" s="172" t="str">
        <f>RIGHT(C1,2)&amp;"/Pupil Total Expenditures"</f>
        <v>17/Pupil Total Expenditures</v>
      </c>
      <c r="K3" s="247"/>
      <c r="L3" s="247"/>
      <c r="M3" s="247"/>
      <c r="N3" s="247"/>
      <c r="O3" s="247"/>
      <c r="P3" s="247"/>
      <c r="Q3" s="247"/>
    </row>
    <row r="4" spans="1:17" ht="15" x14ac:dyDescent="0.25">
      <c r="A4" s="182" t="s">
        <v>102</v>
      </c>
      <c r="B4" s="214">
        <v>40904</v>
      </c>
      <c r="C4" s="214">
        <v>313463356.63</v>
      </c>
      <c r="D4" s="214">
        <v>45863364.329999998</v>
      </c>
      <c r="E4" s="214">
        <v>21433300.719999999</v>
      </c>
      <c r="F4" s="214">
        <v>3962847.5500000003</v>
      </c>
      <c r="G4" s="214">
        <v>17219949.619999997</v>
      </c>
      <c r="H4" s="214">
        <f t="shared" ref="H4:H9" si="0">SUM(C4:G4)</f>
        <v>401942818.84999996</v>
      </c>
      <c r="K4" s="294"/>
      <c r="L4" s="293"/>
      <c r="M4" s="293"/>
      <c r="N4" s="293"/>
      <c r="O4" s="293"/>
      <c r="P4" s="293"/>
      <c r="Q4" s="293"/>
    </row>
    <row r="5" spans="1:17" ht="15" x14ac:dyDescent="0.25">
      <c r="A5" s="33" t="s">
        <v>76</v>
      </c>
      <c r="B5" s="214">
        <v>20549</v>
      </c>
      <c r="C5" s="214">
        <v>164410558.59</v>
      </c>
      <c r="D5" s="214">
        <v>24017163.699999996</v>
      </c>
      <c r="E5" s="214">
        <v>15825172.350000001</v>
      </c>
      <c r="F5" s="214">
        <v>8378183.3799999999</v>
      </c>
      <c r="G5" s="214">
        <v>8570856.6699999999</v>
      </c>
      <c r="H5" s="214">
        <f t="shared" si="0"/>
        <v>221201934.68999997</v>
      </c>
      <c r="K5" s="294"/>
      <c r="L5" s="293"/>
      <c r="M5" s="293"/>
      <c r="N5" s="293"/>
      <c r="O5" s="293"/>
      <c r="P5" s="293"/>
      <c r="Q5" s="293"/>
    </row>
    <row r="6" spans="1:17" ht="15" x14ac:dyDescent="0.25">
      <c r="A6" s="33" t="s">
        <v>77</v>
      </c>
      <c r="B6" s="214">
        <v>15272</v>
      </c>
      <c r="C6" s="214">
        <v>124028501.77999999</v>
      </c>
      <c r="D6" s="214">
        <v>18130012.740000002</v>
      </c>
      <c r="E6" s="214">
        <v>13122070.769999998</v>
      </c>
      <c r="F6" s="214">
        <v>5608602.9400000004</v>
      </c>
      <c r="G6" s="214">
        <v>7846614.120000001</v>
      </c>
      <c r="H6" s="214">
        <f t="shared" si="0"/>
        <v>168735802.34999999</v>
      </c>
      <c r="K6" s="294"/>
      <c r="L6" s="293"/>
      <c r="M6" s="293"/>
      <c r="N6" s="293"/>
      <c r="O6" s="293"/>
      <c r="P6" s="293"/>
      <c r="Q6" s="293"/>
    </row>
    <row r="7" spans="1:17" ht="15" x14ac:dyDescent="0.25">
      <c r="A7" s="33" t="s">
        <v>78</v>
      </c>
      <c r="B7" s="214">
        <v>12245</v>
      </c>
      <c r="C7" s="214">
        <v>97276471.259999976</v>
      </c>
      <c r="D7" s="214">
        <v>18723651.760000009</v>
      </c>
      <c r="E7" s="214">
        <v>12636389.689999999</v>
      </c>
      <c r="F7" s="214">
        <v>5785544.0600000024</v>
      </c>
      <c r="G7" s="214">
        <v>4728403.790000001</v>
      </c>
      <c r="H7" s="214">
        <f t="shared" si="0"/>
        <v>139150460.55999997</v>
      </c>
      <c r="K7" s="294"/>
      <c r="L7" s="293"/>
      <c r="M7" s="293"/>
      <c r="N7" s="293"/>
      <c r="O7" s="293"/>
      <c r="P7" s="293"/>
      <c r="Q7" s="293"/>
    </row>
    <row r="8" spans="1:17" ht="15" x14ac:dyDescent="0.25">
      <c r="A8" s="33" t="s">
        <v>79</v>
      </c>
      <c r="B8" s="214">
        <v>4891</v>
      </c>
      <c r="C8" s="214">
        <v>43004111.090000011</v>
      </c>
      <c r="D8" s="214">
        <v>9014818.1899999976</v>
      </c>
      <c r="E8" s="214">
        <v>7233423.2700000014</v>
      </c>
      <c r="F8" s="214">
        <v>2758491.5900000003</v>
      </c>
      <c r="G8" s="214">
        <v>1535549.1500000001</v>
      </c>
      <c r="H8" s="214">
        <f t="shared" si="0"/>
        <v>63546393.290000014</v>
      </c>
      <c r="K8" s="294"/>
      <c r="L8" s="293"/>
      <c r="M8" s="293"/>
      <c r="N8" s="293"/>
      <c r="O8" s="293"/>
      <c r="P8" s="293"/>
      <c r="Q8" s="293"/>
    </row>
    <row r="9" spans="1:17" ht="15" x14ac:dyDescent="0.25">
      <c r="A9" s="33" t="s">
        <v>80</v>
      </c>
      <c r="B9" s="220">
        <v>1519</v>
      </c>
      <c r="C9" s="220">
        <v>16634041.960000001</v>
      </c>
      <c r="D9" s="220">
        <v>4328182.63</v>
      </c>
      <c r="E9" s="220">
        <v>3046855.3799999994</v>
      </c>
      <c r="F9" s="220">
        <v>880637.9800000001</v>
      </c>
      <c r="G9" s="220">
        <v>41022.78</v>
      </c>
      <c r="H9" s="220">
        <f t="shared" si="0"/>
        <v>24930740.73</v>
      </c>
      <c r="K9" s="294"/>
      <c r="L9" s="293"/>
      <c r="M9" s="293"/>
      <c r="N9" s="293"/>
      <c r="O9" s="293"/>
      <c r="P9" s="293"/>
      <c r="Q9" s="293"/>
    </row>
    <row r="10" spans="1:17" x14ac:dyDescent="0.2">
      <c r="A10" s="33" t="s">
        <v>103</v>
      </c>
      <c r="B10" s="221">
        <f t="shared" ref="B10:H10" si="1">SUM(B4:B9)</f>
        <v>95380</v>
      </c>
      <c r="C10" s="221">
        <f t="shared" si="1"/>
        <v>758817041.31000006</v>
      </c>
      <c r="D10" s="221">
        <f t="shared" si="1"/>
        <v>120077193.35000001</v>
      </c>
      <c r="E10" s="221">
        <f t="shared" si="1"/>
        <v>73297212.179999992</v>
      </c>
      <c r="F10" s="221">
        <f t="shared" si="1"/>
        <v>27374307.500000004</v>
      </c>
      <c r="G10" s="221">
        <f t="shared" si="1"/>
        <v>39942396.129999995</v>
      </c>
      <c r="H10" s="214">
        <f t="shared" si="1"/>
        <v>1019508150.4699999</v>
      </c>
    </row>
    <row r="11" spans="1:17" x14ac:dyDescent="0.2">
      <c r="A11" s="33"/>
      <c r="B11" s="182"/>
      <c r="C11" s="221"/>
      <c r="D11" s="221"/>
      <c r="E11" s="221"/>
      <c r="F11" s="221"/>
      <c r="G11" s="221"/>
      <c r="H11" s="214"/>
    </row>
    <row r="12" spans="1:17" ht="15" x14ac:dyDescent="0.25">
      <c r="A12" s="33" t="s">
        <v>81</v>
      </c>
      <c r="B12" s="214">
        <v>21519</v>
      </c>
      <c r="C12" s="214">
        <v>171784710.04000002</v>
      </c>
      <c r="D12" s="214">
        <v>36818988.969999999</v>
      </c>
      <c r="E12" s="214">
        <v>13989435.439999998</v>
      </c>
      <c r="F12" s="214">
        <v>6611597.1200000001</v>
      </c>
      <c r="G12" s="214">
        <v>6862069.29</v>
      </c>
      <c r="H12" s="214">
        <f>SUM(C12:G12)</f>
        <v>236066800.86000001</v>
      </c>
      <c r="K12" s="294"/>
      <c r="L12" s="293"/>
      <c r="M12" s="293"/>
      <c r="N12" s="293"/>
      <c r="O12" s="293"/>
      <c r="P12" s="293"/>
      <c r="Q12" s="293"/>
    </row>
    <row r="13" spans="1:17" ht="15" x14ac:dyDescent="0.25">
      <c r="A13" s="33" t="s">
        <v>82</v>
      </c>
      <c r="B13" s="214">
        <v>5945</v>
      </c>
      <c r="C13" s="214">
        <v>51430292.149999991</v>
      </c>
      <c r="D13" s="214">
        <v>7351863.7199999997</v>
      </c>
      <c r="E13" s="214">
        <v>6296949.4199999999</v>
      </c>
      <c r="F13" s="214">
        <v>1920931.32</v>
      </c>
      <c r="G13" s="214">
        <v>5896746.3800000008</v>
      </c>
      <c r="H13" s="214">
        <f>SUM(C13:G13)</f>
        <v>72896782.989999995</v>
      </c>
      <c r="K13" s="294"/>
      <c r="L13" s="293"/>
      <c r="M13" s="293"/>
      <c r="N13" s="293"/>
      <c r="O13" s="293"/>
      <c r="P13" s="293"/>
      <c r="Q13" s="293"/>
    </row>
    <row r="14" spans="1:17" ht="15" x14ac:dyDescent="0.25">
      <c r="A14" s="33" t="s">
        <v>83</v>
      </c>
      <c r="B14" s="214">
        <v>4371</v>
      </c>
      <c r="C14" s="214">
        <v>38781776.969999999</v>
      </c>
      <c r="D14" s="214">
        <v>6669032.1600000001</v>
      </c>
      <c r="E14" s="214">
        <v>5208175.5199999996</v>
      </c>
      <c r="F14" s="214">
        <v>3019901.2199999997</v>
      </c>
      <c r="G14" s="214">
        <v>2530552.52</v>
      </c>
      <c r="H14" s="214">
        <f>SUM(C14:G14)</f>
        <v>56209438.389999993</v>
      </c>
      <c r="K14" s="294"/>
      <c r="L14" s="293"/>
      <c r="M14" s="293"/>
      <c r="N14" s="293"/>
      <c r="O14" s="293"/>
      <c r="P14" s="293"/>
      <c r="Q14" s="293"/>
    </row>
    <row r="15" spans="1:17" ht="15" x14ac:dyDescent="0.25">
      <c r="A15" s="33" t="s">
        <v>84</v>
      </c>
      <c r="B15" s="214">
        <v>4839</v>
      </c>
      <c r="C15" s="214">
        <v>52022589.809999987</v>
      </c>
      <c r="D15" s="214">
        <v>11252277.040000001</v>
      </c>
      <c r="E15" s="214">
        <v>7509729.3200000003</v>
      </c>
      <c r="F15" s="214">
        <v>2976831.13</v>
      </c>
      <c r="G15" s="214">
        <v>2864698.05</v>
      </c>
      <c r="H15" s="214">
        <f>SUM(C15:G15)</f>
        <v>76626125.349999979</v>
      </c>
      <c r="K15" s="294"/>
      <c r="L15" s="293"/>
      <c r="M15" s="293"/>
      <c r="N15" s="293"/>
      <c r="O15" s="293"/>
      <c r="P15" s="293"/>
      <c r="Q15" s="293"/>
    </row>
    <row r="16" spans="1:17" ht="15" x14ac:dyDescent="0.25">
      <c r="A16" s="33" t="s">
        <v>85</v>
      </c>
      <c r="B16" s="220">
        <v>1571</v>
      </c>
      <c r="C16" s="220">
        <v>23309316.950000007</v>
      </c>
      <c r="D16" s="220">
        <v>6265286.2000000002</v>
      </c>
      <c r="E16" s="220">
        <v>4643360.1100000003</v>
      </c>
      <c r="F16" s="220">
        <v>2410040.52</v>
      </c>
      <c r="G16" s="220">
        <v>597446.79000000015</v>
      </c>
      <c r="H16" s="220">
        <f>SUM(C16:G16)</f>
        <v>37225450.570000008</v>
      </c>
      <c r="K16" s="294"/>
      <c r="L16" s="293"/>
      <c r="M16" s="293"/>
      <c r="N16" s="293"/>
      <c r="O16" s="293"/>
      <c r="P16" s="293"/>
      <c r="Q16" s="293"/>
    </row>
    <row r="17" spans="1:17" x14ac:dyDescent="0.2">
      <c r="A17" s="33" t="s">
        <v>104</v>
      </c>
      <c r="B17" s="221">
        <f t="shared" ref="B17:H17" si="2">SUM(B12:B16)</f>
        <v>38245</v>
      </c>
      <c r="C17" s="221">
        <f t="shared" si="2"/>
        <v>337328685.91999996</v>
      </c>
      <c r="D17" s="221">
        <f t="shared" si="2"/>
        <v>68357448.089999989</v>
      </c>
      <c r="E17" s="221">
        <f t="shared" si="2"/>
        <v>37647649.810000002</v>
      </c>
      <c r="F17" s="221">
        <f t="shared" si="2"/>
        <v>16939301.309999999</v>
      </c>
      <c r="G17" s="221">
        <f t="shared" si="2"/>
        <v>18751513.030000001</v>
      </c>
      <c r="H17" s="221">
        <f t="shared" si="2"/>
        <v>479024598.15999997</v>
      </c>
    </row>
    <row r="18" spans="1:17" x14ac:dyDescent="0.2">
      <c r="A18" s="33"/>
      <c r="B18" s="182"/>
      <c r="C18" s="221"/>
      <c r="D18" s="221"/>
      <c r="E18" s="221"/>
      <c r="F18" s="221"/>
      <c r="G18" s="221"/>
      <c r="H18" s="214"/>
    </row>
    <row r="19" spans="1:17" ht="15" x14ac:dyDescent="0.25">
      <c r="A19" s="33" t="s">
        <v>86</v>
      </c>
      <c r="B19" s="214">
        <v>10156</v>
      </c>
      <c r="C19" s="214">
        <v>80749408.879999995</v>
      </c>
      <c r="D19" s="214">
        <v>13355054.59</v>
      </c>
      <c r="E19" s="214">
        <v>8867633.6399999987</v>
      </c>
      <c r="F19" s="214">
        <v>3868439.03</v>
      </c>
      <c r="G19" s="214">
        <v>4865959.49</v>
      </c>
      <c r="H19" s="214">
        <f>SUM(C19:G19)</f>
        <v>111706495.63</v>
      </c>
      <c r="K19" s="294"/>
      <c r="L19" s="293"/>
      <c r="M19" s="293"/>
      <c r="N19" s="293"/>
      <c r="O19" s="293"/>
      <c r="P19" s="293"/>
      <c r="Q19" s="293"/>
    </row>
    <row r="20" spans="1:17" ht="15" x14ac:dyDescent="0.25">
      <c r="A20" s="33" t="s">
        <v>87</v>
      </c>
      <c r="B20" s="220">
        <v>7652</v>
      </c>
      <c r="C20" s="220">
        <v>83453966.479999974</v>
      </c>
      <c r="D20" s="220">
        <v>15527528.760000002</v>
      </c>
      <c r="E20" s="220">
        <v>13038167.349999998</v>
      </c>
      <c r="F20" s="220">
        <v>4790850.57</v>
      </c>
      <c r="G20" s="220">
        <v>4908842.0500000007</v>
      </c>
      <c r="H20" s="220">
        <f>SUM(C20:G20)</f>
        <v>121719355.20999996</v>
      </c>
      <c r="K20" s="294"/>
      <c r="L20" s="293"/>
      <c r="M20" s="293"/>
      <c r="N20" s="293"/>
      <c r="O20" s="293"/>
      <c r="P20" s="293"/>
      <c r="Q20" s="293"/>
    </row>
    <row r="21" spans="1:17" ht="15" x14ac:dyDescent="0.25">
      <c r="A21" s="33" t="s">
        <v>105</v>
      </c>
      <c r="B21" s="221">
        <f t="shared" ref="B21:H21" si="3">SUM(B19:B20)</f>
        <v>17808</v>
      </c>
      <c r="C21" s="221">
        <f t="shared" si="3"/>
        <v>164203375.35999995</v>
      </c>
      <c r="D21" s="221">
        <f t="shared" si="3"/>
        <v>28882583.350000001</v>
      </c>
      <c r="E21" s="221">
        <f t="shared" si="3"/>
        <v>21905800.989999995</v>
      </c>
      <c r="F21" s="221">
        <f t="shared" si="3"/>
        <v>8659289.5999999996</v>
      </c>
      <c r="G21" s="221">
        <f t="shared" si="3"/>
        <v>9774801.540000001</v>
      </c>
      <c r="H21" s="221">
        <f t="shared" si="3"/>
        <v>233425850.83999997</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151433</v>
      </c>
      <c r="C23" s="222">
        <f t="shared" si="4"/>
        <v>1260349102.5899999</v>
      </c>
      <c r="D23" s="222">
        <f t="shared" si="4"/>
        <v>217317224.79000002</v>
      </c>
      <c r="E23" s="222">
        <f t="shared" si="4"/>
        <v>132850662.97999999</v>
      </c>
      <c r="F23" s="222">
        <f t="shared" si="4"/>
        <v>52972898.409999996</v>
      </c>
      <c r="G23" s="222">
        <f t="shared" si="4"/>
        <v>68468710.699999988</v>
      </c>
      <c r="H23" s="222">
        <f t="shared" si="4"/>
        <v>1731958599.4699998</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FY2017</v>
      </c>
      <c r="C26" s="22"/>
      <c r="D26" s="22"/>
      <c r="E26" s="22"/>
      <c r="F26" s="22"/>
      <c r="G26" s="22"/>
      <c r="H26" s="22"/>
    </row>
    <row r="27" spans="1:17" ht="33.75" x14ac:dyDescent="0.2">
      <c r="A27" s="155" t="s">
        <v>245</v>
      </c>
      <c r="B27" s="172" t="str">
        <f t="shared" ref="B27:H34" si="5">B3</f>
        <v>ANB17</v>
      </c>
      <c r="C27" s="172" t="str">
        <f t="shared" si="5"/>
        <v>17/Pupil Salaries &amp; Benefits</v>
      </c>
      <c r="D27" s="172" t="str">
        <f t="shared" si="5"/>
        <v>17/Pupil Purchased Services</v>
      </c>
      <c r="E27" s="172" t="str">
        <f t="shared" si="5"/>
        <v>17/Pupil Supplies</v>
      </c>
      <c r="F27" s="172" t="str">
        <f t="shared" si="5"/>
        <v>17/Pupil Capital Outlay</v>
      </c>
      <c r="G27" s="172" t="str">
        <f t="shared" si="5"/>
        <v>17/Pupil Other</v>
      </c>
      <c r="H27" s="172" t="str">
        <f t="shared" si="5"/>
        <v>17/Pupil Total Expenditures</v>
      </c>
    </row>
    <row r="28" spans="1:17" x14ac:dyDescent="0.2">
      <c r="A28" s="33" t="s">
        <v>102</v>
      </c>
      <c r="B28" s="214">
        <f t="shared" si="5"/>
        <v>40904</v>
      </c>
      <c r="C28" s="182">
        <f t="shared" ref="C28:H34" si="6">C4/$B28</f>
        <v>7663.391272980637</v>
      </c>
      <c r="D28" s="182">
        <f t="shared" si="6"/>
        <v>1121.2439939859182</v>
      </c>
      <c r="E28" s="182">
        <f t="shared" si="6"/>
        <v>523.99033639741833</v>
      </c>
      <c r="F28" s="182">
        <f t="shared" si="6"/>
        <v>96.881663162526905</v>
      </c>
      <c r="G28" s="182">
        <f t="shared" si="6"/>
        <v>420.98449100332482</v>
      </c>
      <c r="H28" s="182">
        <f t="shared" si="6"/>
        <v>9826.4917575298259</v>
      </c>
    </row>
    <row r="29" spans="1:17" x14ac:dyDescent="0.2">
      <c r="A29" s="33" t="s">
        <v>76</v>
      </c>
      <c r="B29" s="214">
        <f t="shared" si="5"/>
        <v>20549</v>
      </c>
      <c r="C29" s="182">
        <f t="shared" si="6"/>
        <v>8000.9031383522315</v>
      </c>
      <c r="D29" s="182">
        <f t="shared" si="6"/>
        <v>1168.7753029344492</v>
      </c>
      <c r="E29" s="182">
        <f t="shared" si="6"/>
        <v>770.11885493211355</v>
      </c>
      <c r="F29" s="182">
        <f t="shared" si="6"/>
        <v>407.71732833714537</v>
      </c>
      <c r="G29" s="182">
        <f t="shared" si="6"/>
        <v>417.0936138011582</v>
      </c>
      <c r="H29" s="182">
        <f t="shared" si="6"/>
        <v>10764.608238357096</v>
      </c>
    </row>
    <row r="30" spans="1:17" x14ac:dyDescent="0.2">
      <c r="A30" s="33" t="s">
        <v>77</v>
      </c>
      <c r="B30" s="214">
        <f t="shared" si="5"/>
        <v>15272</v>
      </c>
      <c r="C30" s="182">
        <f t="shared" si="6"/>
        <v>8121.3005356207432</v>
      </c>
      <c r="D30" s="182">
        <f t="shared" si="6"/>
        <v>1187.1406980094291</v>
      </c>
      <c r="E30" s="182">
        <f t="shared" si="6"/>
        <v>859.22412061288617</v>
      </c>
      <c r="F30" s="182">
        <f t="shared" si="6"/>
        <v>367.24744237820852</v>
      </c>
      <c r="G30" s="182">
        <f t="shared" si="6"/>
        <v>513.79086694604507</v>
      </c>
      <c r="H30" s="182">
        <f t="shared" si="6"/>
        <v>11048.703663567312</v>
      </c>
    </row>
    <row r="31" spans="1:17" x14ac:dyDescent="0.2">
      <c r="A31" s="33" t="s">
        <v>78</v>
      </c>
      <c r="B31" s="214">
        <f t="shared" si="5"/>
        <v>12245</v>
      </c>
      <c r="C31" s="182">
        <f t="shared" si="6"/>
        <v>7944.1789514087359</v>
      </c>
      <c r="D31" s="182">
        <f t="shared" si="6"/>
        <v>1529.0854846876284</v>
      </c>
      <c r="E31" s="182">
        <f t="shared" si="6"/>
        <v>1031.9632249897918</v>
      </c>
      <c r="F31" s="182">
        <f t="shared" si="6"/>
        <v>472.48216088199285</v>
      </c>
      <c r="G31" s="182">
        <f t="shared" si="6"/>
        <v>386.14975826868118</v>
      </c>
      <c r="H31" s="182">
        <f t="shared" si="6"/>
        <v>11363.859580236829</v>
      </c>
    </row>
    <row r="32" spans="1:17" x14ac:dyDescent="0.2">
      <c r="A32" s="33" t="s">
        <v>79</v>
      </c>
      <c r="B32" s="214">
        <f t="shared" si="5"/>
        <v>4891</v>
      </c>
      <c r="C32" s="182">
        <f t="shared" si="6"/>
        <v>8792.4986894295671</v>
      </c>
      <c r="D32" s="182">
        <f t="shared" si="6"/>
        <v>1843.1441811490488</v>
      </c>
      <c r="E32" s="182">
        <f t="shared" si="6"/>
        <v>1478.9252238805973</v>
      </c>
      <c r="F32" s="182">
        <f t="shared" si="6"/>
        <v>563.9933735432428</v>
      </c>
      <c r="G32" s="182">
        <f t="shared" si="6"/>
        <v>313.95402780617462</v>
      </c>
      <c r="H32" s="182">
        <f t="shared" si="6"/>
        <v>12992.515495808631</v>
      </c>
    </row>
    <row r="33" spans="1:8" x14ac:dyDescent="0.2">
      <c r="A33" s="33" t="s">
        <v>80</v>
      </c>
      <c r="B33" s="220">
        <f t="shared" si="5"/>
        <v>1519</v>
      </c>
      <c r="C33" s="183">
        <f t="shared" si="6"/>
        <v>10950.653034891377</v>
      </c>
      <c r="D33" s="183">
        <f t="shared" si="6"/>
        <v>2849.3631533903886</v>
      </c>
      <c r="E33" s="183">
        <f t="shared" si="6"/>
        <v>2005.8297432521392</v>
      </c>
      <c r="F33" s="183">
        <f t="shared" si="6"/>
        <v>579.74850559578681</v>
      </c>
      <c r="G33" s="183">
        <f t="shared" si="6"/>
        <v>27.00643844634628</v>
      </c>
      <c r="H33" s="183">
        <f t="shared" si="6"/>
        <v>16412.600875576038</v>
      </c>
    </row>
    <row r="34" spans="1:8" x14ac:dyDescent="0.2">
      <c r="A34" s="33" t="s">
        <v>103</v>
      </c>
      <c r="B34" s="214">
        <f t="shared" si="5"/>
        <v>95380</v>
      </c>
      <c r="C34" s="182">
        <f t="shared" si="6"/>
        <v>7955.7249036485646</v>
      </c>
      <c r="D34" s="182">
        <f t="shared" si="6"/>
        <v>1258.9347174460056</v>
      </c>
      <c r="E34" s="182">
        <f t="shared" si="6"/>
        <v>768.4756990983434</v>
      </c>
      <c r="F34" s="182">
        <f t="shared" si="6"/>
        <v>287.00259488362343</v>
      </c>
      <c r="G34" s="182">
        <f t="shared" si="6"/>
        <v>418.77119029146564</v>
      </c>
      <c r="H34" s="182">
        <f t="shared" si="6"/>
        <v>10688.909105368</v>
      </c>
    </row>
    <row r="35" spans="1:8" x14ac:dyDescent="0.2">
      <c r="A35" s="33"/>
      <c r="B35" s="214"/>
      <c r="C35" s="182"/>
      <c r="D35" s="182"/>
      <c r="E35" s="182"/>
      <c r="F35" s="182"/>
      <c r="G35" s="182"/>
      <c r="H35" s="182"/>
    </row>
    <row r="36" spans="1:8" x14ac:dyDescent="0.2">
      <c r="A36" s="33" t="s">
        <v>81</v>
      </c>
      <c r="B36" s="214">
        <f t="shared" ref="B36:B41" si="7">B12</f>
        <v>21519</v>
      </c>
      <c r="C36" s="182">
        <f t="shared" ref="C36:H41" si="8">C12/$B36</f>
        <v>7982.9318295459834</v>
      </c>
      <c r="D36" s="182">
        <f t="shared" si="8"/>
        <v>1710.999069194665</v>
      </c>
      <c r="E36" s="182">
        <f t="shared" si="8"/>
        <v>650.09691156652252</v>
      </c>
      <c r="F36" s="182">
        <f t="shared" si="8"/>
        <v>307.24462660904317</v>
      </c>
      <c r="G36" s="182">
        <f t="shared" si="8"/>
        <v>318.88420883870066</v>
      </c>
      <c r="H36" s="182">
        <f t="shared" si="8"/>
        <v>10970.156645754914</v>
      </c>
    </row>
    <row r="37" spans="1:8" x14ac:dyDescent="0.2">
      <c r="A37" s="33" t="s">
        <v>82</v>
      </c>
      <c r="B37" s="214">
        <f t="shared" si="7"/>
        <v>5945</v>
      </c>
      <c r="C37" s="182">
        <f t="shared" si="8"/>
        <v>8651.0163414634135</v>
      </c>
      <c r="D37" s="182">
        <f t="shared" si="8"/>
        <v>1236.6465466778805</v>
      </c>
      <c r="E37" s="182">
        <f t="shared" si="8"/>
        <v>1059.2009116904962</v>
      </c>
      <c r="F37" s="182">
        <f t="shared" si="8"/>
        <v>323.11712699747687</v>
      </c>
      <c r="G37" s="182">
        <f t="shared" si="8"/>
        <v>991.88332716568561</v>
      </c>
      <c r="H37" s="182">
        <f t="shared" si="8"/>
        <v>12261.864253994952</v>
      </c>
    </row>
    <row r="38" spans="1:8" x14ac:dyDescent="0.2">
      <c r="A38" s="33" t="s">
        <v>83</v>
      </c>
      <c r="B38" s="214">
        <f t="shared" si="7"/>
        <v>4371</v>
      </c>
      <c r="C38" s="182">
        <f t="shared" si="8"/>
        <v>8872.5181811942348</v>
      </c>
      <c r="D38" s="182">
        <f t="shared" si="8"/>
        <v>1525.7451750171585</v>
      </c>
      <c r="E38" s="182">
        <f t="shared" si="8"/>
        <v>1191.5295172729352</v>
      </c>
      <c r="F38" s="182">
        <f t="shared" si="8"/>
        <v>690.89481125600548</v>
      </c>
      <c r="G38" s="182">
        <f t="shared" si="8"/>
        <v>578.94132235186453</v>
      </c>
      <c r="H38" s="182">
        <f t="shared" si="8"/>
        <v>12859.629007092197</v>
      </c>
    </row>
    <row r="39" spans="1:8" x14ac:dyDescent="0.2">
      <c r="A39" s="33" t="s">
        <v>84</v>
      </c>
      <c r="B39" s="214">
        <f t="shared" si="7"/>
        <v>4839</v>
      </c>
      <c r="C39" s="182">
        <f t="shared" si="8"/>
        <v>10750.690185988838</v>
      </c>
      <c r="D39" s="182">
        <f t="shared" si="8"/>
        <v>2325.3310684025628</v>
      </c>
      <c r="E39" s="182">
        <f t="shared" si="8"/>
        <v>1551.9176110766689</v>
      </c>
      <c r="F39" s="182">
        <f t="shared" si="8"/>
        <v>615.17485637528409</v>
      </c>
      <c r="G39" s="182">
        <f t="shared" si="8"/>
        <v>592.00207687538739</v>
      </c>
      <c r="H39" s="182">
        <f t="shared" si="8"/>
        <v>15835.11579871874</v>
      </c>
    </row>
    <row r="40" spans="1:8" x14ac:dyDescent="0.2">
      <c r="A40" s="33" t="s">
        <v>85</v>
      </c>
      <c r="B40" s="220">
        <f t="shared" si="7"/>
        <v>1571</v>
      </c>
      <c r="C40" s="183">
        <f t="shared" si="8"/>
        <v>14837.24821769574</v>
      </c>
      <c r="D40" s="183">
        <f t="shared" si="8"/>
        <v>3988.0879694462128</v>
      </c>
      <c r="E40" s="183">
        <f t="shared" si="8"/>
        <v>2955.6716168045832</v>
      </c>
      <c r="F40" s="183">
        <f t="shared" si="8"/>
        <v>1534.0805346912794</v>
      </c>
      <c r="G40" s="183">
        <f t="shared" si="8"/>
        <v>380.29712921705931</v>
      </c>
      <c r="H40" s="183">
        <f t="shared" si="8"/>
        <v>23695.385467854874</v>
      </c>
    </row>
    <row r="41" spans="1:8" x14ac:dyDescent="0.2">
      <c r="A41" s="33" t="s">
        <v>104</v>
      </c>
      <c r="B41" s="214">
        <f t="shared" si="7"/>
        <v>38245</v>
      </c>
      <c r="C41" s="182">
        <f t="shared" si="8"/>
        <v>8820.2035800758258</v>
      </c>
      <c r="D41" s="182">
        <f t="shared" si="8"/>
        <v>1787.3564672506207</v>
      </c>
      <c r="E41" s="182">
        <f t="shared" si="8"/>
        <v>984.38095986403459</v>
      </c>
      <c r="F41" s="182">
        <f t="shared" si="8"/>
        <v>442.91544803242249</v>
      </c>
      <c r="G41" s="182">
        <f t="shared" si="8"/>
        <v>490.29972623872402</v>
      </c>
      <c r="H41" s="182">
        <f t="shared" si="8"/>
        <v>12525.156181461629</v>
      </c>
    </row>
    <row r="42" spans="1:8" x14ac:dyDescent="0.2">
      <c r="A42" s="33"/>
      <c r="B42" s="214"/>
      <c r="C42" s="182"/>
      <c r="D42" s="182"/>
      <c r="E42" s="182"/>
      <c r="F42" s="182"/>
      <c r="G42" s="182"/>
      <c r="H42" s="182"/>
    </row>
    <row r="43" spans="1:8" x14ac:dyDescent="0.2">
      <c r="A43" s="33" t="s">
        <v>86</v>
      </c>
      <c r="B43" s="214">
        <f>B19</f>
        <v>10156</v>
      </c>
      <c r="C43" s="182">
        <f t="shared" ref="C43:H45" si="9">C19/$B43</f>
        <v>7950.9067428121307</v>
      </c>
      <c r="D43" s="182">
        <f t="shared" si="9"/>
        <v>1314.9915901929894</v>
      </c>
      <c r="E43" s="182">
        <f t="shared" si="9"/>
        <v>873.14234344229999</v>
      </c>
      <c r="F43" s="182">
        <f t="shared" si="9"/>
        <v>380.90183438361555</v>
      </c>
      <c r="G43" s="182">
        <f t="shared" si="9"/>
        <v>479.12165124064592</v>
      </c>
      <c r="H43" s="182">
        <f t="shared" si="9"/>
        <v>10999.064162071681</v>
      </c>
    </row>
    <row r="44" spans="1:8" x14ac:dyDescent="0.2">
      <c r="A44" s="33" t="s">
        <v>87</v>
      </c>
      <c r="B44" s="220">
        <f>B20</f>
        <v>7652</v>
      </c>
      <c r="C44" s="183">
        <f t="shared" si="9"/>
        <v>10906.163941453211</v>
      </c>
      <c r="D44" s="183">
        <f t="shared" si="9"/>
        <v>2029.2118086774701</v>
      </c>
      <c r="E44" s="183">
        <f t="shared" si="9"/>
        <v>1703.8901398327232</v>
      </c>
      <c r="F44" s="183">
        <f t="shared" si="9"/>
        <v>626.09129247255623</v>
      </c>
      <c r="G44" s="183">
        <f t="shared" si="9"/>
        <v>641.51098405645598</v>
      </c>
      <c r="H44" s="183">
        <f t="shared" si="9"/>
        <v>15906.868166492415</v>
      </c>
    </row>
    <row r="45" spans="1:8" x14ac:dyDescent="0.2">
      <c r="A45" s="33" t="s">
        <v>105</v>
      </c>
      <c r="B45" s="214">
        <f>B21</f>
        <v>17808</v>
      </c>
      <c r="C45" s="182">
        <f t="shared" si="9"/>
        <v>9220.7645642407879</v>
      </c>
      <c r="D45" s="182">
        <f t="shared" si="9"/>
        <v>1621.8881036612759</v>
      </c>
      <c r="E45" s="182">
        <f t="shared" si="9"/>
        <v>1230.1101184860734</v>
      </c>
      <c r="F45" s="182">
        <f t="shared" si="9"/>
        <v>486.25840071877803</v>
      </c>
      <c r="G45" s="182">
        <f t="shared" si="9"/>
        <v>548.89945754716985</v>
      </c>
      <c r="H45" s="182">
        <f t="shared" si="9"/>
        <v>13107.920644654087</v>
      </c>
    </row>
    <row r="46" spans="1:8" x14ac:dyDescent="0.2">
      <c r="A46" s="33"/>
      <c r="B46" s="214"/>
      <c r="C46" s="182"/>
      <c r="D46" s="182"/>
      <c r="E46" s="182"/>
      <c r="F46" s="182"/>
      <c r="G46" s="182"/>
      <c r="H46" s="182"/>
    </row>
    <row r="47" spans="1:8" ht="13.5" thickBot="1" x14ac:dyDescent="0.25">
      <c r="A47" s="33" t="s">
        <v>209</v>
      </c>
      <c r="B47" s="222">
        <f>B23</f>
        <v>151433</v>
      </c>
      <c r="C47" s="192">
        <f t="shared" ref="C47:H47" si="10">C23/$B47</f>
        <v>8322.8167083132466</v>
      </c>
      <c r="D47" s="192">
        <f t="shared" si="10"/>
        <v>1435.0717795328628</v>
      </c>
      <c r="E47" s="192">
        <f t="shared" si="10"/>
        <v>877.29004232895068</v>
      </c>
      <c r="F47" s="192">
        <f t="shared" si="10"/>
        <v>349.81079692009007</v>
      </c>
      <c r="G47" s="192">
        <f t="shared" si="10"/>
        <v>452.13864019071133</v>
      </c>
      <c r="H47" s="222">
        <f t="shared" si="10"/>
        <v>11437.127967285862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FY2017</v>
      </c>
      <c r="C52" s="182"/>
      <c r="D52" s="182"/>
      <c r="E52" s="182"/>
      <c r="F52" s="182"/>
      <c r="G52" s="182"/>
      <c r="H52" s="182"/>
    </row>
    <row r="53" spans="1:8" ht="33.75" x14ac:dyDescent="0.2">
      <c r="A53" s="155" t="s">
        <v>245</v>
      </c>
      <c r="B53" s="172" t="str">
        <f t="shared" ref="B53:H59" si="11">B3</f>
        <v>ANB17</v>
      </c>
      <c r="C53" s="172" t="str">
        <f t="shared" si="11"/>
        <v>17/Pupil Salaries &amp; Benefits</v>
      </c>
      <c r="D53" s="172" t="str">
        <f t="shared" si="11"/>
        <v>17/Pupil Purchased Services</v>
      </c>
      <c r="E53" s="172" t="str">
        <f t="shared" si="11"/>
        <v>17/Pupil Supplies</v>
      </c>
      <c r="F53" s="172" t="str">
        <f t="shared" si="11"/>
        <v>17/Pupil Capital Outlay</v>
      </c>
      <c r="G53" s="172" t="str">
        <f t="shared" si="11"/>
        <v>17/Pupil Other</v>
      </c>
      <c r="H53" s="172" t="str">
        <f t="shared" si="11"/>
        <v>17/Pupil Total Expenditures</v>
      </c>
    </row>
    <row r="54" spans="1:8" x14ac:dyDescent="0.2">
      <c r="A54" s="33" t="s">
        <v>102</v>
      </c>
      <c r="B54" s="214">
        <f t="shared" si="11"/>
        <v>40904</v>
      </c>
      <c r="C54" s="191">
        <f t="shared" ref="C54:H60" si="12">C28/$H28</f>
        <v>0.77987052369003895</v>
      </c>
      <c r="D54" s="191">
        <f t="shared" si="12"/>
        <v>0.1141042013419218</v>
      </c>
      <c r="E54" s="191">
        <f t="shared" si="12"/>
        <v>5.3324253388387165E-2</v>
      </c>
      <c r="F54" s="191">
        <f t="shared" si="12"/>
        <v>9.8592321199769597E-3</v>
      </c>
      <c r="G54" s="191">
        <f t="shared" si="12"/>
        <v>4.2841789459675025E-2</v>
      </c>
      <c r="H54" s="191">
        <f t="shared" si="12"/>
        <v>1</v>
      </c>
    </row>
    <row r="55" spans="1:8" x14ac:dyDescent="0.2">
      <c r="A55" s="33" t="s">
        <v>76</v>
      </c>
      <c r="B55" s="214">
        <f t="shared" si="11"/>
        <v>20549</v>
      </c>
      <c r="C55" s="191">
        <f t="shared" si="12"/>
        <v>0.74326003893415604</v>
      </c>
      <c r="D55" s="191">
        <f t="shared" si="12"/>
        <v>0.10857573978120255</v>
      </c>
      <c r="E55" s="191">
        <f t="shared" si="12"/>
        <v>7.1541744750912531E-2</v>
      </c>
      <c r="F55" s="191">
        <f t="shared" si="12"/>
        <v>3.7875723789403001E-2</v>
      </c>
      <c r="G55" s="191">
        <f t="shared" si="12"/>
        <v>3.8746752744326103E-2</v>
      </c>
      <c r="H55" s="191">
        <f t="shared" si="12"/>
        <v>1</v>
      </c>
    </row>
    <row r="56" spans="1:8" x14ac:dyDescent="0.2">
      <c r="A56" s="33" t="s">
        <v>77</v>
      </c>
      <c r="B56" s="214">
        <f t="shared" si="11"/>
        <v>15272</v>
      </c>
      <c r="C56" s="191">
        <f t="shared" si="12"/>
        <v>0.73504555673806593</v>
      </c>
      <c r="D56" s="191">
        <f t="shared" si="12"/>
        <v>0.10744615243179897</v>
      </c>
      <c r="E56" s="191">
        <f t="shared" si="12"/>
        <v>7.7766962240660473E-2</v>
      </c>
      <c r="F56" s="191">
        <f t="shared" si="12"/>
        <v>3.3238962104594517E-2</v>
      </c>
      <c r="G56" s="191">
        <f t="shared" si="12"/>
        <v>4.6502366484880146E-2</v>
      </c>
      <c r="H56" s="191">
        <f t="shared" si="12"/>
        <v>1</v>
      </c>
    </row>
    <row r="57" spans="1:8" x14ac:dyDescent="0.2">
      <c r="A57" s="33" t="s">
        <v>78</v>
      </c>
      <c r="B57" s="214">
        <f t="shared" si="11"/>
        <v>12245</v>
      </c>
      <c r="C57" s="191">
        <f t="shared" si="12"/>
        <v>0.69907401577054462</v>
      </c>
      <c r="D57" s="191">
        <f t="shared" si="12"/>
        <v>0.13455687954353987</v>
      </c>
      <c r="E57" s="191">
        <f t="shared" si="12"/>
        <v>9.0810979993496632E-2</v>
      </c>
      <c r="F57" s="191">
        <f t="shared" si="12"/>
        <v>4.1577613446024828E-2</v>
      </c>
      <c r="G57" s="191">
        <f t="shared" si="12"/>
        <v>3.3980511246394125E-2</v>
      </c>
      <c r="H57" s="191">
        <f t="shared" si="12"/>
        <v>1</v>
      </c>
    </row>
    <row r="58" spans="1:8" x14ac:dyDescent="0.2">
      <c r="A58" s="33" t="s">
        <v>79</v>
      </c>
      <c r="B58" s="214">
        <f t="shared" si="11"/>
        <v>4891</v>
      </c>
      <c r="C58" s="191">
        <f t="shared" si="12"/>
        <v>0.67673567079954733</v>
      </c>
      <c r="D58" s="191">
        <f t="shared" si="12"/>
        <v>0.14186199598866323</v>
      </c>
      <c r="E58" s="191">
        <f t="shared" si="12"/>
        <v>0.11382901366234249</v>
      </c>
      <c r="F58" s="191">
        <f t="shared" si="12"/>
        <v>4.340909762433505E-2</v>
      </c>
      <c r="G58" s="191">
        <f t="shared" si="12"/>
        <v>2.4164221925111869E-2</v>
      </c>
      <c r="H58" s="191">
        <f t="shared" si="12"/>
        <v>1</v>
      </c>
    </row>
    <row r="59" spans="1:8" x14ac:dyDescent="0.2">
      <c r="A59" s="33" t="s">
        <v>80</v>
      </c>
      <c r="B59" s="220">
        <f t="shared" si="11"/>
        <v>1519</v>
      </c>
      <c r="C59" s="193">
        <f t="shared" si="12"/>
        <v>0.66721009777233364</v>
      </c>
      <c r="D59" s="193">
        <f t="shared" si="12"/>
        <v>0.17360826446651673</v>
      </c>
      <c r="E59" s="193">
        <f t="shared" si="12"/>
        <v>0.12221278994464917</v>
      </c>
      <c r="F59" s="193">
        <f t="shared" si="12"/>
        <v>3.5323378055121271E-2</v>
      </c>
      <c r="G59" s="193">
        <f t="shared" si="12"/>
        <v>1.6454697613792078E-3</v>
      </c>
      <c r="H59" s="193">
        <f t="shared" si="12"/>
        <v>1</v>
      </c>
    </row>
    <row r="60" spans="1:8" x14ac:dyDescent="0.2">
      <c r="A60" s="33" t="s">
        <v>103</v>
      </c>
      <c r="B60" s="214">
        <f>SUM(B54:B59)</f>
        <v>95380</v>
      </c>
      <c r="C60" s="191">
        <f t="shared" si="12"/>
        <v>0.74429717992953803</v>
      </c>
      <c r="D60" s="191">
        <f t="shared" si="12"/>
        <v>0.11777953250755636</v>
      </c>
      <c r="E60" s="191">
        <f t="shared" si="12"/>
        <v>7.189467994562819E-2</v>
      </c>
      <c r="F60" s="191">
        <f t="shared" si="12"/>
        <v>2.6850503831068216E-2</v>
      </c>
      <c r="G60" s="191">
        <f t="shared" si="12"/>
        <v>3.9178103786209346E-2</v>
      </c>
      <c r="H60" s="191">
        <f t="shared" si="12"/>
        <v>1</v>
      </c>
    </row>
    <row r="61" spans="1:8" x14ac:dyDescent="0.2">
      <c r="A61" s="33"/>
      <c r="B61" s="214"/>
      <c r="C61" s="191"/>
      <c r="D61" s="191"/>
      <c r="E61" s="191"/>
      <c r="F61" s="191"/>
      <c r="G61" s="191"/>
      <c r="H61" s="191"/>
    </row>
    <row r="62" spans="1:8" x14ac:dyDescent="0.2">
      <c r="A62" s="33" t="s">
        <v>81</v>
      </c>
      <c r="B62" s="214">
        <f t="shared" ref="B62:B67" si="13">B12</f>
        <v>21519</v>
      </c>
      <c r="C62" s="191">
        <f t="shared" ref="C62:H67" si="14">C36/$H36</f>
        <v>0.72769533629541316</v>
      </c>
      <c r="D62" s="191">
        <f t="shared" si="14"/>
        <v>0.15596851753769303</v>
      </c>
      <c r="E62" s="191">
        <f t="shared" si="14"/>
        <v>5.9260494864317947E-2</v>
      </c>
      <c r="F62" s="191">
        <f t="shared" si="14"/>
        <v>2.8007314437751136E-2</v>
      </c>
      <c r="G62" s="191">
        <f t="shared" si="14"/>
        <v>2.9068336864824827E-2</v>
      </c>
      <c r="H62" s="191">
        <f t="shared" si="14"/>
        <v>1</v>
      </c>
    </row>
    <row r="63" spans="1:8" x14ac:dyDescent="0.2">
      <c r="A63" s="33" t="s">
        <v>82</v>
      </c>
      <c r="B63" s="214">
        <f t="shared" si="13"/>
        <v>5945</v>
      </c>
      <c r="C63" s="191">
        <f t="shared" si="14"/>
        <v>0.70552211003680665</v>
      </c>
      <c r="D63" s="191">
        <f t="shared" si="14"/>
        <v>0.10085306125249081</v>
      </c>
      <c r="E63" s="191">
        <f t="shared" si="14"/>
        <v>8.6381718941751076E-2</v>
      </c>
      <c r="F63" s="191">
        <f t="shared" si="14"/>
        <v>2.6351386730790495E-2</v>
      </c>
      <c r="G63" s="191">
        <f t="shared" si="14"/>
        <v>8.0891723038160945E-2</v>
      </c>
      <c r="H63" s="191">
        <f t="shared" si="14"/>
        <v>1</v>
      </c>
    </row>
    <row r="64" spans="1:8" x14ac:dyDescent="0.2">
      <c r="A64" s="33" t="s">
        <v>83</v>
      </c>
      <c r="B64" s="214">
        <f t="shared" si="13"/>
        <v>4371</v>
      </c>
      <c r="C64" s="191">
        <f t="shared" si="14"/>
        <v>0.68995133345611792</v>
      </c>
      <c r="D64" s="191">
        <f t="shared" si="14"/>
        <v>0.11864612689648332</v>
      </c>
      <c r="E64" s="191">
        <f t="shared" si="14"/>
        <v>9.2656601260875909E-2</v>
      </c>
      <c r="F64" s="191">
        <f t="shared" si="14"/>
        <v>5.3725874274831026E-2</v>
      </c>
      <c r="G64" s="191">
        <f t="shared" si="14"/>
        <v>4.5020064111691974E-2</v>
      </c>
      <c r="H64" s="191">
        <f t="shared" si="14"/>
        <v>1</v>
      </c>
    </row>
    <row r="65" spans="1:8" x14ac:dyDescent="0.2">
      <c r="A65" s="33" t="s">
        <v>84</v>
      </c>
      <c r="B65" s="214">
        <f t="shared" si="13"/>
        <v>4839</v>
      </c>
      <c r="C65" s="191">
        <f t="shared" si="14"/>
        <v>0.67891452911627614</v>
      </c>
      <c r="D65" s="191">
        <f t="shared" si="14"/>
        <v>0.14684648334499148</v>
      </c>
      <c r="E65" s="191">
        <f t="shared" si="14"/>
        <v>9.8004816055859756E-2</v>
      </c>
      <c r="F65" s="191">
        <f t="shared" si="14"/>
        <v>3.8848775354396806E-2</v>
      </c>
      <c r="G65" s="191">
        <f t="shared" si="14"/>
        <v>3.7385396128475919E-2</v>
      </c>
      <c r="H65" s="191">
        <f t="shared" si="14"/>
        <v>1</v>
      </c>
    </row>
    <row r="66" spans="1:8" x14ac:dyDescent="0.2">
      <c r="A66" s="33" t="s">
        <v>85</v>
      </c>
      <c r="B66" s="220">
        <f t="shared" si="13"/>
        <v>1571</v>
      </c>
      <c r="C66" s="193">
        <f t="shared" si="14"/>
        <v>0.62616614689910532</v>
      </c>
      <c r="D66" s="193">
        <f t="shared" si="14"/>
        <v>0.16830652427479803</v>
      </c>
      <c r="E66" s="193">
        <f t="shared" si="14"/>
        <v>0.12473616944591355</v>
      </c>
      <c r="F66" s="193">
        <f t="shared" si="14"/>
        <v>6.4741742090349649E-2</v>
      </c>
      <c r="G66" s="193">
        <f t="shared" si="14"/>
        <v>1.6049417289833494E-2</v>
      </c>
      <c r="H66" s="193">
        <f t="shared" si="14"/>
        <v>1</v>
      </c>
    </row>
    <row r="67" spans="1:8" x14ac:dyDescent="0.2">
      <c r="A67" s="33" t="s">
        <v>104</v>
      </c>
      <c r="B67" s="214">
        <f t="shared" si="13"/>
        <v>38245</v>
      </c>
      <c r="C67" s="191">
        <f t="shared" si="14"/>
        <v>0.7041990895994199</v>
      </c>
      <c r="D67" s="191">
        <f t="shared" si="14"/>
        <v>0.14270133173237959</v>
      </c>
      <c r="E67" s="191">
        <f t="shared" si="14"/>
        <v>7.8592310195780876E-2</v>
      </c>
      <c r="F67" s="191">
        <f t="shared" si="14"/>
        <v>3.5362069870871364E-2</v>
      </c>
      <c r="G67" s="191">
        <f t="shared" si="14"/>
        <v>3.9145198601548158E-2</v>
      </c>
      <c r="H67" s="191">
        <f t="shared" si="14"/>
        <v>1</v>
      </c>
    </row>
    <row r="68" spans="1:8" x14ac:dyDescent="0.2">
      <c r="A68" s="33"/>
      <c r="B68" s="214"/>
      <c r="C68" s="191"/>
      <c r="D68" s="191"/>
      <c r="E68" s="191"/>
      <c r="F68" s="191"/>
      <c r="G68" s="191"/>
      <c r="H68" s="191"/>
    </row>
    <row r="69" spans="1:8" x14ac:dyDescent="0.2">
      <c r="A69" s="33" t="s">
        <v>86</v>
      </c>
      <c r="B69" s="214">
        <f>B19</f>
        <v>10156</v>
      </c>
      <c r="C69" s="191">
        <f t="shared" ref="C69:H71" si="15">C43/$H43</f>
        <v>0.7228712030091996</v>
      </c>
      <c r="D69" s="191">
        <f t="shared" si="15"/>
        <v>0.11955486128788159</v>
      </c>
      <c r="E69" s="191">
        <f t="shared" si="15"/>
        <v>7.9383330306697933E-2</v>
      </c>
      <c r="F69" s="191">
        <f t="shared" si="15"/>
        <v>3.4630385710185042E-2</v>
      </c>
      <c r="G69" s="191">
        <f t="shared" si="15"/>
        <v>4.3560219686035816E-2</v>
      </c>
      <c r="H69" s="191">
        <f t="shared" si="15"/>
        <v>1</v>
      </c>
    </row>
    <row r="70" spans="1:8" x14ac:dyDescent="0.2">
      <c r="A70" s="33" t="s">
        <v>87</v>
      </c>
      <c r="B70" s="220">
        <f>B20</f>
        <v>7652</v>
      </c>
      <c r="C70" s="193">
        <f t="shared" si="15"/>
        <v>0.68562609731228463</v>
      </c>
      <c r="D70" s="193">
        <f t="shared" si="15"/>
        <v>0.12756827977942101</v>
      </c>
      <c r="E70" s="193">
        <f t="shared" si="15"/>
        <v>0.10711663175922605</v>
      </c>
      <c r="F70" s="193">
        <f t="shared" si="15"/>
        <v>3.9359808978074541E-2</v>
      </c>
      <c r="G70" s="193">
        <f t="shared" si="15"/>
        <v>4.0329182170993877E-2</v>
      </c>
      <c r="H70" s="193">
        <f t="shared" si="15"/>
        <v>1</v>
      </c>
    </row>
    <row r="71" spans="1:8" x14ac:dyDescent="0.2">
      <c r="A71" s="33" t="s">
        <v>105</v>
      </c>
      <c r="B71" s="214">
        <f>B21</f>
        <v>17808</v>
      </c>
      <c r="C71" s="191">
        <f t="shared" si="15"/>
        <v>0.70344983115238569</v>
      </c>
      <c r="D71" s="191">
        <f t="shared" si="15"/>
        <v>0.1237334393172989</v>
      </c>
      <c r="E71" s="191">
        <f t="shared" si="15"/>
        <v>9.3844794444018817E-2</v>
      </c>
      <c r="F71" s="191">
        <f t="shared" si="15"/>
        <v>3.7096532234278737E-2</v>
      </c>
      <c r="G71" s="191">
        <f t="shared" si="15"/>
        <v>4.1875402852017733E-2</v>
      </c>
      <c r="H71" s="191">
        <f t="shared" si="15"/>
        <v>1</v>
      </c>
    </row>
    <row r="72" spans="1:8" x14ac:dyDescent="0.2">
      <c r="A72" s="33"/>
      <c r="B72" s="214"/>
      <c r="C72" s="191"/>
      <c r="D72" s="191"/>
      <c r="E72" s="191"/>
      <c r="F72" s="191"/>
      <c r="G72" s="191"/>
      <c r="H72" s="191"/>
    </row>
    <row r="73" spans="1:8" ht="13.5" thickBot="1" x14ac:dyDescent="0.25">
      <c r="A73" s="33" t="s">
        <v>230</v>
      </c>
      <c r="B73" s="222">
        <f>B71+B67+B60</f>
        <v>151433</v>
      </c>
      <c r="C73" s="195">
        <f t="shared" ref="C73:H73" si="16">C47/$H47</f>
        <v>0.72770163384718423</v>
      </c>
      <c r="D73" s="195">
        <f t="shared" si="16"/>
        <v>0.12547483805704229</v>
      </c>
      <c r="E73" s="195">
        <f t="shared" si="16"/>
        <v>7.6705449553271007E-2</v>
      </c>
      <c r="F73" s="195">
        <f t="shared" si="16"/>
        <v>3.0585545420202503E-2</v>
      </c>
      <c r="G73" s="195">
        <f t="shared" si="16"/>
        <v>3.9532533122299943E-2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1320</v>
      </c>
      <c r="D1" s="22"/>
      <c r="E1" s="22"/>
      <c r="F1" s="22"/>
      <c r="G1" s="22"/>
      <c r="H1" s="22"/>
    </row>
    <row r="2" spans="1:17" x14ac:dyDescent="0.2">
      <c r="A2" s="22" t="s">
        <v>1212</v>
      </c>
    </row>
    <row r="3" spans="1:17" ht="34.5" x14ac:dyDescent="0.25">
      <c r="A3" s="22" t="s">
        <v>245</v>
      </c>
      <c r="B3" s="202" t="s">
        <v>1308</v>
      </c>
      <c r="C3" s="172" t="s">
        <v>1321</v>
      </c>
      <c r="D3" s="172" t="s">
        <v>1322</v>
      </c>
      <c r="E3" s="172" t="s">
        <v>1323</v>
      </c>
      <c r="F3" s="172" t="s">
        <v>1324</v>
      </c>
      <c r="G3" s="172" t="s">
        <v>1317</v>
      </c>
      <c r="H3" s="172" t="s">
        <v>1325</v>
      </c>
      <c r="K3" s="247"/>
      <c r="L3" s="247"/>
      <c r="M3" s="247"/>
      <c r="N3" s="247"/>
      <c r="O3" s="247"/>
      <c r="P3" s="247"/>
      <c r="Q3" s="247"/>
    </row>
    <row r="4" spans="1:17" ht="15" x14ac:dyDescent="0.25">
      <c r="A4" s="182" t="s">
        <v>102</v>
      </c>
      <c r="B4" s="214">
        <v>40614</v>
      </c>
      <c r="C4" s="214">
        <v>304164067.79000002</v>
      </c>
      <c r="D4" s="214">
        <v>46371600.920000002</v>
      </c>
      <c r="E4" s="214">
        <v>20059375.050000001</v>
      </c>
      <c r="F4" s="214">
        <v>5593338.6099999994</v>
      </c>
      <c r="G4" s="214">
        <v>15221559.859999999</v>
      </c>
      <c r="H4" s="214">
        <f t="shared" ref="H4:H9" si="0">SUM(C4:G4)</f>
        <v>391409942.23000008</v>
      </c>
      <c r="K4" s="294"/>
      <c r="L4" s="293"/>
      <c r="M4" s="293"/>
      <c r="N4" s="293"/>
      <c r="O4" s="293"/>
      <c r="P4" s="293"/>
      <c r="Q4" s="293"/>
    </row>
    <row r="5" spans="1:17" ht="15" x14ac:dyDescent="0.25">
      <c r="A5" s="33" t="s">
        <v>76</v>
      </c>
      <c r="B5" s="214">
        <v>21203</v>
      </c>
      <c r="C5" s="214">
        <v>167132249.86999997</v>
      </c>
      <c r="D5" s="214">
        <v>24788627.610000003</v>
      </c>
      <c r="E5" s="214">
        <v>16793222.319999997</v>
      </c>
      <c r="F5" s="214">
        <v>17682627.829999998</v>
      </c>
      <c r="G5" s="214">
        <v>8239532.0699999984</v>
      </c>
      <c r="H5" s="214">
        <f t="shared" si="0"/>
        <v>234636259.69999999</v>
      </c>
      <c r="K5" s="294"/>
      <c r="L5" s="293"/>
      <c r="M5" s="293"/>
      <c r="N5" s="293"/>
      <c r="O5" s="293"/>
      <c r="P5" s="293"/>
      <c r="Q5" s="293"/>
    </row>
    <row r="6" spans="1:17" ht="15" x14ac:dyDescent="0.25">
      <c r="A6" s="33" t="s">
        <v>77</v>
      </c>
      <c r="B6" s="214">
        <v>14952</v>
      </c>
      <c r="C6" s="214">
        <v>121193131.10000001</v>
      </c>
      <c r="D6" s="214">
        <v>18801105.380000003</v>
      </c>
      <c r="E6" s="214">
        <v>14269620.820000004</v>
      </c>
      <c r="F6" s="214">
        <v>4857208.4800000004</v>
      </c>
      <c r="G6" s="214">
        <v>5708463.8900000006</v>
      </c>
      <c r="H6" s="214">
        <f t="shared" si="0"/>
        <v>164829529.67000002</v>
      </c>
      <c r="K6" s="294"/>
      <c r="L6" s="293"/>
      <c r="M6" s="293"/>
      <c r="N6" s="293"/>
      <c r="O6" s="293"/>
      <c r="P6" s="293"/>
      <c r="Q6" s="293"/>
    </row>
    <row r="7" spans="1:17" ht="15" x14ac:dyDescent="0.25">
      <c r="A7" s="33" t="s">
        <v>78</v>
      </c>
      <c r="B7" s="214">
        <v>11202</v>
      </c>
      <c r="C7" s="214">
        <v>84256112.230000004</v>
      </c>
      <c r="D7" s="214">
        <v>17085626.18</v>
      </c>
      <c r="E7" s="214">
        <v>11834934.760000002</v>
      </c>
      <c r="F7" s="214">
        <v>4760024.13</v>
      </c>
      <c r="G7" s="214">
        <v>4396100.7699999996</v>
      </c>
      <c r="H7" s="214">
        <f t="shared" si="0"/>
        <v>122332798.06999999</v>
      </c>
      <c r="K7" s="294"/>
      <c r="L7" s="293"/>
      <c r="M7" s="293"/>
      <c r="N7" s="293"/>
      <c r="O7" s="293"/>
      <c r="P7" s="293"/>
      <c r="Q7" s="293"/>
    </row>
    <row r="8" spans="1:17" ht="15" x14ac:dyDescent="0.25">
      <c r="A8" s="33" t="s">
        <v>79</v>
      </c>
      <c r="B8" s="214">
        <v>5029</v>
      </c>
      <c r="C8" s="214">
        <v>43374816.169999994</v>
      </c>
      <c r="D8" s="214">
        <v>9666104.7799999993</v>
      </c>
      <c r="E8" s="214">
        <v>7744497.5700000012</v>
      </c>
      <c r="F8" s="214">
        <v>2586824.17</v>
      </c>
      <c r="G8" s="214">
        <v>1326351.5399999998</v>
      </c>
      <c r="H8" s="214">
        <f t="shared" si="0"/>
        <v>64698594.229999997</v>
      </c>
      <c r="K8" s="294"/>
      <c r="L8" s="293"/>
      <c r="M8" s="293"/>
      <c r="N8" s="293"/>
      <c r="O8" s="293"/>
      <c r="P8" s="293"/>
      <c r="Q8" s="293"/>
    </row>
    <row r="9" spans="1:17" ht="15" x14ac:dyDescent="0.25">
      <c r="A9" s="33" t="s">
        <v>80</v>
      </c>
      <c r="B9" s="220">
        <v>1578</v>
      </c>
      <c r="C9" s="220">
        <v>16055985.879999999</v>
      </c>
      <c r="D9" s="220">
        <v>4227890.25</v>
      </c>
      <c r="E9" s="220">
        <v>2870784.2499999991</v>
      </c>
      <c r="F9" s="220">
        <v>1026049.5999999999</v>
      </c>
      <c r="G9" s="220">
        <v>38134.080000000002</v>
      </c>
      <c r="H9" s="220">
        <f t="shared" si="0"/>
        <v>24218844.059999999</v>
      </c>
      <c r="K9" s="294"/>
      <c r="L9" s="293"/>
      <c r="M9" s="293"/>
      <c r="N9" s="293"/>
      <c r="O9" s="293"/>
      <c r="P9" s="293"/>
      <c r="Q9" s="293"/>
    </row>
    <row r="10" spans="1:17" x14ac:dyDescent="0.2">
      <c r="A10" s="33" t="s">
        <v>103</v>
      </c>
      <c r="B10" s="221">
        <f t="shared" ref="B10:H10" si="1">SUM(B4:B9)</f>
        <v>94578</v>
      </c>
      <c r="C10" s="221">
        <f t="shared" si="1"/>
        <v>736176363.03999996</v>
      </c>
      <c r="D10" s="221">
        <f t="shared" si="1"/>
        <v>120940955.12</v>
      </c>
      <c r="E10" s="221">
        <f t="shared" si="1"/>
        <v>73572434.770000011</v>
      </c>
      <c r="F10" s="221">
        <f t="shared" si="1"/>
        <v>36506072.82</v>
      </c>
      <c r="G10" s="221">
        <f t="shared" si="1"/>
        <v>34930142.210000001</v>
      </c>
      <c r="H10" s="214">
        <f t="shared" si="1"/>
        <v>1002125967.96</v>
      </c>
    </row>
    <row r="11" spans="1:17" x14ac:dyDescent="0.2">
      <c r="A11" s="33"/>
      <c r="B11" s="182"/>
      <c r="C11" s="221"/>
      <c r="D11" s="221"/>
      <c r="E11" s="221"/>
      <c r="F11" s="221"/>
      <c r="G11" s="221"/>
      <c r="H11" s="214"/>
    </row>
    <row r="12" spans="1:17" ht="15" x14ac:dyDescent="0.25">
      <c r="A12" s="33" t="s">
        <v>81</v>
      </c>
      <c r="B12" s="214">
        <v>19924</v>
      </c>
      <c r="C12" s="214">
        <v>157990765.39999998</v>
      </c>
      <c r="D12" s="214">
        <v>31766472.899999999</v>
      </c>
      <c r="E12" s="214">
        <v>12302762.16</v>
      </c>
      <c r="F12" s="214">
        <v>3035170.7</v>
      </c>
      <c r="G12" s="214">
        <v>9392703.5099999998</v>
      </c>
      <c r="H12" s="214">
        <f>SUM(C12:G12)</f>
        <v>214487874.66999996</v>
      </c>
      <c r="K12" s="294"/>
      <c r="L12" s="293"/>
      <c r="M12" s="293"/>
      <c r="N12" s="293"/>
      <c r="O12" s="293"/>
      <c r="P12" s="293"/>
      <c r="Q12" s="293"/>
    </row>
    <row r="13" spans="1:17" ht="15" x14ac:dyDescent="0.25">
      <c r="A13" s="33" t="s">
        <v>82</v>
      </c>
      <c r="B13" s="214">
        <v>7627</v>
      </c>
      <c r="C13" s="214">
        <v>64975146.859999999</v>
      </c>
      <c r="D13" s="214">
        <v>8924675</v>
      </c>
      <c r="E13" s="214">
        <v>8608549.4000000004</v>
      </c>
      <c r="F13" s="214">
        <v>3973934.6100000003</v>
      </c>
      <c r="G13" s="214">
        <v>3979375.71</v>
      </c>
      <c r="H13" s="214">
        <f>SUM(C13:G13)</f>
        <v>90461681.579999998</v>
      </c>
      <c r="K13" s="294"/>
      <c r="L13" s="293"/>
      <c r="M13" s="293"/>
      <c r="N13" s="293"/>
      <c r="O13" s="293"/>
      <c r="P13" s="293"/>
      <c r="Q13" s="293"/>
    </row>
    <row r="14" spans="1:17" ht="15" x14ac:dyDescent="0.25">
      <c r="A14" s="33" t="s">
        <v>83</v>
      </c>
      <c r="B14" s="214">
        <v>4350</v>
      </c>
      <c r="C14" s="214">
        <v>38499760.659999996</v>
      </c>
      <c r="D14" s="214">
        <v>7400204.379999999</v>
      </c>
      <c r="E14" s="214">
        <v>5448525.6300000008</v>
      </c>
      <c r="F14" s="214">
        <v>1712750.46</v>
      </c>
      <c r="G14" s="214">
        <v>1603404.27</v>
      </c>
      <c r="H14" s="214">
        <f>SUM(C14:G14)</f>
        <v>54664645.399999999</v>
      </c>
      <c r="K14" s="294"/>
      <c r="L14" s="293"/>
      <c r="M14" s="293"/>
      <c r="N14" s="293"/>
      <c r="O14" s="293"/>
      <c r="P14" s="293"/>
      <c r="Q14" s="293"/>
    </row>
    <row r="15" spans="1:17" ht="15" x14ac:dyDescent="0.25">
      <c r="A15" s="33" t="s">
        <v>84</v>
      </c>
      <c r="B15" s="214">
        <v>4471</v>
      </c>
      <c r="C15" s="214">
        <v>46012595.610000007</v>
      </c>
      <c r="D15" s="214">
        <v>9969194.8899999987</v>
      </c>
      <c r="E15" s="214">
        <v>7153074.7599999988</v>
      </c>
      <c r="F15" s="214">
        <v>2990553.9299999997</v>
      </c>
      <c r="G15" s="214">
        <v>2396139.6200000006</v>
      </c>
      <c r="H15" s="214">
        <f>SUM(C15:G15)</f>
        <v>68521558.810000002</v>
      </c>
      <c r="K15" s="294"/>
      <c r="L15" s="293"/>
      <c r="M15" s="293"/>
      <c r="N15" s="293"/>
      <c r="O15" s="293"/>
      <c r="P15" s="293"/>
      <c r="Q15" s="293"/>
    </row>
    <row r="16" spans="1:17" ht="15" x14ac:dyDescent="0.25">
      <c r="A16" s="33" t="s">
        <v>85</v>
      </c>
      <c r="B16" s="220">
        <v>1663</v>
      </c>
      <c r="C16" s="220">
        <v>24166871.949999996</v>
      </c>
      <c r="D16" s="220">
        <v>6300235.5300000012</v>
      </c>
      <c r="E16" s="220">
        <v>4618668.24</v>
      </c>
      <c r="F16" s="220">
        <v>2369235.0700000003</v>
      </c>
      <c r="G16" s="220">
        <v>601291.83000000007</v>
      </c>
      <c r="H16" s="220">
        <f>SUM(C16:G16)</f>
        <v>38056302.619999997</v>
      </c>
      <c r="K16" s="294"/>
      <c r="L16" s="293"/>
      <c r="M16" s="293"/>
      <c r="N16" s="293"/>
      <c r="O16" s="293"/>
      <c r="P16" s="293"/>
      <c r="Q16" s="293"/>
    </row>
    <row r="17" spans="1:17" x14ac:dyDescent="0.2">
      <c r="A17" s="33" t="s">
        <v>104</v>
      </c>
      <c r="B17" s="221">
        <f t="shared" ref="B17:H17" si="2">SUM(B12:B16)</f>
        <v>38035</v>
      </c>
      <c r="C17" s="221">
        <f t="shared" si="2"/>
        <v>331645140.47999996</v>
      </c>
      <c r="D17" s="221">
        <f t="shared" si="2"/>
        <v>64360782.700000003</v>
      </c>
      <c r="E17" s="221">
        <f t="shared" si="2"/>
        <v>38131580.190000005</v>
      </c>
      <c r="F17" s="221">
        <f t="shared" si="2"/>
        <v>14081644.77</v>
      </c>
      <c r="G17" s="221">
        <f t="shared" si="2"/>
        <v>17972914.939999998</v>
      </c>
      <c r="H17" s="221">
        <f t="shared" si="2"/>
        <v>466192063.07999992</v>
      </c>
    </row>
    <row r="18" spans="1:17" x14ac:dyDescent="0.2">
      <c r="A18" s="33"/>
      <c r="B18" s="182"/>
      <c r="C18" s="221"/>
      <c r="D18" s="221"/>
      <c r="E18" s="221"/>
      <c r="F18" s="221"/>
      <c r="G18" s="221"/>
      <c r="H18" s="214"/>
    </row>
    <row r="19" spans="1:17" ht="15" x14ac:dyDescent="0.25">
      <c r="A19" s="33" t="s">
        <v>86</v>
      </c>
      <c r="B19" s="214">
        <v>10031</v>
      </c>
      <c r="C19" s="214">
        <v>77657438.299999997</v>
      </c>
      <c r="D19" s="214">
        <v>13227093.050000003</v>
      </c>
      <c r="E19" s="214">
        <v>9411230.6999999993</v>
      </c>
      <c r="F19" s="214">
        <v>3846775.75</v>
      </c>
      <c r="G19" s="214">
        <v>4768999.68</v>
      </c>
      <c r="H19" s="214">
        <f>SUM(C19:G19)</f>
        <v>108911537.47999999</v>
      </c>
      <c r="K19" s="294"/>
      <c r="L19" s="293"/>
      <c r="M19" s="293"/>
      <c r="N19" s="293"/>
      <c r="O19" s="293"/>
      <c r="P19" s="293"/>
      <c r="Q19" s="293"/>
    </row>
    <row r="20" spans="1:17" ht="15" x14ac:dyDescent="0.25">
      <c r="A20" s="33" t="s">
        <v>87</v>
      </c>
      <c r="B20" s="220">
        <v>7543</v>
      </c>
      <c r="C20" s="220">
        <v>80070783.169999972</v>
      </c>
      <c r="D20" s="220">
        <v>14721802.68</v>
      </c>
      <c r="E20" s="220">
        <v>15161558.589999996</v>
      </c>
      <c r="F20" s="220">
        <v>4115266.1500000004</v>
      </c>
      <c r="G20" s="220">
        <v>3867106.26</v>
      </c>
      <c r="H20" s="220">
        <f>SUM(C20:G20)</f>
        <v>117936516.84999998</v>
      </c>
      <c r="K20" s="294"/>
      <c r="L20" s="293"/>
      <c r="M20" s="293"/>
      <c r="N20" s="293"/>
      <c r="O20" s="293"/>
      <c r="P20" s="293"/>
      <c r="Q20" s="293"/>
    </row>
    <row r="21" spans="1:17" ht="15" x14ac:dyDescent="0.25">
      <c r="A21" s="33" t="s">
        <v>105</v>
      </c>
      <c r="B21" s="221">
        <f t="shared" ref="B21:H21" si="3">SUM(B19:B20)</f>
        <v>17574</v>
      </c>
      <c r="C21" s="221">
        <f t="shared" si="3"/>
        <v>157728221.46999997</v>
      </c>
      <c r="D21" s="221">
        <f t="shared" si="3"/>
        <v>27948895.730000004</v>
      </c>
      <c r="E21" s="221">
        <f t="shared" si="3"/>
        <v>24572789.289999995</v>
      </c>
      <c r="F21" s="221">
        <f t="shared" si="3"/>
        <v>7962041.9000000004</v>
      </c>
      <c r="G21" s="221">
        <f t="shared" si="3"/>
        <v>8636105.9399999995</v>
      </c>
      <c r="H21" s="221">
        <f t="shared" si="3"/>
        <v>226848054.32999998</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150187</v>
      </c>
      <c r="C23" s="222">
        <f t="shared" si="4"/>
        <v>1225549724.9899998</v>
      </c>
      <c r="D23" s="222">
        <f t="shared" si="4"/>
        <v>213250633.55000001</v>
      </c>
      <c r="E23" s="222">
        <f t="shared" si="4"/>
        <v>136276804.25</v>
      </c>
      <c r="F23" s="222">
        <f t="shared" si="4"/>
        <v>58549759.490000002</v>
      </c>
      <c r="G23" s="222">
        <f t="shared" si="4"/>
        <v>61539163.089999996</v>
      </c>
      <c r="H23" s="222">
        <f t="shared" si="4"/>
        <v>1695166085.3699999</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FY2016</v>
      </c>
      <c r="C26" s="22"/>
      <c r="D26" s="22"/>
      <c r="E26" s="22"/>
      <c r="F26" s="22"/>
      <c r="G26" s="22"/>
      <c r="H26" s="22"/>
    </row>
    <row r="27" spans="1:17" ht="33.75" x14ac:dyDescent="0.2">
      <c r="A27" s="155" t="s">
        <v>245</v>
      </c>
      <c r="B27" s="172" t="str">
        <f t="shared" ref="B27:H34" si="5">B3</f>
        <v>ANB16</v>
      </c>
      <c r="C27" s="172" t="str">
        <f t="shared" si="5"/>
        <v>16/Pupil Salaries &amp; Benefits</v>
      </c>
      <c r="D27" s="172" t="str">
        <f t="shared" si="5"/>
        <v>16/Pupil Purchased Services</v>
      </c>
      <c r="E27" s="172" t="str">
        <f t="shared" si="5"/>
        <v>16/Pupil Supplies</v>
      </c>
      <c r="F27" s="172" t="str">
        <f t="shared" si="5"/>
        <v>16/Pupil Capital Outlay</v>
      </c>
      <c r="G27" s="172" t="str">
        <f t="shared" si="5"/>
        <v>16/Pupil Other</v>
      </c>
      <c r="H27" s="172" t="str">
        <f t="shared" si="5"/>
        <v>16/Pupil Total Expenditures</v>
      </c>
    </row>
    <row r="28" spans="1:17" x14ac:dyDescent="0.2">
      <c r="A28" s="33" t="s">
        <v>102</v>
      </c>
      <c r="B28" s="214">
        <f t="shared" si="5"/>
        <v>40614</v>
      </c>
      <c r="C28" s="182">
        <f t="shared" ref="C28:H34" si="6">C4/$B28</f>
        <v>7489.1433444132572</v>
      </c>
      <c r="D28" s="182">
        <f t="shared" si="6"/>
        <v>1141.763946422416</v>
      </c>
      <c r="E28" s="182">
        <f t="shared" si="6"/>
        <v>493.9029657261043</v>
      </c>
      <c r="F28" s="182">
        <f t="shared" si="6"/>
        <v>137.71947136455407</v>
      </c>
      <c r="G28" s="182">
        <f t="shared" si="6"/>
        <v>374.7860309252967</v>
      </c>
      <c r="H28" s="182">
        <f t="shared" si="6"/>
        <v>9637.3157588516297</v>
      </c>
    </row>
    <row r="29" spans="1:17" x14ac:dyDescent="0.2">
      <c r="A29" s="33" t="s">
        <v>76</v>
      </c>
      <c r="B29" s="214">
        <f t="shared" si="5"/>
        <v>21203</v>
      </c>
      <c r="C29" s="182">
        <f t="shared" si="6"/>
        <v>7882.4812465217174</v>
      </c>
      <c r="D29" s="182">
        <f t="shared" si="6"/>
        <v>1169.1094472480311</v>
      </c>
      <c r="E29" s="182">
        <f t="shared" si="6"/>
        <v>792.02104985143592</v>
      </c>
      <c r="F29" s="182">
        <f t="shared" si="6"/>
        <v>833.96820402773187</v>
      </c>
      <c r="G29" s="182">
        <f t="shared" si="6"/>
        <v>388.60218223836245</v>
      </c>
      <c r="H29" s="182">
        <f t="shared" si="6"/>
        <v>11066.18212988728</v>
      </c>
    </row>
    <row r="30" spans="1:17" x14ac:dyDescent="0.2">
      <c r="A30" s="33" t="s">
        <v>77</v>
      </c>
      <c r="B30" s="214">
        <f t="shared" si="5"/>
        <v>14952</v>
      </c>
      <c r="C30" s="182">
        <f t="shared" si="6"/>
        <v>8105.4796080791875</v>
      </c>
      <c r="D30" s="182">
        <f t="shared" si="6"/>
        <v>1257.4308039058321</v>
      </c>
      <c r="E30" s="182">
        <f t="shared" si="6"/>
        <v>954.36201310861452</v>
      </c>
      <c r="F30" s="182">
        <f t="shared" si="6"/>
        <v>324.85342964151954</v>
      </c>
      <c r="G30" s="182">
        <f t="shared" si="6"/>
        <v>381.7859744515784</v>
      </c>
      <c r="H30" s="182">
        <f t="shared" si="6"/>
        <v>11023.911829186733</v>
      </c>
    </row>
    <row r="31" spans="1:17" x14ac:dyDescent="0.2">
      <c r="A31" s="33" t="s">
        <v>78</v>
      </c>
      <c r="B31" s="214">
        <f t="shared" si="5"/>
        <v>11202</v>
      </c>
      <c r="C31" s="182">
        <f t="shared" si="6"/>
        <v>7521.524034101054</v>
      </c>
      <c r="D31" s="182">
        <f t="shared" si="6"/>
        <v>1525.2299750044635</v>
      </c>
      <c r="E31" s="182">
        <f t="shared" si="6"/>
        <v>1056.5019425102662</v>
      </c>
      <c r="F31" s="182">
        <f t="shared" si="6"/>
        <v>424.92627477236209</v>
      </c>
      <c r="G31" s="182">
        <f t="shared" si="6"/>
        <v>392.43891894304585</v>
      </c>
      <c r="H31" s="182">
        <f t="shared" si="6"/>
        <v>10920.62114533119</v>
      </c>
    </row>
    <row r="32" spans="1:17" x14ac:dyDescent="0.2">
      <c r="A32" s="33" t="s">
        <v>79</v>
      </c>
      <c r="B32" s="214">
        <f t="shared" si="5"/>
        <v>5029</v>
      </c>
      <c r="C32" s="182">
        <f t="shared" si="6"/>
        <v>8624.9385901769729</v>
      </c>
      <c r="D32" s="182">
        <f t="shared" si="6"/>
        <v>1922.0729329886656</v>
      </c>
      <c r="E32" s="182">
        <f t="shared" si="6"/>
        <v>1539.967701332273</v>
      </c>
      <c r="F32" s="182">
        <f t="shared" si="6"/>
        <v>514.38142175382779</v>
      </c>
      <c r="G32" s="182">
        <f t="shared" si="6"/>
        <v>263.74061244780273</v>
      </c>
      <c r="H32" s="182">
        <f t="shared" si="6"/>
        <v>12865.101258699542</v>
      </c>
    </row>
    <row r="33" spans="1:8" x14ac:dyDescent="0.2">
      <c r="A33" s="33" t="s">
        <v>80</v>
      </c>
      <c r="B33" s="220">
        <f t="shared" si="5"/>
        <v>1578</v>
      </c>
      <c r="C33" s="183">
        <f t="shared" si="6"/>
        <v>10174.895994930292</v>
      </c>
      <c r="D33" s="183">
        <f t="shared" si="6"/>
        <v>2679.2713878326995</v>
      </c>
      <c r="E33" s="183">
        <f t="shared" si="6"/>
        <v>1819.2549112801007</v>
      </c>
      <c r="F33" s="183">
        <f t="shared" si="6"/>
        <v>650.22154626108988</v>
      </c>
      <c r="G33" s="183">
        <f t="shared" si="6"/>
        <v>24.166083650190114</v>
      </c>
      <c r="H33" s="183">
        <f t="shared" si="6"/>
        <v>15347.809923954372</v>
      </c>
    </row>
    <row r="34" spans="1:8" x14ac:dyDescent="0.2">
      <c r="A34" s="33" t="s">
        <v>103</v>
      </c>
      <c r="B34" s="214">
        <f t="shared" si="5"/>
        <v>94578</v>
      </c>
      <c r="C34" s="182">
        <f t="shared" si="6"/>
        <v>7783.8013390006126</v>
      </c>
      <c r="D34" s="182">
        <f t="shared" si="6"/>
        <v>1278.7429964685234</v>
      </c>
      <c r="E34" s="182">
        <f t="shared" si="6"/>
        <v>777.90220526972462</v>
      </c>
      <c r="F34" s="182">
        <f t="shared" si="6"/>
        <v>385.98905474846157</v>
      </c>
      <c r="G34" s="182">
        <f t="shared" si="6"/>
        <v>369.32629374696018</v>
      </c>
      <c r="H34" s="182">
        <f t="shared" si="6"/>
        <v>10595.761889234283</v>
      </c>
    </row>
    <row r="35" spans="1:8" x14ac:dyDescent="0.2">
      <c r="A35" s="33"/>
      <c r="B35" s="214"/>
      <c r="C35" s="182"/>
      <c r="D35" s="182"/>
      <c r="E35" s="182"/>
      <c r="F35" s="182"/>
      <c r="G35" s="182"/>
      <c r="H35" s="182"/>
    </row>
    <row r="36" spans="1:8" x14ac:dyDescent="0.2">
      <c r="A36" s="33" t="s">
        <v>81</v>
      </c>
      <c r="B36" s="214">
        <f t="shared" ref="B36:B41" si="7">B12</f>
        <v>19924</v>
      </c>
      <c r="C36" s="182">
        <f t="shared" ref="C36:H41" si="8">C12/$B36</f>
        <v>7929.6710198755254</v>
      </c>
      <c r="D36" s="182">
        <f t="shared" si="8"/>
        <v>1594.3822977313791</v>
      </c>
      <c r="E36" s="182">
        <f t="shared" si="8"/>
        <v>617.48454928729177</v>
      </c>
      <c r="F36" s="182">
        <f t="shared" si="8"/>
        <v>152.33741718530416</v>
      </c>
      <c r="G36" s="182">
        <f t="shared" si="8"/>
        <v>471.4265965669544</v>
      </c>
      <c r="H36" s="182">
        <f t="shared" si="8"/>
        <v>10765.301880646455</v>
      </c>
    </row>
    <row r="37" spans="1:8" x14ac:dyDescent="0.2">
      <c r="A37" s="33" t="s">
        <v>82</v>
      </c>
      <c r="B37" s="214">
        <f t="shared" si="7"/>
        <v>7627</v>
      </c>
      <c r="C37" s="182">
        <f t="shared" si="8"/>
        <v>8519.0962186967354</v>
      </c>
      <c r="D37" s="182">
        <f t="shared" si="8"/>
        <v>1170.1422577684541</v>
      </c>
      <c r="E37" s="182">
        <f t="shared" si="8"/>
        <v>1128.6940343516455</v>
      </c>
      <c r="F37" s="182">
        <f t="shared" si="8"/>
        <v>521.03508719024524</v>
      </c>
      <c r="G37" s="182">
        <f t="shared" si="8"/>
        <v>521.74848695424146</v>
      </c>
      <c r="H37" s="182">
        <f t="shared" si="8"/>
        <v>11860.716084961321</v>
      </c>
    </row>
    <row r="38" spans="1:8" x14ac:dyDescent="0.2">
      <c r="A38" s="33" t="s">
        <v>83</v>
      </c>
      <c r="B38" s="214">
        <f t="shared" si="7"/>
        <v>4350</v>
      </c>
      <c r="C38" s="182">
        <f t="shared" si="8"/>
        <v>8850.5196919540231</v>
      </c>
      <c r="D38" s="182">
        <f t="shared" si="8"/>
        <v>1701.1964091954021</v>
      </c>
      <c r="E38" s="182">
        <f t="shared" si="8"/>
        <v>1252.5346275862071</v>
      </c>
      <c r="F38" s="182">
        <f t="shared" si="8"/>
        <v>393.73573793103446</v>
      </c>
      <c r="G38" s="182">
        <f t="shared" si="8"/>
        <v>368.59868275862067</v>
      </c>
      <c r="H38" s="182">
        <f t="shared" si="8"/>
        <v>12566.585149425287</v>
      </c>
    </row>
    <row r="39" spans="1:8" x14ac:dyDescent="0.2">
      <c r="A39" s="33" t="s">
        <v>84</v>
      </c>
      <c r="B39" s="214">
        <f t="shared" si="7"/>
        <v>4471</v>
      </c>
      <c r="C39" s="182">
        <f t="shared" si="8"/>
        <v>10291.343236412436</v>
      </c>
      <c r="D39" s="182">
        <f t="shared" si="8"/>
        <v>2229.7461171997315</v>
      </c>
      <c r="E39" s="182">
        <f t="shared" si="8"/>
        <v>1599.8825229255197</v>
      </c>
      <c r="F39" s="182">
        <f t="shared" si="8"/>
        <v>668.87808767613501</v>
      </c>
      <c r="G39" s="182">
        <f t="shared" si="8"/>
        <v>535.92923730709026</v>
      </c>
      <c r="H39" s="182">
        <f t="shared" si="8"/>
        <v>15325.779201520912</v>
      </c>
    </row>
    <row r="40" spans="1:8" x14ac:dyDescent="0.2">
      <c r="A40" s="33" t="s">
        <v>85</v>
      </c>
      <c r="B40" s="220">
        <f t="shared" si="7"/>
        <v>1663</v>
      </c>
      <c r="C40" s="183">
        <f t="shared" si="8"/>
        <v>14532.093776307875</v>
      </c>
      <c r="D40" s="183">
        <f t="shared" si="8"/>
        <v>3788.4759651232721</v>
      </c>
      <c r="E40" s="183">
        <f t="shared" si="8"/>
        <v>2777.3110282621769</v>
      </c>
      <c r="F40" s="183">
        <f t="shared" si="8"/>
        <v>1424.6753277209864</v>
      </c>
      <c r="G40" s="183">
        <f t="shared" si="8"/>
        <v>361.57055321707759</v>
      </c>
      <c r="H40" s="183">
        <f t="shared" si="8"/>
        <v>22884.126650631388</v>
      </c>
    </row>
    <row r="41" spans="1:8" x14ac:dyDescent="0.2">
      <c r="A41" s="33" t="s">
        <v>104</v>
      </c>
      <c r="B41" s="214">
        <f t="shared" si="7"/>
        <v>38035</v>
      </c>
      <c r="C41" s="182">
        <f t="shared" si="8"/>
        <v>8719.4726036545271</v>
      </c>
      <c r="D41" s="182">
        <f t="shared" si="8"/>
        <v>1692.1462521361905</v>
      </c>
      <c r="E41" s="182">
        <f t="shared" si="8"/>
        <v>1002.5392451689235</v>
      </c>
      <c r="F41" s="182">
        <f t="shared" si="8"/>
        <v>370.22859918496118</v>
      </c>
      <c r="G41" s="182">
        <f t="shared" si="8"/>
        <v>472.53621506507159</v>
      </c>
      <c r="H41" s="182">
        <f t="shared" si="8"/>
        <v>12256.922915209674</v>
      </c>
    </row>
    <row r="42" spans="1:8" x14ac:dyDescent="0.2">
      <c r="A42" s="33"/>
      <c r="B42" s="214"/>
      <c r="C42" s="182"/>
      <c r="D42" s="182"/>
      <c r="E42" s="182"/>
      <c r="F42" s="182"/>
      <c r="G42" s="182"/>
      <c r="H42" s="182"/>
    </row>
    <row r="43" spans="1:8" x14ac:dyDescent="0.2">
      <c r="A43" s="33" t="s">
        <v>86</v>
      </c>
      <c r="B43" s="214">
        <f>B19</f>
        <v>10031</v>
      </c>
      <c r="C43" s="182">
        <f t="shared" ref="C43:H45" si="9">C19/$B43</f>
        <v>7741.744422290898</v>
      </c>
      <c r="D43" s="182">
        <f t="shared" si="9"/>
        <v>1318.6215781078658</v>
      </c>
      <c r="E43" s="182">
        <f t="shared" si="9"/>
        <v>938.21460472535136</v>
      </c>
      <c r="F43" s="182">
        <f t="shared" si="9"/>
        <v>383.4887598444821</v>
      </c>
      <c r="G43" s="182">
        <f t="shared" si="9"/>
        <v>475.42614694447212</v>
      </c>
      <c r="H43" s="182">
        <f t="shared" si="9"/>
        <v>10857.495511913068</v>
      </c>
    </row>
    <row r="44" spans="1:8" x14ac:dyDescent="0.2">
      <c r="A44" s="33" t="s">
        <v>87</v>
      </c>
      <c r="B44" s="220">
        <f>B20</f>
        <v>7543</v>
      </c>
      <c r="C44" s="183">
        <f t="shared" si="9"/>
        <v>10615.243692164917</v>
      </c>
      <c r="D44" s="183">
        <f t="shared" si="9"/>
        <v>1951.7171788413098</v>
      </c>
      <c r="E44" s="183">
        <f t="shared" si="9"/>
        <v>2010.017047593795</v>
      </c>
      <c r="F44" s="183">
        <f t="shared" si="9"/>
        <v>545.57419461752625</v>
      </c>
      <c r="G44" s="183">
        <f t="shared" si="9"/>
        <v>512.67483229484287</v>
      </c>
      <c r="H44" s="183">
        <f t="shared" si="9"/>
        <v>15635.226945512393</v>
      </c>
    </row>
    <row r="45" spans="1:8" x14ac:dyDescent="0.2">
      <c r="A45" s="33" t="s">
        <v>105</v>
      </c>
      <c r="B45" s="214">
        <f>B21</f>
        <v>17574</v>
      </c>
      <c r="C45" s="182">
        <f t="shared" si="9"/>
        <v>8975.0894201661522</v>
      </c>
      <c r="D45" s="182">
        <f t="shared" si="9"/>
        <v>1590.3548270171848</v>
      </c>
      <c r="E45" s="182">
        <f t="shared" si="9"/>
        <v>1398.2468015249799</v>
      </c>
      <c r="F45" s="182">
        <f t="shared" si="9"/>
        <v>453.05803459656312</v>
      </c>
      <c r="G45" s="182">
        <f t="shared" si="9"/>
        <v>491.41378968931372</v>
      </c>
      <c r="H45" s="182">
        <f t="shared" si="9"/>
        <v>12908.162872994195</v>
      </c>
    </row>
    <row r="46" spans="1:8" x14ac:dyDescent="0.2">
      <c r="A46" s="33"/>
      <c r="B46" s="214"/>
      <c r="C46" s="182"/>
      <c r="D46" s="182"/>
      <c r="E46" s="182"/>
      <c r="F46" s="182"/>
      <c r="G46" s="182"/>
      <c r="H46" s="182"/>
    </row>
    <row r="47" spans="1:8" ht="13.5" thickBot="1" x14ac:dyDescent="0.25">
      <c r="A47" s="33" t="s">
        <v>209</v>
      </c>
      <c r="B47" s="222">
        <f>B23</f>
        <v>150187</v>
      </c>
      <c r="C47" s="192">
        <f t="shared" ref="C47:H47" si="10">C23/$B47</f>
        <v>8160.1585023337557</v>
      </c>
      <c r="D47" s="192">
        <f t="shared" si="10"/>
        <v>1419.9007474015727</v>
      </c>
      <c r="E47" s="192">
        <f t="shared" si="10"/>
        <v>907.38082690246165</v>
      </c>
      <c r="F47" s="192">
        <f t="shared" si="10"/>
        <v>389.84572226624141</v>
      </c>
      <c r="G47" s="192">
        <f t="shared" si="10"/>
        <v>409.75026526929759</v>
      </c>
      <c r="H47" s="222">
        <f t="shared" si="10"/>
        <v>11287.03606417333</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FY2016</v>
      </c>
      <c r="C52" s="182"/>
      <c r="D52" s="182"/>
      <c r="E52" s="182"/>
      <c r="F52" s="182"/>
      <c r="G52" s="182"/>
      <c r="H52" s="182"/>
    </row>
    <row r="53" spans="1:8" ht="33.75" x14ac:dyDescent="0.2">
      <c r="A53" s="155" t="s">
        <v>245</v>
      </c>
      <c r="B53" s="172" t="str">
        <f t="shared" ref="B53:H59" si="11">B3</f>
        <v>ANB16</v>
      </c>
      <c r="C53" s="172" t="str">
        <f t="shared" si="11"/>
        <v>16/Pupil Salaries &amp; Benefits</v>
      </c>
      <c r="D53" s="172" t="str">
        <f t="shared" si="11"/>
        <v>16/Pupil Purchased Services</v>
      </c>
      <c r="E53" s="172" t="str">
        <f t="shared" si="11"/>
        <v>16/Pupil Supplies</v>
      </c>
      <c r="F53" s="172" t="str">
        <f t="shared" si="11"/>
        <v>16/Pupil Capital Outlay</v>
      </c>
      <c r="G53" s="172" t="str">
        <f t="shared" si="11"/>
        <v>16/Pupil Other</v>
      </c>
      <c r="H53" s="172" t="str">
        <f t="shared" si="11"/>
        <v>16/Pupil Total Expenditures</v>
      </c>
    </row>
    <row r="54" spans="1:8" x14ac:dyDescent="0.2">
      <c r="A54" s="33" t="s">
        <v>102</v>
      </c>
      <c r="B54" s="214">
        <f t="shared" si="11"/>
        <v>40614</v>
      </c>
      <c r="C54" s="191">
        <f t="shared" ref="C54:H60" si="12">C28/$H28</f>
        <v>0.77709847138033938</v>
      </c>
      <c r="D54" s="191">
        <f t="shared" si="12"/>
        <v>0.11847323206918221</v>
      </c>
      <c r="E54" s="191">
        <f t="shared" si="12"/>
        <v>5.1249017681346279E-2</v>
      </c>
      <c r="F54" s="191">
        <f t="shared" si="12"/>
        <v>1.4290231306166577E-2</v>
      </c>
      <c r="G54" s="191">
        <f t="shared" si="12"/>
        <v>3.8889047562965365E-2</v>
      </c>
      <c r="H54" s="191">
        <f t="shared" si="12"/>
        <v>1</v>
      </c>
    </row>
    <row r="55" spans="1:8" x14ac:dyDescent="0.2">
      <c r="A55" s="33" t="s">
        <v>76</v>
      </c>
      <c r="B55" s="214">
        <f t="shared" si="11"/>
        <v>21203</v>
      </c>
      <c r="C55" s="191">
        <f t="shared" si="12"/>
        <v>0.71230358889836998</v>
      </c>
      <c r="D55" s="191">
        <f t="shared" si="12"/>
        <v>0.10564704552354405</v>
      </c>
      <c r="E55" s="191">
        <f t="shared" si="12"/>
        <v>7.1571300793284831E-2</v>
      </c>
      <c r="F55" s="191">
        <f t="shared" si="12"/>
        <v>7.5361872255415935E-2</v>
      </c>
      <c r="G55" s="191">
        <f t="shared" si="12"/>
        <v>3.5116192529385089E-2</v>
      </c>
      <c r="H55" s="191">
        <f t="shared" si="12"/>
        <v>1</v>
      </c>
    </row>
    <row r="56" spans="1:8" x14ac:dyDescent="0.2">
      <c r="A56" s="33" t="s">
        <v>77</v>
      </c>
      <c r="B56" s="214">
        <f t="shared" si="11"/>
        <v>14952</v>
      </c>
      <c r="C56" s="191">
        <f t="shared" si="12"/>
        <v>0.73526346488178995</v>
      </c>
      <c r="D56" s="191">
        <f t="shared" si="12"/>
        <v>0.11406393877141492</v>
      </c>
      <c r="E56" s="191">
        <f t="shared" si="12"/>
        <v>8.6571992582692922E-2</v>
      </c>
      <c r="F56" s="191">
        <f t="shared" si="12"/>
        <v>2.9468072193887002E-2</v>
      </c>
      <c r="G56" s="191">
        <f t="shared" si="12"/>
        <v>3.463253157021521E-2</v>
      </c>
      <c r="H56" s="191">
        <f t="shared" si="12"/>
        <v>1</v>
      </c>
    </row>
    <row r="57" spans="1:8" x14ac:dyDescent="0.2">
      <c r="A57" s="33" t="s">
        <v>78</v>
      </c>
      <c r="B57" s="214">
        <f t="shared" si="11"/>
        <v>11202</v>
      </c>
      <c r="C57" s="191">
        <f t="shared" si="12"/>
        <v>0.68874507539497187</v>
      </c>
      <c r="D57" s="191">
        <f t="shared" si="12"/>
        <v>0.13966513028029853</v>
      </c>
      <c r="E57" s="191">
        <f t="shared" si="12"/>
        <v>9.6743759210248262E-2</v>
      </c>
      <c r="F57" s="191">
        <f t="shared" si="12"/>
        <v>3.8910449242534853E-2</v>
      </c>
      <c r="G57" s="191">
        <f t="shared" si="12"/>
        <v>3.5935585871946694E-2</v>
      </c>
      <c r="H57" s="191">
        <f t="shared" si="12"/>
        <v>1</v>
      </c>
    </row>
    <row r="58" spans="1:8" x14ac:dyDescent="0.2">
      <c r="A58" s="33" t="s">
        <v>79</v>
      </c>
      <c r="B58" s="214">
        <f t="shared" si="11"/>
        <v>5029</v>
      </c>
      <c r="C58" s="191">
        <f t="shared" si="12"/>
        <v>0.67041357986550487</v>
      </c>
      <c r="D58" s="191">
        <f t="shared" si="12"/>
        <v>0.14940208353890225</v>
      </c>
      <c r="E58" s="191">
        <f t="shared" si="12"/>
        <v>0.11970117221509839</v>
      </c>
      <c r="F58" s="191">
        <f t="shared" si="12"/>
        <v>3.9982695154147867E-2</v>
      </c>
      <c r="G58" s="191">
        <f t="shared" si="12"/>
        <v>2.0500469226346588E-2</v>
      </c>
      <c r="H58" s="191">
        <f t="shared" si="12"/>
        <v>1</v>
      </c>
    </row>
    <row r="59" spans="1:8" x14ac:dyDescent="0.2">
      <c r="A59" s="33" t="s">
        <v>80</v>
      </c>
      <c r="B59" s="220">
        <f t="shared" si="11"/>
        <v>1578</v>
      </c>
      <c r="C59" s="193">
        <f t="shared" si="12"/>
        <v>0.66295426157510839</v>
      </c>
      <c r="D59" s="193">
        <f t="shared" si="12"/>
        <v>0.17457027426766461</v>
      </c>
      <c r="E59" s="193">
        <f t="shared" si="12"/>
        <v>0.11853514737895376</v>
      </c>
      <c r="F59" s="193">
        <f t="shared" si="12"/>
        <v>4.2365754428991514E-2</v>
      </c>
      <c r="G59" s="193">
        <f t="shared" si="12"/>
        <v>1.5745623492816694E-3</v>
      </c>
      <c r="H59" s="193">
        <f t="shared" si="12"/>
        <v>1</v>
      </c>
    </row>
    <row r="60" spans="1:8" x14ac:dyDescent="0.2">
      <c r="A60" s="33" t="s">
        <v>103</v>
      </c>
      <c r="B60" s="214">
        <f>SUM(B54:B59)</f>
        <v>94578</v>
      </c>
      <c r="C60" s="191">
        <f t="shared" si="12"/>
        <v>0.73461459594607026</v>
      </c>
      <c r="D60" s="191">
        <f t="shared" si="12"/>
        <v>0.12068438398637263</v>
      </c>
      <c r="E60" s="191">
        <f t="shared" si="12"/>
        <v>7.3416353953754315E-2</v>
      </c>
      <c r="F60" s="191">
        <f t="shared" si="12"/>
        <v>3.6428626726752122E-2</v>
      </c>
      <c r="G60" s="191">
        <f t="shared" si="12"/>
        <v>3.4856039387050633E-2</v>
      </c>
      <c r="H60" s="191">
        <f t="shared" si="12"/>
        <v>1</v>
      </c>
    </row>
    <row r="61" spans="1:8" x14ac:dyDescent="0.2">
      <c r="A61" s="33"/>
      <c r="B61" s="214"/>
      <c r="C61" s="191"/>
      <c r="D61" s="191"/>
      <c r="E61" s="191"/>
      <c r="F61" s="191"/>
      <c r="G61" s="191"/>
      <c r="H61" s="191"/>
    </row>
    <row r="62" spans="1:8" x14ac:dyDescent="0.2">
      <c r="A62" s="33" t="s">
        <v>81</v>
      </c>
      <c r="B62" s="214">
        <f t="shared" ref="B62:B67" si="13">B12</f>
        <v>19924</v>
      </c>
      <c r="C62" s="191">
        <f t="shared" ref="C62:H67" si="14">C36/$H36</f>
        <v>0.73659532336304068</v>
      </c>
      <c r="D62" s="191">
        <f t="shared" si="14"/>
        <v>0.14810381681889601</v>
      </c>
      <c r="E62" s="191">
        <f t="shared" si="14"/>
        <v>5.7358776942185656E-2</v>
      </c>
      <c r="F62" s="191">
        <f t="shared" si="14"/>
        <v>1.4150779873546501E-2</v>
      </c>
      <c r="G62" s="191">
        <f t="shared" si="14"/>
        <v>4.379130300233116E-2</v>
      </c>
      <c r="H62" s="191">
        <f t="shared" si="14"/>
        <v>1</v>
      </c>
    </row>
    <row r="63" spans="1:8" x14ac:dyDescent="0.2">
      <c r="A63" s="33" t="s">
        <v>82</v>
      </c>
      <c r="B63" s="214">
        <f t="shared" si="13"/>
        <v>7627</v>
      </c>
      <c r="C63" s="191">
        <f t="shared" si="14"/>
        <v>0.71826154151842825</v>
      </c>
      <c r="D63" s="191">
        <f t="shared" si="14"/>
        <v>9.8656965514259676E-2</v>
      </c>
      <c r="E63" s="191">
        <f t="shared" si="14"/>
        <v>9.5162385328720761E-2</v>
      </c>
      <c r="F63" s="191">
        <f t="shared" si="14"/>
        <v>4.392947975973277E-2</v>
      </c>
      <c r="G63" s="191">
        <f t="shared" si="14"/>
        <v>4.3989627878858628E-2</v>
      </c>
      <c r="H63" s="191">
        <f t="shared" si="14"/>
        <v>1</v>
      </c>
    </row>
    <row r="64" spans="1:8" x14ac:dyDescent="0.2">
      <c r="A64" s="33" t="s">
        <v>83</v>
      </c>
      <c r="B64" s="214">
        <f t="shared" si="13"/>
        <v>4350</v>
      </c>
      <c r="C64" s="191">
        <f t="shared" si="14"/>
        <v>0.70428995520384374</v>
      </c>
      <c r="D64" s="191">
        <f t="shared" si="14"/>
        <v>0.13537459771027802</v>
      </c>
      <c r="E64" s="191">
        <f t="shared" si="14"/>
        <v>9.9671837073692982E-2</v>
      </c>
      <c r="F64" s="191">
        <f t="shared" si="14"/>
        <v>3.1331959577661501E-2</v>
      </c>
      <c r="G64" s="191">
        <f t="shared" si="14"/>
        <v>2.9331650434523807E-2</v>
      </c>
      <c r="H64" s="191">
        <f t="shared" si="14"/>
        <v>1</v>
      </c>
    </row>
    <row r="65" spans="1:8" x14ac:dyDescent="0.2">
      <c r="A65" s="33" t="s">
        <v>84</v>
      </c>
      <c r="B65" s="214">
        <f t="shared" si="13"/>
        <v>4471</v>
      </c>
      <c r="C65" s="191">
        <f t="shared" si="14"/>
        <v>0.67150538325588927</v>
      </c>
      <c r="D65" s="191">
        <f t="shared" si="14"/>
        <v>0.14548990220206579</v>
      </c>
      <c r="E65" s="191">
        <f t="shared" si="14"/>
        <v>0.10439159418183117</v>
      </c>
      <c r="F65" s="191">
        <f t="shared" si="14"/>
        <v>4.3643985658475125E-2</v>
      </c>
      <c r="G65" s="191">
        <f t="shared" si="14"/>
        <v>3.4969134701738708E-2</v>
      </c>
      <c r="H65" s="191">
        <f t="shared" si="14"/>
        <v>1</v>
      </c>
    </row>
    <row r="66" spans="1:8" x14ac:dyDescent="0.2">
      <c r="A66" s="33" t="s">
        <v>85</v>
      </c>
      <c r="B66" s="220">
        <f t="shared" si="13"/>
        <v>1663</v>
      </c>
      <c r="C66" s="193">
        <f t="shared" si="14"/>
        <v>0.63502942446383137</v>
      </c>
      <c r="D66" s="193">
        <f t="shared" si="14"/>
        <v>0.1655503844634921</v>
      </c>
      <c r="E66" s="193">
        <f t="shared" si="14"/>
        <v>0.12136408221572</v>
      </c>
      <c r="F66" s="193">
        <f t="shared" si="14"/>
        <v>6.2256049770712078E-2</v>
      </c>
      <c r="G66" s="193">
        <f t="shared" si="14"/>
        <v>1.5800059086244465E-2</v>
      </c>
      <c r="H66" s="193">
        <f t="shared" si="14"/>
        <v>1</v>
      </c>
    </row>
    <row r="67" spans="1:8" x14ac:dyDescent="0.2">
      <c r="A67" s="33" t="s">
        <v>104</v>
      </c>
      <c r="B67" s="214">
        <f t="shared" si="13"/>
        <v>38035</v>
      </c>
      <c r="C67" s="191">
        <f t="shared" si="14"/>
        <v>0.71139164894595952</v>
      </c>
      <c r="D67" s="191">
        <f t="shared" si="14"/>
        <v>0.1380563673151928</v>
      </c>
      <c r="E67" s="191">
        <f t="shared" si="14"/>
        <v>8.179371381416356E-2</v>
      </c>
      <c r="F67" s="191">
        <f t="shared" si="14"/>
        <v>3.0205672479635386E-2</v>
      </c>
      <c r="G67" s="191">
        <f t="shared" si="14"/>
        <v>3.8552597445048721E-2</v>
      </c>
      <c r="H67" s="191">
        <f t="shared" si="14"/>
        <v>1</v>
      </c>
    </row>
    <row r="68" spans="1:8" x14ac:dyDescent="0.2">
      <c r="A68" s="33"/>
      <c r="B68" s="214"/>
      <c r="C68" s="191"/>
      <c r="D68" s="191"/>
      <c r="E68" s="191"/>
      <c r="F68" s="191"/>
      <c r="G68" s="191"/>
      <c r="H68" s="191"/>
    </row>
    <row r="69" spans="1:8" x14ac:dyDescent="0.2">
      <c r="A69" s="33" t="s">
        <v>86</v>
      </c>
      <c r="B69" s="214">
        <f>B19</f>
        <v>10031</v>
      </c>
      <c r="C69" s="191">
        <f t="shared" ref="C69:H71" si="15">C43/$H43</f>
        <v>0.71303224705886326</v>
      </c>
      <c r="D69" s="191">
        <f t="shared" si="15"/>
        <v>0.12144804265965821</v>
      </c>
      <c r="E69" s="191">
        <f t="shared" si="15"/>
        <v>8.6411696297357246E-2</v>
      </c>
      <c r="F69" s="191">
        <f t="shared" si="15"/>
        <v>3.532018589588274E-2</v>
      </c>
      <c r="G69" s="191">
        <f t="shared" si="15"/>
        <v>4.3787828088238646E-2</v>
      </c>
      <c r="H69" s="191">
        <f t="shared" si="15"/>
        <v>1</v>
      </c>
    </row>
    <row r="70" spans="1:8" x14ac:dyDescent="0.2">
      <c r="A70" s="33" t="s">
        <v>87</v>
      </c>
      <c r="B70" s="220">
        <f>B20</f>
        <v>7543</v>
      </c>
      <c r="C70" s="193">
        <f t="shared" si="15"/>
        <v>0.67893121917310528</v>
      </c>
      <c r="D70" s="193">
        <f t="shared" si="15"/>
        <v>0.12482819633145713</v>
      </c>
      <c r="E70" s="193">
        <f t="shared" si="15"/>
        <v>0.1285569473726576</v>
      </c>
      <c r="F70" s="193">
        <f t="shared" si="15"/>
        <v>3.4893909536382932E-2</v>
      </c>
      <c r="G70" s="193">
        <f t="shared" si="15"/>
        <v>3.2789727586396838E-2</v>
      </c>
      <c r="H70" s="193">
        <f t="shared" si="15"/>
        <v>1</v>
      </c>
    </row>
    <row r="71" spans="1:8" x14ac:dyDescent="0.2">
      <c r="A71" s="33" t="s">
        <v>105</v>
      </c>
      <c r="B71" s="214">
        <f>B21</f>
        <v>17574</v>
      </c>
      <c r="C71" s="191">
        <f t="shared" si="15"/>
        <v>0.69530339123186768</v>
      </c>
      <c r="D71" s="191">
        <f t="shared" si="15"/>
        <v>0.12320535793241691</v>
      </c>
      <c r="E71" s="191">
        <f t="shared" si="15"/>
        <v>0.10832268040639007</v>
      </c>
      <c r="F71" s="191">
        <f t="shared" si="15"/>
        <v>3.5098568173820323E-2</v>
      </c>
      <c r="G71" s="191">
        <f t="shared" si="15"/>
        <v>3.8070002255504908E-2</v>
      </c>
      <c r="H71" s="191">
        <f t="shared" si="15"/>
        <v>1</v>
      </c>
    </row>
    <row r="72" spans="1:8" x14ac:dyDescent="0.2">
      <c r="A72" s="33"/>
      <c r="B72" s="214"/>
      <c r="C72" s="191"/>
      <c r="D72" s="191"/>
      <c r="E72" s="191"/>
      <c r="F72" s="191"/>
      <c r="G72" s="191"/>
      <c r="H72" s="191"/>
    </row>
    <row r="73" spans="1:8" ht="13.5" thickBot="1" x14ac:dyDescent="0.25">
      <c r="A73" s="33" t="s">
        <v>230</v>
      </c>
      <c r="B73" s="222">
        <f>B71+B67+B60</f>
        <v>150187</v>
      </c>
      <c r="C73" s="195">
        <f t="shared" ref="C73:H73" si="16">C47/$H47</f>
        <v>0.72296734554036457</v>
      </c>
      <c r="D73" s="195">
        <f t="shared" si="16"/>
        <v>0.12579925671616674</v>
      </c>
      <c r="E73" s="195">
        <f t="shared" si="16"/>
        <v>8.0391417352037919E-2</v>
      </c>
      <c r="F73" s="195">
        <f t="shared" si="16"/>
        <v>3.4539246623271423E-2</v>
      </c>
      <c r="G73" s="195">
        <f t="shared" si="16"/>
        <v>3.6302733768159352E-2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Q74"/>
  <sheetViews>
    <sheetView topLeftCell="A16" zoomScaleNormal="100" workbookViewId="0">
      <selection activeCell="H3" sqref="H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1279</v>
      </c>
      <c r="D1" s="22"/>
      <c r="E1" s="22"/>
      <c r="F1" s="22"/>
      <c r="G1" s="22"/>
      <c r="H1" s="22"/>
    </row>
    <row r="2" spans="1:17" x14ac:dyDescent="0.2">
      <c r="A2" s="22" t="s">
        <v>1212</v>
      </c>
    </row>
    <row r="3" spans="1:17" ht="34.5" x14ac:dyDescent="0.25">
      <c r="A3" s="22" t="s">
        <v>245</v>
      </c>
      <c r="B3" s="202" t="s">
        <v>1260</v>
      </c>
      <c r="C3" s="172" t="s">
        <v>1280</v>
      </c>
      <c r="D3" s="172" t="s">
        <v>1281</v>
      </c>
      <c r="E3" s="172" t="s">
        <v>1282</v>
      </c>
      <c r="F3" s="172" t="s">
        <v>1283</v>
      </c>
      <c r="G3" s="172" t="s">
        <v>1276</v>
      </c>
      <c r="H3" s="172" t="s">
        <v>1284</v>
      </c>
      <c r="K3" s="247"/>
      <c r="L3" s="247"/>
      <c r="M3" s="247"/>
      <c r="N3" s="247"/>
      <c r="O3" s="247"/>
      <c r="P3" s="247"/>
      <c r="Q3" s="247"/>
    </row>
    <row r="4" spans="1:17" ht="15" x14ac:dyDescent="0.25">
      <c r="A4" s="182" t="s">
        <v>102</v>
      </c>
      <c r="B4" s="214">
        <v>40133</v>
      </c>
      <c r="C4" s="214">
        <v>294880570.26999998</v>
      </c>
      <c r="D4" s="214">
        <v>45164988.289999999</v>
      </c>
      <c r="E4" s="214">
        <v>22121961.469999999</v>
      </c>
      <c r="F4" s="214">
        <v>4664920.6399999997</v>
      </c>
      <c r="G4" s="214">
        <v>13582571.66</v>
      </c>
      <c r="H4" s="214">
        <f t="shared" ref="H4:H9" si="0">SUM(C4:G4)</f>
        <v>380415012.32999998</v>
      </c>
      <c r="K4" s="294"/>
      <c r="L4" s="293"/>
      <c r="M4" s="293"/>
      <c r="N4" s="293"/>
      <c r="O4" s="293"/>
      <c r="P4" s="293"/>
      <c r="Q4" s="293"/>
    </row>
    <row r="5" spans="1:17" ht="15" x14ac:dyDescent="0.25">
      <c r="A5" s="33" t="s">
        <v>76</v>
      </c>
      <c r="B5" s="214">
        <v>20955</v>
      </c>
      <c r="C5" s="214">
        <v>159612470.03</v>
      </c>
      <c r="D5" s="214">
        <v>24534440.690000001</v>
      </c>
      <c r="E5" s="214">
        <v>16669740.430000002</v>
      </c>
      <c r="F5" s="214">
        <v>10009702.750000002</v>
      </c>
      <c r="G5" s="214">
        <v>7976896.4299999997</v>
      </c>
      <c r="H5" s="214">
        <f t="shared" si="0"/>
        <v>218803250.33000001</v>
      </c>
      <c r="K5" s="294"/>
      <c r="L5" s="293"/>
      <c r="M5" s="293"/>
      <c r="N5" s="293"/>
      <c r="O5" s="293"/>
      <c r="P5" s="293"/>
      <c r="Q5" s="293"/>
    </row>
    <row r="6" spans="1:17" ht="15" x14ac:dyDescent="0.25">
      <c r="A6" s="33" t="s">
        <v>77</v>
      </c>
      <c r="B6" s="214">
        <v>13511</v>
      </c>
      <c r="C6" s="214">
        <v>107583009.53</v>
      </c>
      <c r="D6" s="214">
        <v>15844934.489999998</v>
      </c>
      <c r="E6" s="214">
        <v>12927583.18</v>
      </c>
      <c r="F6" s="214">
        <v>5549033.3099999996</v>
      </c>
      <c r="G6" s="214">
        <v>4495629.88</v>
      </c>
      <c r="H6" s="214">
        <f t="shared" si="0"/>
        <v>146400190.38999999</v>
      </c>
      <c r="K6" s="294"/>
      <c r="L6" s="293"/>
      <c r="M6" s="293"/>
      <c r="N6" s="293"/>
      <c r="O6" s="293"/>
      <c r="P6" s="293"/>
      <c r="Q6" s="293"/>
    </row>
    <row r="7" spans="1:17" ht="15" x14ac:dyDescent="0.25">
      <c r="A7" s="33" t="s">
        <v>78</v>
      </c>
      <c r="B7" s="214">
        <v>12550</v>
      </c>
      <c r="C7" s="214">
        <v>92428594.410000026</v>
      </c>
      <c r="D7" s="214">
        <v>19117067.390000001</v>
      </c>
      <c r="E7" s="214">
        <v>12528751.59</v>
      </c>
      <c r="F7" s="214">
        <v>7165935.6300000008</v>
      </c>
      <c r="G7" s="214">
        <v>4743890.459999999</v>
      </c>
      <c r="H7" s="214">
        <f t="shared" si="0"/>
        <v>135984239.48000002</v>
      </c>
      <c r="K7" s="294"/>
      <c r="L7" s="293"/>
      <c r="M7" s="293"/>
      <c r="N7" s="293"/>
      <c r="O7" s="293"/>
      <c r="P7" s="293"/>
      <c r="Q7" s="293"/>
    </row>
    <row r="8" spans="1:17" ht="15" x14ac:dyDescent="0.25">
      <c r="A8" s="33" t="s">
        <v>79</v>
      </c>
      <c r="B8" s="214">
        <v>4913</v>
      </c>
      <c r="C8" s="214">
        <v>41806089.130000018</v>
      </c>
      <c r="D8" s="214">
        <v>9503507.5600000024</v>
      </c>
      <c r="E8" s="214">
        <v>7308029.290000001</v>
      </c>
      <c r="F8" s="214">
        <v>3440571.7399999998</v>
      </c>
      <c r="G8" s="214">
        <v>1147449.52</v>
      </c>
      <c r="H8" s="214">
        <f t="shared" si="0"/>
        <v>63205647.240000024</v>
      </c>
      <c r="K8" s="294"/>
      <c r="L8" s="293"/>
      <c r="M8" s="293"/>
      <c r="N8" s="293"/>
      <c r="O8" s="293"/>
      <c r="P8" s="293"/>
      <c r="Q8" s="293"/>
    </row>
    <row r="9" spans="1:17" ht="15" x14ac:dyDescent="0.25">
      <c r="A9" s="33" t="s">
        <v>80</v>
      </c>
      <c r="B9" s="220">
        <v>1676</v>
      </c>
      <c r="C9" s="220">
        <v>15691047.699999999</v>
      </c>
      <c r="D9" s="220">
        <v>3971520.7500000009</v>
      </c>
      <c r="E9" s="220">
        <v>2890417.3400000008</v>
      </c>
      <c r="F9" s="220">
        <v>1374286.2600000002</v>
      </c>
      <c r="G9" s="220">
        <v>22151.32</v>
      </c>
      <c r="H9" s="220">
        <f t="shared" si="0"/>
        <v>23949423.370000001</v>
      </c>
      <c r="K9" s="294"/>
      <c r="L9" s="293"/>
      <c r="M9" s="293"/>
      <c r="N9" s="293"/>
      <c r="O9" s="293"/>
      <c r="P9" s="293"/>
      <c r="Q9" s="293"/>
    </row>
    <row r="10" spans="1:17" x14ac:dyDescent="0.2">
      <c r="A10" s="33" t="s">
        <v>103</v>
      </c>
      <c r="B10" s="221">
        <f t="shared" ref="B10:H10" si="1">SUM(B4:B9)</f>
        <v>93738</v>
      </c>
      <c r="C10" s="221">
        <f t="shared" si="1"/>
        <v>712001781.07000005</v>
      </c>
      <c r="D10" s="221">
        <f t="shared" si="1"/>
        <v>118136459.17</v>
      </c>
      <c r="E10" s="221">
        <f t="shared" si="1"/>
        <v>74446483.300000012</v>
      </c>
      <c r="F10" s="221">
        <f t="shared" si="1"/>
        <v>32204450.329999998</v>
      </c>
      <c r="G10" s="221">
        <f t="shared" si="1"/>
        <v>31968589.27</v>
      </c>
      <c r="H10" s="214">
        <f t="shared" si="1"/>
        <v>968757763.13999999</v>
      </c>
    </row>
    <row r="11" spans="1:17" x14ac:dyDescent="0.2">
      <c r="A11" s="33"/>
      <c r="B11" s="182"/>
      <c r="C11" s="221"/>
      <c r="D11" s="221"/>
      <c r="E11" s="221"/>
      <c r="F11" s="221"/>
      <c r="G11" s="221"/>
      <c r="H11" s="214"/>
    </row>
    <row r="12" spans="1:17" ht="15" x14ac:dyDescent="0.25">
      <c r="A12" s="33" t="s">
        <v>81</v>
      </c>
      <c r="B12" s="214">
        <v>21295</v>
      </c>
      <c r="C12" s="214">
        <v>165415204.25</v>
      </c>
      <c r="D12" s="214">
        <v>31534825.23</v>
      </c>
      <c r="E12" s="214">
        <v>13496307.059999999</v>
      </c>
      <c r="F12" s="214">
        <v>4742227.17</v>
      </c>
      <c r="G12" s="214">
        <v>9214056.7399999984</v>
      </c>
      <c r="H12" s="214">
        <f>SUM(C12:G12)</f>
        <v>224402620.44999999</v>
      </c>
      <c r="K12" s="294"/>
      <c r="L12" s="293"/>
      <c r="M12" s="293"/>
      <c r="N12" s="293"/>
      <c r="O12" s="293"/>
      <c r="P12" s="293"/>
      <c r="Q12" s="293"/>
    </row>
    <row r="13" spans="1:17" ht="15" x14ac:dyDescent="0.25">
      <c r="A13" s="33" t="s">
        <v>82</v>
      </c>
      <c r="B13" s="214">
        <v>6285</v>
      </c>
      <c r="C13" s="214">
        <v>53597256.029999994</v>
      </c>
      <c r="D13" s="214">
        <v>7002068.1200000001</v>
      </c>
      <c r="E13" s="214">
        <v>7587494.2599999998</v>
      </c>
      <c r="F13" s="214">
        <v>2933588.8800000004</v>
      </c>
      <c r="G13" s="214">
        <v>4433260.4399999995</v>
      </c>
      <c r="H13" s="214">
        <f>SUM(C13:G13)</f>
        <v>75553667.729999989</v>
      </c>
      <c r="K13" s="294"/>
      <c r="L13" s="293"/>
      <c r="M13" s="293"/>
      <c r="N13" s="293"/>
      <c r="O13" s="293"/>
      <c r="P13" s="293"/>
      <c r="Q13" s="293"/>
    </row>
    <row r="14" spans="1:17" ht="15" x14ac:dyDescent="0.25">
      <c r="A14" s="33" t="s">
        <v>83</v>
      </c>
      <c r="B14" s="214">
        <v>4540</v>
      </c>
      <c r="C14" s="214">
        <v>39933079.329999998</v>
      </c>
      <c r="D14" s="214">
        <v>7919151.3900000006</v>
      </c>
      <c r="E14" s="214">
        <v>5858658.75</v>
      </c>
      <c r="F14" s="214">
        <v>3315718.8800000004</v>
      </c>
      <c r="G14" s="214">
        <v>1123980.6099999999</v>
      </c>
      <c r="H14" s="214">
        <f>SUM(C14:G14)</f>
        <v>58150588.960000001</v>
      </c>
      <c r="K14" s="294"/>
      <c r="L14" s="293"/>
      <c r="M14" s="293"/>
      <c r="N14" s="293"/>
      <c r="O14" s="293"/>
      <c r="P14" s="293"/>
      <c r="Q14" s="293"/>
    </row>
    <row r="15" spans="1:17" ht="15" x14ac:dyDescent="0.25">
      <c r="A15" s="33" t="s">
        <v>84</v>
      </c>
      <c r="B15" s="214">
        <v>4531</v>
      </c>
      <c r="C15" s="214">
        <v>44668117.859999999</v>
      </c>
      <c r="D15" s="214">
        <v>9063078.9200000018</v>
      </c>
      <c r="E15" s="214">
        <v>6876946.6500000022</v>
      </c>
      <c r="F15" s="214">
        <v>3189793.9299999997</v>
      </c>
      <c r="G15" s="214">
        <v>2359018.35</v>
      </c>
      <c r="H15" s="214">
        <f>SUM(C15:G15)</f>
        <v>66156955.710000008</v>
      </c>
      <c r="K15" s="294"/>
      <c r="L15" s="293"/>
      <c r="M15" s="293"/>
      <c r="N15" s="293"/>
      <c r="O15" s="293"/>
      <c r="P15" s="293"/>
      <c r="Q15" s="293"/>
    </row>
    <row r="16" spans="1:17" ht="15" x14ac:dyDescent="0.25">
      <c r="A16" s="33" t="s">
        <v>85</v>
      </c>
      <c r="B16" s="220">
        <v>1583</v>
      </c>
      <c r="C16" s="220">
        <v>22442752.200000003</v>
      </c>
      <c r="D16" s="220">
        <v>6135761.7199999988</v>
      </c>
      <c r="E16" s="220">
        <v>4709363.0600000015</v>
      </c>
      <c r="F16" s="220">
        <v>4796223.5199999996</v>
      </c>
      <c r="G16" s="220">
        <v>532006.74</v>
      </c>
      <c r="H16" s="220">
        <f>SUM(C16:G16)</f>
        <v>38616107.240000002</v>
      </c>
      <c r="K16" s="294"/>
      <c r="L16" s="293"/>
      <c r="M16" s="293"/>
      <c r="N16" s="293"/>
      <c r="O16" s="293"/>
      <c r="P16" s="293"/>
      <c r="Q16" s="293"/>
    </row>
    <row r="17" spans="1:17" x14ac:dyDescent="0.2">
      <c r="A17" s="33" t="s">
        <v>104</v>
      </c>
      <c r="B17" s="221">
        <f t="shared" ref="B17:H17" si="2">SUM(B12:B16)</f>
        <v>38234</v>
      </c>
      <c r="C17" s="221">
        <f t="shared" si="2"/>
        <v>326056409.67000002</v>
      </c>
      <c r="D17" s="221">
        <f t="shared" si="2"/>
        <v>61654885.380000003</v>
      </c>
      <c r="E17" s="221">
        <f t="shared" si="2"/>
        <v>38528769.780000001</v>
      </c>
      <c r="F17" s="221">
        <f t="shared" si="2"/>
        <v>18977552.380000003</v>
      </c>
      <c r="G17" s="221">
        <f t="shared" si="2"/>
        <v>17662322.879999995</v>
      </c>
      <c r="H17" s="221">
        <f t="shared" si="2"/>
        <v>462879940.08999991</v>
      </c>
    </row>
    <row r="18" spans="1:17" x14ac:dyDescent="0.2">
      <c r="A18" s="33"/>
      <c r="B18" s="182"/>
      <c r="C18" s="221"/>
      <c r="D18" s="221"/>
      <c r="E18" s="221"/>
      <c r="F18" s="221"/>
      <c r="G18" s="221"/>
      <c r="H18" s="214"/>
    </row>
    <row r="19" spans="1:17" ht="15" x14ac:dyDescent="0.25">
      <c r="A19" s="33" t="s">
        <v>86</v>
      </c>
      <c r="B19" s="214">
        <v>10038</v>
      </c>
      <c r="C19" s="214">
        <v>74916469.600000009</v>
      </c>
      <c r="D19" s="214">
        <v>13518440.329999998</v>
      </c>
      <c r="E19" s="214">
        <v>8866267.0999999978</v>
      </c>
      <c r="F19" s="214">
        <v>3614097.0599999996</v>
      </c>
      <c r="G19" s="214">
        <v>4864669.04</v>
      </c>
      <c r="H19" s="214">
        <f>SUM(C19:G19)</f>
        <v>105779943.13000001</v>
      </c>
      <c r="K19" s="294"/>
      <c r="L19" s="293"/>
      <c r="M19" s="293"/>
      <c r="N19" s="293"/>
      <c r="O19" s="293"/>
      <c r="P19" s="293"/>
      <c r="Q19" s="293"/>
    </row>
    <row r="20" spans="1:17" ht="15" x14ac:dyDescent="0.25">
      <c r="A20" s="33" t="s">
        <v>87</v>
      </c>
      <c r="B20" s="220">
        <v>7400</v>
      </c>
      <c r="C20" s="220">
        <v>76175004.650000021</v>
      </c>
      <c r="D20" s="220">
        <v>14339921.999999996</v>
      </c>
      <c r="E20" s="220">
        <v>13203034.550000003</v>
      </c>
      <c r="F20" s="220">
        <v>5788334.54</v>
      </c>
      <c r="G20" s="220">
        <v>3310425.12</v>
      </c>
      <c r="H20" s="220">
        <f>SUM(C20:G20)</f>
        <v>112816720.86000003</v>
      </c>
      <c r="K20" s="294"/>
      <c r="L20" s="293"/>
      <c r="M20" s="293"/>
      <c r="N20" s="293"/>
      <c r="O20" s="293"/>
      <c r="P20" s="293"/>
      <c r="Q20" s="293"/>
    </row>
    <row r="21" spans="1:17" ht="15" x14ac:dyDescent="0.25">
      <c r="A21" s="33" t="s">
        <v>105</v>
      </c>
      <c r="B21" s="221">
        <f t="shared" ref="B21:H21" si="3">SUM(B19:B20)</f>
        <v>17438</v>
      </c>
      <c r="C21" s="221">
        <f t="shared" si="3"/>
        <v>151091474.25000003</v>
      </c>
      <c r="D21" s="221">
        <f t="shared" si="3"/>
        <v>27858362.329999994</v>
      </c>
      <c r="E21" s="221">
        <f t="shared" si="3"/>
        <v>22069301.649999999</v>
      </c>
      <c r="F21" s="221">
        <f t="shared" si="3"/>
        <v>9402431.5999999996</v>
      </c>
      <c r="G21" s="221">
        <f t="shared" si="3"/>
        <v>8175094.1600000001</v>
      </c>
      <c r="H21" s="221">
        <f t="shared" si="3"/>
        <v>218596663.99000004</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149410</v>
      </c>
      <c r="C23" s="222">
        <f t="shared" si="4"/>
        <v>1189149664.9900002</v>
      </c>
      <c r="D23" s="222">
        <f t="shared" si="4"/>
        <v>207649706.88</v>
      </c>
      <c r="E23" s="222">
        <f t="shared" si="4"/>
        <v>135044554.73000002</v>
      </c>
      <c r="F23" s="222">
        <f t="shared" si="4"/>
        <v>60584434.310000002</v>
      </c>
      <c r="G23" s="222">
        <f t="shared" si="4"/>
        <v>57806006.309999995</v>
      </c>
      <c r="H23" s="222">
        <f t="shared" si="4"/>
        <v>1650234367.2199998</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FY2015</v>
      </c>
      <c r="C26" s="22"/>
      <c r="D26" s="22"/>
      <c r="E26" s="22"/>
      <c r="F26" s="22"/>
      <c r="G26" s="22"/>
      <c r="H26" s="22"/>
    </row>
    <row r="27" spans="1:17" ht="33.75" x14ac:dyDescent="0.2">
      <c r="A27" s="155" t="s">
        <v>245</v>
      </c>
      <c r="B27" s="172" t="str">
        <f t="shared" ref="B27:H34" si="5">B3</f>
        <v>ANB15</v>
      </c>
      <c r="C27" s="172" t="str">
        <f t="shared" si="5"/>
        <v>15/Pupil Salaries &amp; Benefits</v>
      </c>
      <c r="D27" s="172" t="str">
        <f t="shared" si="5"/>
        <v>15/Pupil Purchased Services</v>
      </c>
      <c r="E27" s="172" t="str">
        <f t="shared" si="5"/>
        <v>15/Pupil Supplies</v>
      </c>
      <c r="F27" s="172" t="str">
        <f t="shared" si="5"/>
        <v>15/Pupil Capital Outlay</v>
      </c>
      <c r="G27" s="172" t="str">
        <f t="shared" si="5"/>
        <v>15/Pupil Other</v>
      </c>
      <c r="H27" s="172" t="str">
        <f t="shared" si="5"/>
        <v>15/Pupil Total Expenditures</v>
      </c>
    </row>
    <row r="28" spans="1:17" x14ac:dyDescent="0.2">
      <c r="A28" s="33" t="s">
        <v>102</v>
      </c>
      <c r="B28" s="214">
        <f t="shared" si="5"/>
        <v>40133</v>
      </c>
      <c r="C28" s="182">
        <f t="shared" ref="C28:H34" si="6">C4/$B28</f>
        <v>7347.5835414745961</v>
      </c>
      <c r="D28" s="182">
        <f t="shared" si="6"/>
        <v>1125.382809408716</v>
      </c>
      <c r="E28" s="182">
        <f t="shared" si="6"/>
        <v>551.2162427428799</v>
      </c>
      <c r="F28" s="182">
        <f t="shared" si="6"/>
        <v>116.23652953928188</v>
      </c>
      <c r="G28" s="182">
        <f t="shared" si="6"/>
        <v>338.43898188523161</v>
      </c>
      <c r="H28" s="182">
        <f t="shared" si="6"/>
        <v>9478.8581050507055</v>
      </c>
    </row>
    <row r="29" spans="1:17" x14ac:dyDescent="0.2">
      <c r="A29" s="33" t="s">
        <v>76</v>
      </c>
      <c r="B29" s="214">
        <f t="shared" si="5"/>
        <v>20955</v>
      </c>
      <c r="C29" s="182">
        <f t="shared" si="6"/>
        <v>7616.9157733237889</v>
      </c>
      <c r="D29" s="182">
        <f t="shared" si="6"/>
        <v>1170.815590073968</v>
      </c>
      <c r="E29" s="182">
        <f t="shared" si="6"/>
        <v>795.50181006919593</v>
      </c>
      <c r="F29" s="182">
        <f t="shared" si="6"/>
        <v>477.67610355523749</v>
      </c>
      <c r="G29" s="182">
        <f t="shared" si="6"/>
        <v>380.66792794082556</v>
      </c>
      <c r="H29" s="182">
        <f t="shared" si="6"/>
        <v>10441.577204963016</v>
      </c>
    </row>
    <row r="30" spans="1:17" x14ac:dyDescent="0.2">
      <c r="A30" s="33" t="s">
        <v>77</v>
      </c>
      <c r="B30" s="214">
        <f t="shared" si="5"/>
        <v>13511</v>
      </c>
      <c r="C30" s="182">
        <f t="shared" si="6"/>
        <v>7962.6237532381019</v>
      </c>
      <c r="D30" s="182">
        <f t="shared" si="6"/>
        <v>1172.7432825105468</v>
      </c>
      <c r="E30" s="182">
        <f t="shared" si="6"/>
        <v>956.81912367700386</v>
      </c>
      <c r="F30" s="182">
        <f t="shared" si="6"/>
        <v>410.70485604322403</v>
      </c>
      <c r="G30" s="182">
        <f t="shared" si="6"/>
        <v>332.73850048108949</v>
      </c>
      <c r="H30" s="182">
        <f t="shared" si="6"/>
        <v>10835.629515949966</v>
      </c>
    </row>
    <row r="31" spans="1:17" x14ac:dyDescent="0.2">
      <c r="A31" s="33" t="s">
        <v>78</v>
      </c>
      <c r="B31" s="214">
        <f t="shared" si="5"/>
        <v>12550</v>
      </c>
      <c r="C31" s="182">
        <f t="shared" si="6"/>
        <v>7364.82823984064</v>
      </c>
      <c r="D31" s="182">
        <f t="shared" si="6"/>
        <v>1523.272301992032</v>
      </c>
      <c r="E31" s="182">
        <f t="shared" si="6"/>
        <v>998.30689960159361</v>
      </c>
      <c r="F31" s="182">
        <f t="shared" si="6"/>
        <v>570.99088685258971</v>
      </c>
      <c r="G31" s="182">
        <f t="shared" si="6"/>
        <v>377.99923984063736</v>
      </c>
      <c r="H31" s="182">
        <f t="shared" si="6"/>
        <v>10835.397568127491</v>
      </c>
    </row>
    <row r="32" spans="1:17" x14ac:dyDescent="0.2">
      <c r="A32" s="33" t="s">
        <v>79</v>
      </c>
      <c r="B32" s="214">
        <f t="shared" si="5"/>
        <v>4913</v>
      </c>
      <c r="C32" s="182">
        <f t="shared" si="6"/>
        <v>8509.2792855689022</v>
      </c>
      <c r="D32" s="182">
        <f t="shared" si="6"/>
        <v>1934.3593649501329</v>
      </c>
      <c r="E32" s="182">
        <f t="shared" si="6"/>
        <v>1487.4881518420518</v>
      </c>
      <c r="F32" s="182">
        <f t="shared" si="6"/>
        <v>700.2995603500915</v>
      </c>
      <c r="G32" s="182">
        <f t="shared" si="6"/>
        <v>233.55373905963771</v>
      </c>
      <c r="H32" s="182">
        <f t="shared" si="6"/>
        <v>12864.980101770818</v>
      </c>
    </row>
    <row r="33" spans="1:8" x14ac:dyDescent="0.2">
      <c r="A33" s="33" t="s">
        <v>80</v>
      </c>
      <c r="B33" s="220">
        <f t="shared" si="5"/>
        <v>1676</v>
      </c>
      <c r="C33" s="183">
        <f t="shared" si="6"/>
        <v>9362.2002983293551</v>
      </c>
      <c r="D33" s="183">
        <f t="shared" si="6"/>
        <v>2369.6424522673037</v>
      </c>
      <c r="E33" s="183">
        <f t="shared" si="6"/>
        <v>1724.592684964201</v>
      </c>
      <c r="F33" s="183">
        <f t="shared" si="6"/>
        <v>819.97986873508364</v>
      </c>
      <c r="G33" s="183">
        <f t="shared" si="6"/>
        <v>13.216778042959428</v>
      </c>
      <c r="H33" s="183">
        <f t="shared" si="6"/>
        <v>14289.632082338903</v>
      </c>
    </row>
    <row r="34" spans="1:8" x14ac:dyDescent="0.2">
      <c r="A34" s="33" t="s">
        <v>103</v>
      </c>
      <c r="B34" s="214">
        <f t="shared" si="5"/>
        <v>93738</v>
      </c>
      <c r="C34" s="182">
        <f t="shared" si="6"/>
        <v>7595.6579089590141</v>
      </c>
      <c r="D34" s="182">
        <f t="shared" si="6"/>
        <v>1260.2835474407391</v>
      </c>
      <c r="E34" s="182">
        <f t="shared" si="6"/>
        <v>794.19747914399727</v>
      </c>
      <c r="F34" s="182">
        <f t="shared" si="6"/>
        <v>343.55811229170666</v>
      </c>
      <c r="G34" s="182">
        <f t="shared" si="6"/>
        <v>341.04193891484778</v>
      </c>
      <c r="H34" s="182">
        <f t="shared" si="6"/>
        <v>10334.738986750304</v>
      </c>
    </row>
    <row r="35" spans="1:8" x14ac:dyDescent="0.2">
      <c r="A35" s="33"/>
      <c r="B35" s="214"/>
      <c r="C35" s="182"/>
      <c r="D35" s="182"/>
      <c r="E35" s="182"/>
      <c r="F35" s="182"/>
      <c r="G35" s="182"/>
      <c r="H35" s="182"/>
    </row>
    <row r="36" spans="1:8" x14ac:dyDescent="0.2">
      <c r="A36" s="33" t="s">
        <v>81</v>
      </c>
      <c r="B36" s="214">
        <f t="shared" ref="B36:B41" si="7">B12</f>
        <v>21295</v>
      </c>
      <c r="C36" s="182">
        <f t="shared" ref="C36:H41" si="8">C12/$B36</f>
        <v>7767.7954566799717</v>
      </c>
      <c r="D36" s="182">
        <f t="shared" si="8"/>
        <v>1480.8558455036393</v>
      </c>
      <c r="E36" s="182">
        <f t="shared" si="8"/>
        <v>633.77821366517958</v>
      </c>
      <c r="F36" s="182">
        <f t="shared" si="8"/>
        <v>222.69204836816155</v>
      </c>
      <c r="G36" s="182">
        <f t="shared" si="8"/>
        <v>432.68639305001165</v>
      </c>
      <c r="H36" s="182">
        <f t="shared" si="8"/>
        <v>10537.807957266963</v>
      </c>
    </row>
    <row r="37" spans="1:8" x14ac:dyDescent="0.2">
      <c r="A37" s="33" t="s">
        <v>82</v>
      </c>
      <c r="B37" s="214">
        <f t="shared" si="7"/>
        <v>6285</v>
      </c>
      <c r="C37" s="182">
        <f t="shared" si="8"/>
        <v>8527.8052553699272</v>
      </c>
      <c r="D37" s="182">
        <f t="shared" si="8"/>
        <v>1114.0919840891011</v>
      </c>
      <c r="E37" s="182">
        <f t="shared" si="8"/>
        <v>1207.2385457438345</v>
      </c>
      <c r="F37" s="182">
        <f t="shared" si="8"/>
        <v>466.76036276849646</v>
      </c>
      <c r="G37" s="182">
        <f t="shared" si="8"/>
        <v>705.37158949880654</v>
      </c>
      <c r="H37" s="182">
        <f t="shared" si="8"/>
        <v>12021.267737470165</v>
      </c>
    </row>
    <row r="38" spans="1:8" x14ac:dyDescent="0.2">
      <c r="A38" s="33" t="s">
        <v>83</v>
      </c>
      <c r="B38" s="214">
        <f t="shared" si="7"/>
        <v>4540</v>
      </c>
      <c r="C38" s="182">
        <f t="shared" si="8"/>
        <v>8795.8324515418499</v>
      </c>
      <c r="D38" s="182">
        <f t="shared" si="8"/>
        <v>1744.3064735682822</v>
      </c>
      <c r="E38" s="182">
        <f t="shared" si="8"/>
        <v>1290.4534691629956</v>
      </c>
      <c r="F38" s="182">
        <f t="shared" si="8"/>
        <v>730.33455506607936</v>
      </c>
      <c r="G38" s="182">
        <f t="shared" si="8"/>
        <v>247.57282158590306</v>
      </c>
      <c r="H38" s="182">
        <f t="shared" si="8"/>
        <v>12808.499770925111</v>
      </c>
    </row>
    <row r="39" spans="1:8" x14ac:dyDescent="0.2">
      <c r="A39" s="33" t="s">
        <v>84</v>
      </c>
      <c r="B39" s="214">
        <f t="shared" si="7"/>
        <v>4531</v>
      </c>
      <c r="C39" s="182">
        <f t="shared" si="8"/>
        <v>9858.3354358861179</v>
      </c>
      <c r="D39" s="182">
        <f t="shared" si="8"/>
        <v>2000.2381196203933</v>
      </c>
      <c r="E39" s="182">
        <f t="shared" si="8"/>
        <v>1517.7547230192015</v>
      </c>
      <c r="F39" s="182">
        <f t="shared" si="8"/>
        <v>703.99336349591692</v>
      </c>
      <c r="G39" s="182">
        <f t="shared" si="8"/>
        <v>520.63967115427056</v>
      </c>
      <c r="H39" s="182">
        <f t="shared" si="8"/>
        <v>14600.961313175902</v>
      </c>
    </row>
    <row r="40" spans="1:8" x14ac:dyDescent="0.2">
      <c r="A40" s="33" t="s">
        <v>85</v>
      </c>
      <c r="B40" s="220">
        <f t="shared" si="7"/>
        <v>1583</v>
      </c>
      <c r="C40" s="183">
        <f t="shared" si="8"/>
        <v>14177.354516740368</v>
      </c>
      <c r="D40" s="183">
        <f t="shared" si="8"/>
        <v>3876.0339355653814</v>
      </c>
      <c r="E40" s="183">
        <f t="shared" si="8"/>
        <v>2974.9608717624774</v>
      </c>
      <c r="F40" s="183">
        <f t="shared" si="8"/>
        <v>3029.8316614024002</v>
      </c>
      <c r="G40" s="183">
        <f t="shared" si="8"/>
        <v>336.07500947567911</v>
      </c>
      <c r="H40" s="183">
        <f t="shared" si="8"/>
        <v>24394.255994946307</v>
      </c>
    </row>
    <row r="41" spans="1:8" x14ac:dyDescent="0.2">
      <c r="A41" s="33" t="s">
        <v>104</v>
      </c>
      <c r="B41" s="214">
        <f t="shared" si="7"/>
        <v>38234</v>
      </c>
      <c r="C41" s="182">
        <f t="shared" si="8"/>
        <v>8527.9178132029083</v>
      </c>
      <c r="D41" s="182">
        <f t="shared" si="8"/>
        <v>1612.5669660511587</v>
      </c>
      <c r="E41" s="182">
        <f t="shared" si="8"/>
        <v>1007.7096244180573</v>
      </c>
      <c r="F41" s="182">
        <f t="shared" si="8"/>
        <v>496.3527849557986</v>
      </c>
      <c r="G41" s="182">
        <f t="shared" si="8"/>
        <v>461.95331066589932</v>
      </c>
      <c r="H41" s="182">
        <f t="shared" si="8"/>
        <v>12106.500499293819</v>
      </c>
    </row>
    <row r="42" spans="1:8" x14ac:dyDescent="0.2">
      <c r="A42" s="33"/>
      <c r="B42" s="214"/>
      <c r="C42" s="182"/>
      <c r="D42" s="182"/>
      <c r="E42" s="182"/>
      <c r="F42" s="182"/>
      <c r="G42" s="182"/>
      <c r="H42" s="182"/>
    </row>
    <row r="43" spans="1:8" x14ac:dyDescent="0.2">
      <c r="A43" s="33" t="s">
        <v>86</v>
      </c>
      <c r="B43" s="214">
        <f>B19</f>
        <v>10038</v>
      </c>
      <c r="C43" s="182">
        <f t="shared" ref="C43:H45" si="9">C19/$B43</f>
        <v>7463.2864714086481</v>
      </c>
      <c r="D43" s="182">
        <f t="shared" si="9"/>
        <v>1346.7264724048614</v>
      </c>
      <c r="E43" s="182">
        <f t="shared" si="9"/>
        <v>883.27028292488524</v>
      </c>
      <c r="F43" s="182">
        <f t="shared" si="9"/>
        <v>360.04154811715478</v>
      </c>
      <c r="G43" s="182">
        <f t="shared" si="9"/>
        <v>484.6253277545328</v>
      </c>
      <c r="H43" s="182">
        <f t="shared" si="9"/>
        <v>10537.950102610082</v>
      </c>
    </row>
    <row r="44" spans="1:8" x14ac:dyDescent="0.2">
      <c r="A44" s="33" t="s">
        <v>87</v>
      </c>
      <c r="B44" s="220">
        <f>B20</f>
        <v>7400</v>
      </c>
      <c r="C44" s="183">
        <f t="shared" si="9"/>
        <v>10293.919547297301</v>
      </c>
      <c r="D44" s="183">
        <f t="shared" si="9"/>
        <v>1937.8272972972968</v>
      </c>
      <c r="E44" s="183">
        <f t="shared" si="9"/>
        <v>1784.1938581081085</v>
      </c>
      <c r="F44" s="183">
        <f t="shared" si="9"/>
        <v>782.2073702702703</v>
      </c>
      <c r="G44" s="183">
        <f t="shared" si="9"/>
        <v>447.35474594594598</v>
      </c>
      <c r="H44" s="183">
        <f t="shared" si="9"/>
        <v>15245.502818918923</v>
      </c>
    </row>
    <row r="45" spans="1:8" x14ac:dyDescent="0.2">
      <c r="A45" s="33" t="s">
        <v>105</v>
      </c>
      <c r="B45" s="214">
        <f>B21</f>
        <v>17438</v>
      </c>
      <c r="C45" s="182">
        <f t="shared" si="9"/>
        <v>8664.4955986925124</v>
      </c>
      <c r="D45" s="182">
        <f t="shared" si="9"/>
        <v>1597.5663682761781</v>
      </c>
      <c r="E45" s="182">
        <f t="shared" si="9"/>
        <v>1265.5867444661085</v>
      </c>
      <c r="F45" s="182">
        <f t="shared" si="9"/>
        <v>539.19208624842292</v>
      </c>
      <c r="G45" s="182">
        <f t="shared" si="9"/>
        <v>468.80916160110104</v>
      </c>
      <c r="H45" s="182">
        <f t="shared" si="9"/>
        <v>12535.649959284325</v>
      </c>
    </row>
    <row r="46" spans="1:8" x14ac:dyDescent="0.2">
      <c r="A46" s="33"/>
      <c r="B46" s="214"/>
      <c r="C46" s="182"/>
      <c r="D46" s="182"/>
      <c r="E46" s="182"/>
      <c r="F46" s="182"/>
      <c r="G46" s="182"/>
      <c r="H46" s="182"/>
    </row>
    <row r="47" spans="1:8" ht="13.5" thickBot="1" x14ac:dyDescent="0.25">
      <c r="A47" s="33" t="s">
        <v>209</v>
      </c>
      <c r="B47" s="222">
        <f>B23</f>
        <v>149410</v>
      </c>
      <c r="C47" s="192">
        <f t="shared" ref="C47:H47" si="10">C23/$B47</f>
        <v>7958.9697141422948</v>
      </c>
      <c r="D47" s="192">
        <f t="shared" si="10"/>
        <v>1389.797917676193</v>
      </c>
      <c r="E47" s="192">
        <f t="shared" si="10"/>
        <v>903.85218345492285</v>
      </c>
      <c r="F47" s="192">
        <f t="shared" si="10"/>
        <v>405.4911606318185</v>
      </c>
      <c r="G47" s="192">
        <f t="shared" si="10"/>
        <v>386.89516304129575</v>
      </c>
      <c r="H47" s="222">
        <f t="shared" si="10"/>
        <v>11045.006138946521</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FY2015</v>
      </c>
      <c r="C52" s="182"/>
      <c r="D52" s="182"/>
      <c r="E52" s="182"/>
      <c r="F52" s="182"/>
      <c r="G52" s="182"/>
      <c r="H52" s="182"/>
    </row>
    <row r="53" spans="1:8" ht="33.75" x14ac:dyDescent="0.2">
      <c r="A53" s="155" t="s">
        <v>245</v>
      </c>
      <c r="B53" s="172" t="str">
        <f t="shared" ref="B53:H59" si="11">B3</f>
        <v>ANB15</v>
      </c>
      <c r="C53" s="172" t="str">
        <f t="shared" si="11"/>
        <v>15/Pupil Salaries &amp; Benefits</v>
      </c>
      <c r="D53" s="172" t="str">
        <f t="shared" si="11"/>
        <v>15/Pupil Purchased Services</v>
      </c>
      <c r="E53" s="172" t="str">
        <f t="shared" si="11"/>
        <v>15/Pupil Supplies</v>
      </c>
      <c r="F53" s="172" t="str">
        <f t="shared" si="11"/>
        <v>15/Pupil Capital Outlay</v>
      </c>
      <c r="G53" s="172" t="str">
        <f t="shared" si="11"/>
        <v>15/Pupil Other</v>
      </c>
      <c r="H53" s="172" t="str">
        <f t="shared" si="11"/>
        <v>15/Pupil Total Expenditures</v>
      </c>
    </row>
    <row r="54" spans="1:8" x14ac:dyDescent="0.2">
      <c r="A54" s="33" t="s">
        <v>102</v>
      </c>
      <c r="B54" s="214">
        <f t="shared" si="11"/>
        <v>40133</v>
      </c>
      <c r="C54" s="191">
        <f t="shared" ref="C54:H60" si="12">C28/$H28</f>
        <v>0.77515492478566772</v>
      </c>
      <c r="D54" s="191">
        <f t="shared" si="12"/>
        <v>0.11872556767244655</v>
      </c>
      <c r="E54" s="191">
        <f t="shared" si="12"/>
        <v>5.8152177892521716E-2</v>
      </c>
      <c r="F54" s="191">
        <f t="shared" si="12"/>
        <v>1.2262714374566544E-2</v>
      </c>
      <c r="G54" s="191">
        <f t="shared" si="12"/>
        <v>3.5704615274797513E-2</v>
      </c>
      <c r="H54" s="191">
        <f t="shared" si="12"/>
        <v>1</v>
      </c>
    </row>
    <row r="55" spans="1:8" x14ac:dyDescent="0.2">
      <c r="A55" s="33" t="s">
        <v>76</v>
      </c>
      <c r="B55" s="214">
        <f t="shared" si="11"/>
        <v>20955</v>
      </c>
      <c r="C55" s="191">
        <f t="shared" si="12"/>
        <v>0.72947942861576232</v>
      </c>
      <c r="D55" s="191">
        <f t="shared" si="12"/>
        <v>0.11213014730355719</v>
      </c>
      <c r="E55" s="191">
        <f t="shared" si="12"/>
        <v>7.618598172037494E-2</v>
      </c>
      <c r="F55" s="191">
        <f t="shared" si="12"/>
        <v>4.574750482409802E-2</v>
      </c>
      <c r="G55" s="191">
        <f t="shared" si="12"/>
        <v>3.6456937536207573E-2</v>
      </c>
      <c r="H55" s="191">
        <f t="shared" si="12"/>
        <v>1</v>
      </c>
    </row>
    <row r="56" spans="1:8" x14ac:dyDescent="0.2">
      <c r="A56" s="33" t="s">
        <v>77</v>
      </c>
      <c r="B56" s="214">
        <f t="shared" si="11"/>
        <v>13511</v>
      </c>
      <c r="C56" s="191">
        <f t="shared" si="12"/>
        <v>0.73485566680894532</v>
      </c>
      <c r="D56" s="191">
        <f t="shared" si="12"/>
        <v>0.10823028609314091</v>
      </c>
      <c r="E56" s="191">
        <f t="shared" si="12"/>
        <v>8.830304896162916E-2</v>
      </c>
      <c r="F56" s="191">
        <f t="shared" si="12"/>
        <v>3.7903183699541362E-2</v>
      </c>
      <c r="G56" s="191">
        <f t="shared" si="12"/>
        <v>3.0707814436743235E-2</v>
      </c>
      <c r="H56" s="191">
        <f t="shared" si="12"/>
        <v>1</v>
      </c>
    </row>
    <row r="57" spans="1:8" x14ac:dyDescent="0.2">
      <c r="A57" s="33" t="s">
        <v>78</v>
      </c>
      <c r="B57" s="214">
        <f t="shared" si="11"/>
        <v>12550</v>
      </c>
      <c r="C57" s="191">
        <f t="shared" si="12"/>
        <v>0.67970078564578096</v>
      </c>
      <c r="D57" s="191">
        <f t="shared" si="12"/>
        <v>0.14058296360742348</v>
      </c>
      <c r="E57" s="191">
        <f t="shared" si="12"/>
        <v>9.2133850495539779E-2</v>
      </c>
      <c r="F57" s="191">
        <f t="shared" si="12"/>
        <v>5.2696809993587057E-2</v>
      </c>
      <c r="G57" s="191">
        <f t="shared" si="12"/>
        <v>3.4885590257668866E-2</v>
      </c>
      <c r="H57" s="191">
        <f t="shared" si="12"/>
        <v>1</v>
      </c>
    </row>
    <row r="58" spans="1:8" x14ac:dyDescent="0.2">
      <c r="A58" s="33" t="s">
        <v>79</v>
      </c>
      <c r="B58" s="214">
        <f t="shared" si="11"/>
        <v>4913</v>
      </c>
      <c r="C58" s="191">
        <f t="shared" si="12"/>
        <v>0.66142964996872644</v>
      </c>
      <c r="D58" s="191">
        <f t="shared" si="12"/>
        <v>0.15035851976824086</v>
      </c>
      <c r="E58" s="191">
        <f t="shared" si="12"/>
        <v>0.11562304333741678</v>
      </c>
      <c r="F58" s="191">
        <f t="shared" si="12"/>
        <v>5.4434562262066603E-2</v>
      </c>
      <c r="G58" s="191">
        <f t="shared" si="12"/>
        <v>1.8154224663549219E-2</v>
      </c>
      <c r="H58" s="191">
        <f t="shared" si="12"/>
        <v>1</v>
      </c>
    </row>
    <row r="59" spans="1:8" x14ac:dyDescent="0.2">
      <c r="A59" s="33" t="s">
        <v>80</v>
      </c>
      <c r="B59" s="220">
        <f t="shared" si="11"/>
        <v>1676</v>
      </c>
      <c r="C59" s="193">
        <f t="shared" si="12"/>
        <v>0.65517434209523506</v>
      </c>
      <c r="D59" s="193">
        <f t="shared" si="12"/>
        <v>0.16582949362258489</v>
      </c>
      <c r="E59" s="193">
        <f t="shared" si="12"/>
        <v>0.12068838966789706</v>
      </c>
      <c r="F59" s="193">
        <f t="shared" si="12"/>
        <v>5.7382853806888963E-2</v>
      </c>
      <c r="G59" s="193">
        <f t="shared" si="12"/>
        <v>9.2492080739395267E-4</v>
      </c>
      <c r="H59" s="193">
        <f t="shared" si="12"/>
        <v>1</v>
      </c>
    </row>
    <row r="60" spans="1:8" x14ac:dyDescent="0.2">
      <c r="A60" s="33" t="s">
        <v>103</v>
      </c>
      <c r="B60" s="214">
        <f>SUM(B54:B59)</f>
        <v>93738</v>
      </c>
      <c r="C60" s="191">
        <f t="shared" si="12"/>
        <v>0.73496369078087598</v>
      </c>
      <c r="D60" s="191">
        <f t="shared" si="12"/>
        <v>0.1219463354668648</v>
      </c>
      <c r="E60" s="191">
        <f t="shared" si="12"/>
        <v>7.6847366940007045E-2</v>
      </c>
      <c r="F60" s="191">
        <f t="shared" si="12"/>
        <v>3.3243037171249976E-2</v>
      </c>
      <c r="G60" s="191">
        <f t="shared" si="12"/>
        <v>3.2999569641002258E-2</v>
      </c>
      <c r="H60" s="191">
        <f t="shared" si="12"/>
        <v>1</v>
      </c>
    </row>
    <row r="61" spans="1:8" x14ac:dyDescent="0.2">
      <c r="A61" s="33"/>
      <c r="B61" s="214"/>
      <c r="C61" s="191"/>
      <c r="D61" s="191"/>
      <c r="E61" s="191"/>
      <c r="F61" s="191"/>
      <c r="G61" s="191"/>
      <c r="H61" s="191"/>
    </row>
    <row r="62" spans="1:8" x14ac:dyDescent="0.2">
      <c r="A62" s="33" t="s">
        <v>81</v>
      </c>
      <c r="B62" s="214">
        <f t="shared" ref="B62:B67" si="13">B12</f>
        <v>21295</v>
      </c>
      <c r="C62" s="191">
        <f t="shared" ref="C62:H67" si="14">C36/$H36</f>
        <v>0.73713579600046075</v>
      </c>
      <c r="D62" s="191">
        <f t="shared" si="14"/>
        <v>0.14052788317160672</v>
      </c>
      <c r="E62" s="191">
        <f t="shared" si="14"/>
        <v>6.0143268527504401E-2</v>
      </c>
      <c r="F62" s="191">
        <f t="shared" si="14"/>
        <v>2.1132672873829628E-2</v>
      </c>
      <c r="G62" s="191">
        <f t="shared" si="14"/>
        <v>4.1060379426598619E-2</v>
      </c>
      <c r="H62" s="191">
        <f t="shared" si="14"/>
        <v>1</v>
      </c>
    </row>
    <row r="63" spans="1:8" x14ac:dyDescent="0.2">
      <c r="A63" s="33" t="s">
        <v>82</v>
      </c>
      <c r="B63" s="214">
        <f t="shared" si="13"/>
        <v>6285</v>
      </c>
      <c r="C63" s="191">
        <f t="shared" si="14"/>
        <v>0.70939317230152421</v>
      </c>
      <c r="D63" s="191">
        <f t="shared" si="14"/>
        <v>9.2676746614376457E-2</v>
      </c>
      <c r="E63" s="191">
        <f t="shared" si="14"/>
        <v>0.10042522736440555</v>
      </c>
      <c r="F63" s="191">
        <f t="shared" si="14"/>
        <v>3.8827881797658441E-2</v>
      </c>
      <c r="G63" s="191">
        <f t="shared" si="14"/>
        <v>5.8676971922035373E-2</v>
      </c>
      <c r="H63" s="191">
        <f t="shared" si="14"/>
        <v>1</v>
      </c>
    </row>
    <row r="64" spans="1:8" x14ac:dyDescent="0.2">
      <c r="A64" s="33" t="s">
        <v>83</v>
      </c>
      <c r="B64" s="214">
        <f t="shared" si="13"/>
        <v>4540</v>
      </c>
      <c r="C64" s="191">
        <f t="shared" si="14"/>
        <v>0.68671839862995598</v>
      </c>
      <c r="D64" s="191">
        <f t="shared" si="14"/>
        <v>0.13618351132173986</v>
      </c>
      <c r="E64" s="191">
        <f t="shared" si="14"/>
        <v>0.10074977493400782</v>
      </c>
      <c r="F64" s="191">
        <f t="shared" si="14"/>
        <v>5.70195236075903E-2</v>
      </c>
      <c r="G64" s="191">
        <f t="shared" si="14"/>
        <v>1.9328791506706001E-2</v>
      </c>
      <c r="H64" s="191">
        <f t="shared" si="14"/>
        <v>1</v>
      </c>
    </row>
    <row r="65" spans="1:8" x14ac:dyDescent="0.2">
      <c r="A65" s="33" t="s">
        <v>84</v>
      </c>
      <c r="B65" s="214">
        <f t="shared" si="13"/>
        <v>4531</v>
      </c>
      <c r="C65" s="191">
        <f t="shared" si="14"/>
        <v>0.6751839981241482</v>
      </c>
      <c r="D65" s="191">
        <f t="shared" si="14"/>
        <v>0.13699359081346096</v>
      </c>
      <c r="E65" s="191">
        <f t="shared" si="14"/>
        <v>0.10394895859696446</v>
      </c>
      <c r="F65" s="191">
        <f t="shared" si="14"/>
        <v>4.8215548852980905E-2</v>
      </c>
      <c r="G65" s="191">
        <f t="shared" si="14"/>
        <v>3.5657903612445405E-2</v>
      </c>
      <c r="H65" s="191">
        <f t="shared" si="14"/>
        <v>1</v>
      </c>
    </row>
    <row r="66" spans="1:8" x14ac:dyDescent="0.2">
      <c r="A66" s="33" t="s">
        <v>85</v>
      </c>
      <c r="B66" s="220">
        <f t="shared" si="13"/>
        <v>1583</v>
      </c>
      <c r="C66" s="193">
        <f t="shared" si="14"/>
        <v>0.581175934190305</v>
      </c>
      <c r="D66" s="193">
        <f t="shared" si="14"/>
        <v>0.15889125441531682</v>
      </c>
      <c r="E66" s="193">
        <f t="shared" si="14"/>
        <v>0.12195333493174755</v>
      </c>
      <c r="F66" s="193">
        <f t="shared" si="14"/>
        <v>0.12420266730127298</v>
      </c>
      <c r="G66" s="193">
        <f t="shared" si="14"/>
        <v>1.3776809161357611E-2</v>
      </c>
      <c r="H66" s="193">
        <f t="shared" si="14"/>
        <v>1</v>
      </c>
    </row>
    <row r="67" spans="1:8" x14ac:dyDescent="0.2">
      <c r="A67" s="33" t="s">
        <v>104</v>
      </c>
      <c r="B67" s="214">
        <f t="shared" si="13"/>
        <v>38234</v>
      </c>
      <c r="C67" s="191">
        <f t="shared" si="14"/>
        <v>0.70440816598490608</v>
      </c>
      <c r="D67" s="191">
        <f t="shared" si="14"/>
        <v>0.13319843881766005</v>
      </c>
      <c r="E67" s="191">
        <f t="shared" si="14"/>
        <v>8.3237069579011516E-2</v>
      </c>
      <c r="F67" s="191">
        <f t="shared" si="14"/>
        <v>4.0998865442970177E-2</v>
      </c>
      <c r="G67" s="191">
        <f t="shared" si="14"/>
        <v>3.8157460175452469E-2</v>
      </c>
      <c r="H67" s="191">
        <f t="shared" si="14"/>
        <v>1</v>
      </c>
    </row>
    <row r="68" spans="1:8" x14ac:dyDescent="0.2">
      <c r="A68" s="33"/>
      <c r="B68" s="214"/>
      <c r="C68" s="191"/>
      <c r="D68" s="191"/>
      <c r="E68" s="191"/>
      <c r="F68" s="191"/>
      <c r="G68" s="191"/>
      <c r="H68" s="191"/>
    </row>
    <row r="69" spans="1:8" x14ac:dyDescent="0.2">
      <c r="A69" s="33" t="s">
        <v>86</v>
      </c>
      <c r="B69" s="214">
        <f>B19</f>
        <v>10038</v>
      </c>
      <c r="C69" s="191">
        <f t="shared" ref="C69:H71" si="15">C43/$H43</f>
        <v>0.70822943729446119</v>
      </c>
      <c r="D69" s="191">
        <f t="shared" si="15"/>
        <v>0.12779776515275951</v>
      </c>
      <c r="E69" s="191">
        <f t="shared" si="15"/>
        <v>8.3818036176325536E-2</v>
      </c>
      <c r="F69" s="191">
        <f t="shared" si="15"/>
        <v>3.4166184562591372E-2</v>
      </c>
      <c r="G69" s="191">
        <f t="shared" si="15"/>
        <v>4.598857681386239E-2</v>
      </c>
      <c r="H69" s="191">
        <f t="shared" si="15"/>
        <v>1</v>
      </c>
    </row>
    <row r="70" spans="1:8" x14ac:dyDescent="0.2">
      <c r="A70" s="33" t="s">
        <v>87</v>
      </c>
      <c r="B70" s="220">
        <f>B20</f>
        <v>7400</v>
      </c>
      <c r="C70" s="193">
        <f t="shared" si="15"/>
        <v>0.67521023540942515</v>
      </c>
      <c r="D70" s="193">
        <f t="shared" si="15"/>
        <v>0.12710812626609783</v>
      </c>
      <c r="E70" s="193">
        <f t="shared" si="15"/>
        <v>0.11703083061937526</v>
      </c>
      <c r="F70" s="193">
        <f t="shared" si="15"/>
        <v>5.1307416984606717E-2</v>
      </c>
      <c r="G70" s="193">
        <f t="shared" si="15"/>
        <v>2.9343390720495004E-2</v>
      </c>
      <c r="H70" s="193">
        <f t="shared" si="15"/>
        <v>1</v>
      </c>
    </row>
    <row r="71" spans="1:8" x14ac:dyDescent="0.2">
      <c r="A71" s="33" t="s">
        <v>105</v>
      </c>
      <c r="B71" s="214">
        <f>B21</f>
        <v>17438</v>
      </c>
      <c r="C71" s="191">
        <f t="shared" si="15"/>
        <v>0.69118838088449452</v>
      </c>
      <c r="D71" s="191">
        <f t="shared" si="15"/>
        <v>0.12744184573317369</v>
      </c>
      <c r="E71" s="191">
        <f t="shared" si="15"/>
        <v>0.10095900480443555</v>
      </c>
      <c r="F71" s="191">
        <f t="shared" si="15"/>
        <v>4.3012694834309653E-2</v>
      </c>
      <c r="G71" s="191">
        <f t="shared" si="15"/>
        <v>3.7398073743586398E-2</v>
      </c>
      <c r="H71" s="191">
        <f t="shared" si="15"/>
        <v>1</v>
      </c>
    </row>
    <row r="72" spans="1:8" x14ac:dyDescent="0.2">
      <c r="A72" s="33"/>
      <c r="B72" s="214"/>
      <c r="C72" s="191"/>
      <c r="D72" s="191"/>
      <c r="E72" s="191"/>
      <c r="F72" s="191"/>
      <c r="G72" s="191"/>
      <c r="H72" s="191"/>
    </row>
    <row r="73" spans="1:8" ht="13.5" thickBot="1" x14ac:dyDescent="0.25">
      <c r="A73" s="33" t="s">
        <v>230</v>
      </c>
      <c r="B73" s="222">
        <f>B71+B67+B60</f>
        <v>149410</v>
      </c>
      <c r="C73" s="195">
        <f t="shared" ref="C73:H73" si="16">C47/$H47</f>
        <v>0.72059441289739523</v>
      </c>
      <c r="D73" s="195">
        <f t="shared" si="16"/>
        <v>0.1258304341520948</v>
      </c>
      <c r="E73" s="195">
        <f t="shared" si="16"/>
        <v>8.1833560985338921E-2</v>
      </c>
      <c r="F73" s="195">
        <f t="shared" si="16"/>
        <v>3.6712624287458702E-2</v>
      </c>
      <c r="G73" s="195">
        <f t="shared" si="16"/>
        <v>3.5028967677712672E-2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1243</v>
      </c>
      <c r="D1" s="22"/>
      <c r="E1" s="22"/>
      <c r="F1" s="22"/>
      <c r="G1" s="22"/>
      <c r="H1" s="22"/>
    </row>
    <row r="2" spans="1:17" x14ac:dyDescent="0.2">
      <c r="A2" s="22" t="s">
        <v>1212</v>
      </c>
    </row>
    <row r="3" spans="1:17" ht="34.5" x14ac:dyDescent="0.25">
      <c r="A3" s="22" t="s">
        <v>245</v>
      </c>
      <c r="B3" s="202" t="s">
        <v>1241</v>
      </c>
      <c r="C3" s="172" t="s">
        <v>1244</v>
      </c>
      <c r="D3" s="172" t="s">
        <v>1245</v>
      </c>
      <c r="E3" s="172" t="s">
        <v>1246</v>
      </c>
      <c r="F3" s="172" t="s">
        <v>1247</v>
      </c>
      <c r="G3" s="172" t="s">
        <v>1248</v>
      </c>
      <c r="H3" s="172" t="s">
        <v>1249</v>
      </c>
      <c r="K3" s="247"/>
      <c r="L3" s="247"/>
      <c r="M3" s="247"/>
      <c r="N3" s="247"/>
      <c r="O3" s="247"/>
      <c r="P3" s="247"/>
      <c r="Q3" s="247"/>
    </row>
    <row r="4" spans="1:17" ht="15" x14ac:dyDescent="0.25">
      <c r="A4" s="182" t="s">
        <v>102</v>
      </c>
      <c r="B4" s="214">
        <v>39709</v>
      </c>
      <c r="C4" s="214">
        <v>289931991.73999995</v>
      </c>
      <c r="D4" s="214">
        <v>43031902.43</v>
      </c>
      <c r="E4" s="214">
        <v>20613248.32</v>
      </c>
      <c r="F4" s="214">
        <v>4338304.0600000005</v>
      </c>
      <c r="G4" s="214">
        <v>7361570.4699999997</v>
      </c>
      <c r="H4" s="214">
        <f t="shared" ref="H4:H9" si="0">SUM(C4:G4)</f>
        <v>365277017.01999998</v>
      </c>
      <c r="K4" s="294"/>
      <c r="L4" s="293"/>
      <c r="M4" s="293"/>
      <c r="N4" s="293"/>
      <c r="O4" s="293"/>
      <c r="P4" s="293"/>
      <c r="Q4" s="293"/>
    </row>
    <row r="5" spans="1:17" ht="15" x14ac:dyDescent="0.25">
      <c r="A5" s="33" t="s">
        <v>76</v>
      </c>
      <c r="B5" s="214">
        <v>20553</v>
      </c>
      <c r="C5" s="214">
        <v>154002200.41</v>
      </c>
      <c r="D5" s="214">
        <v>23906072.369999997</v>
      </c>
      <c r="E5" s="214">
        <v>17101730.039999999</v>
      </c>
      <c r="F5" s="214">
        <v>6619430.7299999995</v>
      </c>
      <c r="G5" s="214">
        <v>7565458.5299999993</v>
      </c>
      <c r="H5" s="214">
        <f t="shared" si="0"/>
        <v>209194892.07999998</v>
      </c>
      <c r="K5" s="294"/>
      <c r="L5" s="293"/>
      <c r="M5" s="293"/>
      <c r="N5" s="293"/>
      <c r="O5" s="293"/>
      <c r="P5" s="293"/>
      <c r="Q5" s="293"/>
    </row>
    <row r="6" spans="1:17" ht="15" x14ac:dyDescent="0.25">
      <c r="A6" s="33" t="s">
        <v>77</v>
      </c>
      <c r="B6" s="214">
        <v>12931</v>
      </c>
      <c r="C6" s="214">
        <v>102739272.20999998</v>
      </c>
      <c r="D6" s="214">
        <v>15465603.469999997</v>
      </c>
      <c r="E6" s="214">
        <v>12663072.4</v>
      </c>
      <c r="F6" s="214">
        <v>5512620.9100000001</v>
      </c>
      <c r="G6" s="214">
        <v>4095373.1799999992</v>
      </c>
      <c r="H6" s="214">
        <f t="shared" si="0"/>
        <v>140475942.16999999</v>
      </c>
      <c r="K6" s="294"/>
      <c r="L6" s="293"/>
      <c r="M6" s="293"/>
      <c r="N6" s="293"/>
      <c r="O6" s="293"/>
      <c r="P6" s="293"/>
      <c r="Q6" s="293"/>
    </row>
    <row r="7" spans="1:17" ht="15" x14ac:dyDescent="0.25">
      <c r="A7" s="33" t="s">
        <v>78</v>
      </c>
      <c r="B7" s="214">
        <v>12657</v>
      </c>
      <c r="C7" s="214">
        <v>94035593.700000003</v>
      </c>
      <c r="D7" s="214">
        <v>18545473.619999997</v>
      </c>
      <c r="E7" s="214">
        <v>12546805.09</v>
      </c>
      <c r="F7" s="214">
        <v>6065102.1599999992</v>
      </c>
      <c r="G7" s="214">
        <v>4782530.4600000009</v>
      </c>
      <c r="H7" s="214">
        <f t="shared" si="0"/>
        <v>135975505.03</v>
      </c>
      <c r="K7" s="294"/>
      <c r="L7" s="293"/>
      <c r="M7" s="293"/>
      <c r="N7" s="293"/>
      <c r="O7" s="293"/>
      <c r="P7" s="293"/>
      <c r="Q7" s="293"/>
    </row>
    <row r="8" spans="1:17" ht="15" x14ac:dyDescent="0.25">
      <c r="A8" s="33" t="s">
        <v>79</v>
      </c>
      <c r="B8" s="214">
        <v>5090</v>
      </c>
      <c r="C8" s="214">
        <v>42792407.829999998</v>
      </c>
      <c r="D8" s="214">
        <v>9514921.5299999993</v>
      </c>
      <c r="E8" s="214">
        <v>7636276.9400000013</v>
      </c>
      <c r="F8" s="214">
        <v>3289093.23</v>
      </c>
      <c r="G8" s="214">
        <v>664938.79999999993</v>
      </c>
      <c r="H8" s="214">
        <f t="shared" si="0"/>
        <v>63897638.329999991</v>
      </c>
      <c r="K8" s="294"/>
      <c r="L8" s="293"/>
      <c r="M8" s="293"/>
      <c r="N8" s="293"/>
      <c r="O8" s="293"/>
      <c r="P8" s="293"/>
      <c r="Q8" s="293"/>
    </row>
    <row r="9" spans="1:17" ht="15" x14ac:dyDescent="0.25">
      <c r="A9" s="33" t="s">
        <v>80</v>
      </c>
      <c r="B9" s="220">
        <v>1747</v>
      </c>
      <c r="C9" s="220">
        <v>16011247.109999999</v>
      </c>
      <c r="D9" s="220">
        <v>4003473.7999999989</v>
      </c>
      <c r="E9" s="220">
        <v>3127349.27</v>
      </c>
      <c r="F9" s="220">
        <v>459776.73999999987</v>
      </c>
      <c r="G9" s="220">
        <v>1484</v>
      </c>
      <c r="H9" s="220">
        <f t="shared" si="0"/>
        <v>23603330.919999994</v>
      </c>
      <c r="K9" s="294"/>
      <c r="L9" s="293"/>
      <c r="M9" s="293"/>
      <c r="N9" s="293"/>
      <c r="O9" s="293"/>
      <c r="P9" s="293"/>
      <c r="Q9" s="293"/>
    </row>
    <row r="10" spans="1:17" x14ac:dyDescent="0.2">
      <c r="A10" s="33" t="s">
        <v>103</v>
      </c>
      <c r="B10" s="221">
        <f t="shared" ref="B10:H10" si="1">SUM(B4:B9)</f>
        <v>92687</v>
      </c>
      <c r="C10" s="221">
        <f t="shared" si="1"/>
        <v>699512713</v>
      </c>
      <c r="D10" s="221">
        <f t="shared" si="1"/>
        <v>114467447.21999998</v>
      </c>
      <c r="E10" s="221">
        <f t="shared" si="1"/>
        <v>73688482.059999987</v>
      </c>
      <c r="F10" s="221">
        <f t="shared" si="1"/>
        <v>26284327.829999998</v>
      </c>
      <c r="G10" s="221">
        <f t="shared" si="1"/>
        <v>24471355.440000001</v>
      </c>
      <c r="H10" s="214">
        <f t="shared" si="1"/>
        <v>938424325.54999983</v>
      </c>
    </row>
    <row r="11" spans="1:17" x14ac:dyDescent="0.2">
      <c r="A11" s="33"/>
      <c r="B11" s="182"/>
      <c r="C11" s="221"/>
      <c r="D11" s="221"/>
      <c r="E11" s="221"/>
      <c r="F11" s="221"/>
      <c r="G11" s="221"/>
      <c r="H11" s="214"/>
    </row>
    <row r="12" spans="1:17" ht="15" x14ac:dyDescent="0.25">
      <c r="A12" s="33" t="s">
        <v>81</v>
      </c>
      <c r="B12" s="214">
        <v>21393</v>
      </c>
      <c r="C12" s="214">
        <v>162009746.10000002</v>
      </c>
      <c r="D12" s="214">
        <v>31329827.129999999</v>
      </c>
      <c r="E12" s="214">
        <v>13792146.390000001</v>
      </c>
      <c r="F12" s="214">
        <v>7157579.5699999994</v>
      </c>
      <c r="G12" s="214">
        <v>9429781.1699999999</v>
      </c>
      <c r="H12" s="214">
        <f>SUM(C12:G12)</f>
        <v>223719080.35999998</v>
      </c>
      <c r="K12" s="294"/>
      <c r="L12" s="293"/>
      <c r="M12" s="293"/>
      <c r="N12" s="293"/>
      <c r="O12" s="293"/>
      <c r="P12" s="293"/>
      <c r="Q12" s="293"/>
    </row>
    <row r="13" spans="1:17" ht="15" x14ac:dyDescent="0.25">
      <c r="A13" s="33" t="s">
        <v>82</v>
      </c>
      <c r="B13" s="214">
        <v>5870</v>
      </c>
      <c r="C13" s="214">
        <v>47916674.749999993</v>
      </c>
      <c r="D13" s="214">
        <v>6765351.040000001</v>
      </c>
      <c r="E13" s="214">
        <v>6379878.5499999998</v>
      </c>
      <c r="F13" s="214">
        <v>2120059.29</v>
      </c>
      <c r="G13" s="214">
        <v>4390584.3499999996</v>
      </c>
      <c r="H13" s="214">
        <f>SUM(C13:G13)</f>
        <v>67572547.979999989</v>
      </c>
      <c r="K13" s="294"/>
      <c r="L13" s="293"/>
      <c r="M13" s="293"/>
      <c r="N13" s="293"/>
      <c r="O13" s="293"/>
      <c r="P13" s="293"/>
      <c r="Q13" s="293"/>
    </row>
    <row r="14" spans="1:17" ht="15" x14ac:dyDescent="0.25">
      <c r="A14" s="33" t="s">
        <v>83</v>
      </c>
      <c r="B14" s="214">
        <v>4769</v>
      </c>
      <c r="C14" s="214">
        <v>41302116.390000001</v>
      </c>
      <c r="D14" s="214">
        <v>7369425.1299999999</v>
      </c>
      <c r="E14" s="214">
        <v>6468655.2700000005</v>
      </c>
      <c r="F14" s="214">
        <v>5671880.7699999996</v>
      </c>
      <c r="G14" s="214">
        <v>1045440.87</v>
      </c>
      <c r="H14" s="214">
        <f>SUM(C14:G14)</f>
        <v>61857518.43</v>
      </c>
      <c r="K14" s="294"/>
      <c r="L14" s="293"/>
      <c r="M14" s="293"/>
      <c r="N14" s="293"/>
      <c r="O14" s="293"/>
      <c r="P14" s="293"/>
      <c r="Q14" s="293"/>
    </row>
    <row r="15" spans="1:17" ht="15" x14ac:dyDescent="0.25">
      <c r="A15" s="33" t="s">
        <v>84</v>
      </c>
      <c r="B15" s="214">
        <v>5040</v>
      </c>
      <c r="C15" s="214">
        <v>49899621.750000007</v>
      </c>
      <c r="D15" s="214">
        <v>10982249.759999996</v>
      </c>
      <c r="E15" s="214">
        <v>8619918.9000000022</v>
      </c>
      <c r="F15" s="214">
        <v>3472096.3300000005</v>
      </c>
      <c r="G15" s="214">
        <v>2314357.17</v>
      </c>
      <c r="H15" s="214">
        <f>SUM(C15:G15)</f>
        <v>75288243.910000011</v>
      </c>
      <c r="K15" s="294"/>
      <c r="L15" s="293"/>
      <c r="M15" s="293"/>
      <c r="N15" s="293"/>
      <c r="O15" s="293"/>
      <c r="P15" s="293"/>
      <c r="Q15" s="293"/>
    </row>
    <row r="16" spans="1:17" ht="15" x14ac:dyDescent="0.25">
      <c r="A16" s="33" t="s">
        <v>85</v>
      </c>
      <c r="B16" s="220">
        <v>1381</v>
      </c>
      <c r="C16" s="220">
        <v>19500141.77</v>
      </c>
      <c r="D16" s="220">
        <v>4860839.13</v>
      </c>
      <c r="E16" s="220">
        <v>4130364.350000001</v>
      </c>
      <c r="F16" s="220">
        <v>3859499.1599999992</v>
      </c>
      <c r="G16" s="220">
        <v>425807.48</v>
      </c>
      <c r="H16" s="220">
        <f>SUM(C16:G16)</f>
        <v>32776651.890000001</v>
      </c>
      <c r="K16" s="294"/>
      <c r="L16" s="293"/>
      <c r="M16" s="293"/>
      <c r="N16" s="293"/>
      <c r="O16" s="293"/>
      <c r="P16" s="293"/>
      <c r="Q16" s="293"/>
    </row>
    <row r="17" spans="1:17" x14ac:dyDescent="0.2">
      <c r="A17" s="33" t="s">
        <v>104</v>
      </c>
      <c r="B17" s="221">
        <f t="shared" ref="B17:H17" si="2">SUM(B12:B16)</f>
        <v>38453</v>
      </c>
      <c r="C17" s="221">
        <f t="shared" si="2"/>
        <v>320628300.75999999</v>
      </c>
      <c r="D17" s="221">
        <f t="shared" si="2"/>
        <v>61307692.190000005</v>
      </c>
      <c r="E17" s="221">
        <f t="shared" si="2"/>
        <v>39390963.460000001</v>
      </c>
      <c r="F17" s="221">
        <f t="shared" si="2"/>
        <v>22281115.120000001</v>
      </c>
      <c r="G17" s="221">
        <f t="shared" si="2"/>
        <v>17605971.039999999</v>
      </c>
      <c r="H17" s="221">
        <f t="shared" si="2"/>
        <v>461214042.56999999</v>
      </c>
    </row>
    <row r="18" spans="1:17" x14ac:dyDescent="0.2">
      <c r="A18" s="33"/>
      <c r="B18" s="182"/>
      <c r="C18" s="221"/>
      <c r="D18" s="221"/>
      <c r="E18" s="221"/>
      <c r="F18" s="221"/>
      <c r="G18" s="221"/>
      <c r="H18" s="214"/>
    </row>
    <row r="19" spans="1:17" ht="15" x14ac:dyDescent="0.25">
      <c r="A19" s="33" t="s">
        <v>86</v>
      </c>
      <c r="B19" s="214">
        <v>10095</v>
      </c>
      <c r="C19" s="214">
        <v>73699594.300000012</v>
      </c>
      <c r="D19" s="214">
        <v>13224669.729999999</v>
      </c>
      <c r="E19" s="214">
        <v>8687852</v>
      </c>
      <c r="F19" s="214">
        <v>4083093.4999999995</v>
      </c>
      <c r="G19" s="214">
        <v>4139179.89</v>
      </c>
      <c r="H19" s="214">
        <f>SUM(C19:G19)</f>
        <v>103834389.42000002</v>
      </c>
      <c r="K19" s="294"/>
      <c r="L19" s="293"/>
      <c r="M19" s="293"/>
      <c r="N19" s="293"/>
      <c r="O19" s="293"/>
      <c r="P19" s="293"/>
      <c r="Q19" s="293"/>
    </row>
    <row r="20" spans="1:17" ht="15" x14ac:dyDescent="0.25">
      <c r="A20" s="33" t="s">
        <v>87</v>
      </c>
      <c r="B20" s="220">
        <v>7332</v>
      </c>
      <c r="C20" s="220">
        <v>74250636.589999989</v>
      </c>
      <c r="D20" s="220">
        <v>13739596.920000006</v>
      </c>
      <c r="E20" s="220">
        <v>12870220.310000002</v>
      </c>
      <c r="F20" s="220">
        <v>7877806.4699999997</v>
      </c>
      <c r="G20" s="220">
        <v>3322041.2399999998</v>
      </c>
      <c r="H20" s="220">
        <f>SUM(C20:G20)</f>
        <v>112060301.52999999</v>
      </c>
      <c r="K20" s="294"/>
      <c r="L20" s="293"/>
      <c r="M20" s="293"/>
      <c r="N20" s="293"/>
      <c r="O20" s="293"/>
      <c r="P20" s="293"/>
      <c r="Q20" s="293"/>
    </row>
    <row r="21" spans="1:17" ht="15" x14ac:dyDescent="0.25">
      <c r="A21" s="33" t="s">
        <v>105</v>
      </c>
      <c r="B21" s="221">
        <f t="shared" ref="B21:H21" si="3">SUM(B19:B20)</f>
        <v>17427</v>
      </c>
      <c r="C21" s="221">
        <f t="shared" si="3"/>
        <v>147950230.88999999</v>
      </c>
      <c r="D21" s="221">
        <f t="shared" si="3"/>
        <v>26964266.650000006</v>
      </c>
      <c r="E21" s="221">
        <f t="shared" si="3"/>
        <v>21558072.310000002</v>
      </c>
      <c r="F21" s="221">
        <f t="shared" si="3"/>
        <v>11960899.969999999</v>
      </c>
      <c r="G21" s="221">
        <f t="shared" si="3"/>
        <v>7461221.1299999999</v>
      </c>
      <c r="H21" s="221">
        <f t="shared" si="3"/>
        <v>215894690.94999999</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148567</v>
      </c>
      <c r="C23" s="222">
        <f t="shared" si="4"/>
        <v>1168091244.6500001</v>
      </c>
      <c r="D23" s="222">
        <f t="shared" si="4"/>
        <v>202739406.06</v>
      </c>
      <c r="E23" s="222">
        <f t="shared" si="4"/>
        <v>134637517.82999998</v>
      </c>
      <c r="F23" s="222">
        <f t="shared" si="4"/>
        <v>60526342.920000002</v>
      </c>
      <c r="G23" s="222">
        <f t="shared" si="4"/>
        <v>49538547.609999999</v>
      </c>
      <c r="H23" s="222">
        <f t="shared" si="4"/>
        <v>1615533059.0699997</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FY2014</v>
      </c>
      <c r="C26" s="22"/>
      <c r="D26" s="22"/>
      <c r="E26" s="22"/>
      <c r="F26" s="22"/>
      <c r="G26" s="22"/>
      <c r="H26" s="22"/>
    </row>
    <row r="27" spans="1:17" ht="33.75" x14ac:dyDescent="0.2">
      <c r="A27" s="155" t="s">
        <v>245</v>
      </c>
      <c r="B27" s="172" t="str">
        <f t="shared" ref="B27:H34" si="5">B3</f>
        <v>ANB14</v>
      </c>
      <c r="C27" s="172" t="str">
        <f t="shared" si="5"/>
        <v>14/Pupil Salaries &amp; Benefits</v>
      </c>
      <c r="D27" s="172" t="str">
        <f t="shared" si="5"/>
        <v>14/Pupil Purchased Services</v>
      </c>
      <c r="E27" s="172" t="str">
        <f t="shared" si="5"/>
        <v>14/Pupil Supplies</v>
      </c>
      <c r="F27" s="172" t="str">
        <f t="shared" si="5"/>
        <v>14/Pupil Capital Outlay</v>
      </c>
      <c r="G27" s="172" t="str">
        <f t="shared" si="5"/>
        <v>14/Pupil Other</v>
      </c>
      <c r="H27" s="172" t="str">
        <f t="shared" si="5"/>
        <v>14/Pupil Total Expenditures</v>
      </c>
    </row>
    <row r="28" spans="1:17" x14ac:dyDescent="0.2">
      <c r="A28" s="33" t="s">
        <v>102</v>
      </c>
      <c r="B28" s="214">
        <f t="shared" si="5"/>
        <v>39709</v>
      </c>
      <c r="C28" s="182">
        <f t="shared" ref="C28:H34" si="6">C4/$B28</f>
        <v>7301.4176065879255</v>
      </c>
      <c r="D28" s="182">
        <f t="shared" si="6"/>
        <v>1083.6813425168098</v>
      </c>
      <c r="E28" s="182">
        <f t="shared" si="6"/>
        <v>519.10771663854541</v>
      </c>
      <c r="F28" s="182">
        <f t="shared" si="6"/>
        <v>109.25241280314287</v>
      </c>
      <c r="G28" s="182">
        <f t="shared" si="6"/>
        <v>185.38795915283688</v>
      </c>
      <c r="H28" s="182">
        <f t="shared" si="6"/>
        <v>9198.8470376992609</v>
      </c>
    </row>
    <row r="29" spans="1:17" x14ac:dyDescent="0.2">
      <c r="A29" s="33" t="s">
        <v>76</v>
      </c>
      <c r="B29" s="214">
        <f t="shared" si="5"/>
        <v>20553</v>
      </c>
      <c r="C29" s="182">
        <f t="shared" si="6"/>
        <v>7492.9304923855398</v>
      </c>
      <c r="D29" s="182">
        <f t="shared" si="6"/>
        <v>1163.1427222303312</v>
      </c>
      <c r="E29" s="182">
        <f t="shared" si="6"/>
        <v>832.07950372208427</v>
      </c>
      <c r="F29" s="182">
        <f t="shared" si="6"/>
        <v>322.06640052547073</v>
      </c>
      <c r="G29" s="182">
        <f t="shared" si="6"/>
        <v>368.0950970661217</v>
      </c>
      <c r="H29" s="182">
        <f t="shared" si="6"/>
        <v>10178.314215929548</v>
      </c>
    </row>
    <row r="30" spans="1:17" x14ac:dyDescent="0.2">
      <c r="A30" s="33" t="s">
        <v>77</v>
      </c>
      <c r="B30" s="214">
        <f t="shared" si="5"/>
        <v>12931</v>
      </c>
      <c r="C30" s="182">
        <f t="shared" si="6"/>
        <v>7945.191571417522</v>
      </c>
      <c r="D30" s="182">
        <f t="shared" si="6"/>
        <v>1196.009857706287</v>
      </c>
      <c r="E30" s="182">
        <f t="shared" si="6"/>
        <v>979.28021034722758</v>
      </c>
      <c r="F30" s="182">
        <f t="shared" si="6"/>
        <v>426.31048720129922</v>
      </c>
      <c r="G30" s="182">
        <f t="shared" si="6"/>
        <v>316.70970381254347</v>
      </c>
      <c r="H30" s="182">
        <f t="shared" si="6"/>
        <v>10863.50183048488</v>
      </c>
    </row>
    <row r="31" spans="1:17" x14ac:dyDescent="0.2">
      <c r="A31" s="33" t="s">
        <v>78</v>
      </c>
      <c r="B31" s="214">
        <f t="shared" si="5"/>
        <v>12657</v>
      </c>
      <c r="C31" s="182">
        <f t="shared" si="6"/>
        <v>7429.5325669589956</v>
      </c>
      <c r="D31" s="182">
        <f t="shared" si="6"/>
        <v>1465.2345437307417</v>
      </c>
      <c r="E31" s="182">
        <f t="shared" si="6"/>
        <v>991.29375760448761</v>
      </c>
      <c r="F31" s="182">
        <f t="shared" si="6"/>
        <v>479.18955202654649</v>
      </c>
      <c r="G31" s="182">
        <f t="shared" si="6"/>
        <v>377.8565584261674</v>
      </c>
      <c r="H31" s="182">
        <f t="shared" si="6"/>
        <v>10743.106978746939</v>
      </c>
    </row>
    <row r="32" spans="1:17" x14ac:dyDescent="0.2">
      <c r="A32" s="33" t="s">
        <v>79</v>
      </c>
      <c r="B32" s="214">
        <f t="shared" si="5"/>
        <v>5090</v>
      </c>
      <c r="C32" s="182">
        <f t="shared" si="6"/>
        <v>8407.1528153241652</v>
      </c>
      <c r="D32" s="182">
        <f t="shared" si="6"/>
        <v>1869.3362534381138</v>
      </c>
      <c r="E32" s="182">
        <f t="shared" si="6"/>
        <v>1500.2508722986249</v>
      </c>
      <c r="F32" s="182">
        <f t="shared" si="6"/>
        <v>646.1872750491159</v>
      </c>
      <c r="G32" s="182">
        <f t="shared" si="6"/>
        <v>130.63630648330059</v>
      </c>
      <c r="H32" s="182">
        <f t="shared" si="6"/>
        <v>12553.563522593318</v>
      </c>
    </row>
    <row r="33" spans="1:8" x14ac:dyDescent="0.2">
      <c r="A33" s="33" t="s">
        <v>80</v>
      </c>
      <c r="B33" s="220">
        <f t="shared" si="5"/>
        <v>1747</v>
      </c>
      <c r="C33" s="183">
        <f t="shared" si="6"/>
        <v>9164.9954836863199</v>
      </c>
      <c r="D33" s="183">
        <f t="shared" si="6"/>
        <v>2291.6278191184883</v>
      </c>
      <c r="E33" s="183">
        <f t="shared" si="6"/>
        <v>1790.1255123068117</v>
      </c>
      <c r="F33" s="183">
        <f t="shared" si="6"/>
        <v>263.18073268460211</v>
      </c>
      <c r="G33" s="183">
        <f t="shared" si="6"/>
        <v>0.84945621064682308</v>
      </c>
      <c r="H33" s="183">
        <f t="shared" si="6"/>
        <v>13510.779004006865</v>
      </c>
    </row>
    <row r="34" spans="1:8" x14ac:dyDescent="0.2">
      <c r="A34" s="33" t="s">
        <v>103</v>
      </c>
      <c r="B34" s="214">
        <f t="shared" si="5"/>
        <v>92687</v>
      </c>
      <c r="C34" s="182">
        <f t="shared" si="6"/>
        <v>7547.0423360341792</v>
      </c>
      <c r="D34" s="182">
        <f t="shared" si="6"/>
        <v>1234.9892349520428</v>
      </c>
      <c r="E34" s="182">
        <f t="shared" si="6"/>
        <v>795.02499875926492</v>
      </c>
      <c r="F34" s="182">
        <f t="shared" si="6"/>
        <v>283.58160076386116</v>
      </c>
      <c r="G34" s="182">
        <f t="shared" si="6"/>
        <v>264.02144248923798</v>
      </c>
      <c r="H34" s="182">
        <f t="shared" si="6"/>
        <v>10124.659612998585</v>
      </c>
    </row>
    <row r="35" spans="1:8" x14ac:dyDescent="0.2">
      <c r="A35" s="33"/>
      <c r="B35" s="214"/>
      <c r="C35" s="182"/>
      <c r="D35" s="182"/>
      <c r="E35" s="182"/>
      <c r="F35" s="182"/>
      <c r="G35" s="182"/>
      <c r="H35" s="182"/>
    </row>
    <row r="36" spans="1:8" x14ac:dyDescent="0.2">
      <c r="A36" s="33" t="s">
        <v>81</v>
      </c>
      <c r="B36" s="214">
        <f t="shared" ref="B36:B41" si="7">B12</f>
        <v>21393</v>
      </c>
      <c r="C36" s="182">
        <f t="shared" ref="C36:H41" si="8">C12/$B36</f>
        <v>7573.0260412284406</v>
      </c>
      <c r="D36" s="182">
        <f t="shared" si="8"/>
        <v>1464.4896522226895</v>
      </c>
      <c r="E36" s="182">
        <f t="shared" si="8"/>
        <v>644.70370635254528</v>
      </c>
      <c r="F36" s="182">
        <f t="shared" si="8"/>
        <v>334.5757757210302</v>
      </c>
      <c r="G36" s="182">
        <f t="shared" si="8"/>
        <v>440.78816295049785</v>
      </c>
      <c r="H36" s="182">
        <f t="shared" si="8"/>
        <v>10457.583338475202</v>
      </c>
    </row>
    <row r="37" spans="1:8" x14ac:dyDescent="0.2">
      <c r="A37" s="33" t="s">
        <v>82</v>
      </c>
      <c r="B37" s="214">
        <f t="shared" si="7"/>
        <v>5870</v>
      </c>
      <c r="C37" s="182">
        <f t="shared" si="8"/>
        <v>8162.9769591141385</v>
      </c>
      <c r="D37" s="182">
        <f t="shared" si="8"/>
        <v>1152.5299897785351</v>
      </c>
      <c r="E37" s="182">
        <f t="shared" si="8"/>
        <v>1086.8617632027258</v>
      </c>
      <c r="F37" s="182">
        <f t="shared" si="8"/>
        <v>361.16853321976151</v>
      </c>
      <c r="G37" s="182">
        <f t="shared" si="8"/>
        <v>747.97007666098796</v>
      </c>
      <c r="H37" s="182">
        <f t="shared" si="8"/>
        <v>11511.507321976149</v>
      </c>
    </row>
    <row r="38" spans="1:8" x14ac:dyDescent="0.2">
      <c r="A38" s="33" t="s">
        <v>83</v>
      </c>
      <c r="B38" s="214">
        <f t="shared" si="7"/>
        <v>4769</v>
      </c>
      <c r="C38" s="182">
        <f t="shared" si="8"/>
        <v>8660.5402369469484</v>
      </c>
      <c r="D38" s="182">
        <f t="shared" si="8"/>
        <v>1545.2768148458797</v>
      </c>
      <c r="E38" s="182">
        <f t="shared" si="8"/>
        <v>1356.3965758020549</v>
      </c>
      <c r="F38" s="182">
        <f t="shared" si="8"/>
        <v>1189.3228706227719</v>
      </c>
      <c r="G38" s="182">
        <f t="shared" si="8"/>
        <v>219.21595093310967</v>
      </c>
      <c r="H38" s="182">
        <f t="shared" si="8"/>
        <v>12970.752449150765</v>
      </c>
    </row>
    <row r="39" spans="1:8" x14ac:dyDescent="0.2">
      <c r="A39" s="33" t="s">
        <v>84</v>
      </c>
      <c r="B39" s="214">
        <f t="shared" si="7"/>
        <v>5040</v>
      </c>
      <c r="C39" s="182">
        <f t="shared" si="8"/>
        <v>9900.7186011904778</v>
      </c>
      <c r="D39" s="182">
        <f t="shared" si="8"/>
        <v>2179.0178095238089</v>
      </c>
      <c r="E39" s="182">
        <f t="shared" si="8"/>
        <v>1710.3013690476196</v>
      </c>
      <c r="F39" s="182">
        <f t="shared" si="8"/>
        <v>688.90800198412705</v>
      </c>
      <c r="G39" s="182">
        <f t="shared" si="8"/>
        <v>459.19785119047617</v>
      </c>
      <c r="H39" s="182">
        <f t="shared" si="8"/>
        <v>14938.14363293651</v>
      </c>
    </row>
    <row r="40" spans="1:8" x14ac:dyDescent="0.2">
      <c r="A40" s="33" t="s">
        <v>85</v>
      </c>
      <c r="B40" s="220">
        <f t="shared" si="7"/>
        <v>1381</v>
      </c>
      <c r="C40" s="183">
        <f t="shared" si="8"/>
        <v>14120.305409123823</v>
      </c>
      <c r="D40" s="183">
        <f t="shared" si="8"/>
        <v>3519.7966183924691</v>
      </c>
      <c r="E40" s="183">
        <f t="shared" si="8"/>
        <v>2990.8503620564816</v>
      </c>
      <c r="F40" s="183">
        <f t="shared" si="8"/>
        <v>2794.7133671252709</v>
      </c>
      <c r="G40" s="183">
        <f t="shared" si="8"/>
        <v>308.33271542360609</v>
      </c>
      <c r="H40" s="183">
        <f t="shared" si="8"/>
        <v>23733.99847212165</v>
      </c>
    </row>
    <row r="41" spans="1:8" x14ac:dyDescent="0.2">
      <c r="A41" s="33" t="s">
        <v>104</v>
      </c>
      <c r="B41" s="214">
        <f t="shared" si="7"/>
        <v>38453</v>
      </c>
      <c r="C41" s="182">
        <f t="shared" si="8"/>
        <v>8338.1868972511893</v>
      </c>
      <c r="D41" s="182">
        <f t="shared" si="8"/>
        <v>1594.3539435154605</v>
      </c>
      <c r="E41" s="182">
        <f t="shared" si="8"/>
        <v>1024.3924650872493</v>
      </c>
      <c r="F41" s="182">
        <f t="shared" si="8"/>
        <v>579.43762827347678</v>
      </c>
      <c r="G41" s="182">
        <f t="shared" si="8"/>
        <v>457.85689126986188</v>
      </c>
      <c r="H41" s="182">
        <f t="shared" si="8"/>
        <v>11994.227825397238</v>
      </c>
    </row>
    <row r="42" spans="1:8" x14ac:dyDescent="0.2">
      <c r="A42" s="33"/>
      <c r="B42" s="214"/>
      <c r="C42" s="182"/>
      <c r="D42" s="182"/>
      <c r="E42" s="182"/>
      <c r="F42" s="182"/>
      <c r="G42" s="182"/>
      <c r="H42" s="182"/>
    </row>
    <row r="43" spans="1:8" x14ac:dyDescent="0.2">
      <c r="A43" s="33" t="s">
        <v>86</v>
      </c>
      <c r="B43" s="214">
        <f>B19</f>
        <v>10095</v>
      </c>
      <c r="C43" s="182">
        <f t="shared" ref="C43:H45" si="9">C19/$B43</f>
        <v>7300.6036948984656</v>
      </c>
      <c r="D43" s="182">
        <f t="shared" si="9"/>
        <v>1310.0217662209013</v>
      </c>
      <c r="E43" s="182">
        <f t="shared" si="9"/>
        <v>860.60941059930656</v>
      </c>
      <c r="F43" s="182">
        <f t="shared" si="9"/>
        <v>404.46691431401678</v>
      </c>
      <c r="G43" s="182">
        <f t="shared" si="9"/>
        <v>410.02277265973254</v>
      </c>
      <c r="H43" s="182">
        <f t="shared" si="9"/>
        <v>10285.724558692424</v>
      </c>
    </row>
    <row r="44" spans="1:8" x14ac:dyDescent="0.2">
      <c r="A44" s="33" t="s">
        <v>87</v>
      </c>
      <c r="B44" s="220">
        <f>B20</f>
        <v>7332</v>
      </c>
      <c r="C44" s="183">
        <f t="shared" si="9"/>
        <v>10126.928067375886</v>
      </c>
      <c r="D44" s="183">
        <f t="shared" si="9"/>
        <v>1873.9221112929631</v>
      </c>
      <c r="E44" s="183">
        <f t="shared" si="9"/>
        <v>1755.3491966721226</v>
      </c>
      <c r="F44" s="183">
        <f t="shared" si="9"/>
        <v>1074.4416898527004</v>
      </c>
      <c r="G44" s="183">
        <f t="shared" si="9"/>
        <v>453.08800327332239</v>
      </c>
      <c r="H44" s="183">
        <f t="shared" si="9"/>
        <v>15283.729068466992</v>
      </c>
    </row>
    <row r="45" spans="1:8" x14ac:dyDescent="0.2">
      <c r="A45" s="33" t="s">
        <v>105</v>
      </c>
      <c r="B45" s="214">
        <f>B21</f>
        <v>17427</v>
      </c>
      <c r="C45" s="182">
        <f t="shared" si="9"/>
        <v>8489.7131399552418</v>
      </c>
      <c r="D45" s="182">
        <f t="shared" si="9"/>
        <v>1547.2695615998168</v>
      </c>
      <c r="E45" s="182">
        <f t="shared" si="9"/>
        <v>1237.0501124691573</v>
      </c>
      <c r="F45" s="182">
        <f t="shared" si="9"/>
        <v>686.34302920755147</v>
      </c>
      <c r="G45" s="182">
        <f t="shared" si="9"/>
        <v>428.14145463935273</v>
      </c>
      <c r="H45" s="182">
        <f t="shared" si="9"/>
        <v>12388.517297871118</v>
      </c>
    </row>
    <row r="46" spans="1:8" x14ac:dyDescent="0.2">
      <c r="A46" s="33"/>
      <c r="B46" s="214"/>
      <c r="C46" s="182"/>
      <c r="D46" s="182"/>
      <c r="E46" s="182"/>
      <c r="F46" s="182"/>
      <c r="G46" s="182"/>
      <c r="H46" s="182"/>
    </row>
    <row r="47" spans="1:8" ht="13.5" thickBot="1" x14ac:dyDescent="0.25">
      <c r="A47" s="33" t="s">
        <v>209</v>
      </c>
      <c r="B47" s="222">
        <f>B23</f>
        <v>148567</v>
      </c>
      <c r="C47" s="192">
        <f t="shared" ref="C47:H47" si="10">C23/$B47</f>
        <v>7862.3869678326955</v>
      </c>
      <c r="D47" s="192">
        <f t="shared" si="10"/>
        <v>1364.6328327286678</v>
      </c>
      <c r="E47" s="192">
        <f t="shared" si="10"/>
        <v>906.24107527243586</v>
      </c>
      <c r="F47" s="192">
        <f t="shared" si="10"/>
        <v>407.40099026028662</v>
      </c>
      <c r="G47" s="192">
        <f t="shared" si="10"/>
        <v>333.44247114096669</v>
      </c>
      <c r="H47" s="222">
        <f t="shared" si="10"/>
        <v>10874.10433723505</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FY2014</v>
      </c>
      <c r="C52" s="182"/>
      <c r="D52" s="182"/>
      <c r="E52" s="182"/>
      <c r="F52" s="182"/>
      <c r="G52" s="182"/>
      <c r="H52" s="182"/>
    </row>
    <row r="53" spans="1:8" ht="33.75" x14ac:dyDescent="0.2">
      <c r="A53" s="155" t="s">
        <v>245</v>
      </c>
      <c r="B53" s="172" t="str">
        <f t="shared" ref="B53:H59" si="11">B3</f>
        <v>ANB14</v>
      </c>
      <c r="C53" s="172" t="str">
        <f t="shared" si="11"/>
        <v>14/Pupil Salaries &amp; Benefits</v>
      </c>
      <c r="D53" s="172" t="str">
        <f t="shared" si="11"/>
        <v>14/Pupil Purchased Services</v>
      </c>
      <c r="E53" s="172" t="str">
        <f t="shared" si="11"/>
        <v>14/Pupil Supplies</v>
      </c>
      <c r="F53" s="172" t="str">
        <f t="shared" si="11"/>
        <v>14/Pupil Capital Outlay</v>
      </c>
      <c r="G53" s="172" t="str">
        <f t="shared" si="11"/>
        <v>14/Pupil Other</v>
      </c>
      <c r="H53" s="172" t="str">
        <f t="shared" si="11"/>
        <v>14/Pupil Total Expenditures</v>
      </c>
    </row>
    <row r="54" spans="1:8" x14ac:dyDescent="0.2">
      <c r="A54" s="33" t="s">
        <v>102</v>
      </c>
      <c r="B54" s="214">
        <f t="shared" si="11"/>
        <v>39709</v>
      </c>
      <c r="C54" s="191">
        <f t="shared" ref="C54:H60" si="12">C28/$H28</f>
        <v>0.79373182059282243</v>
      </c>
      <c r="D54" s="191">
        <f t="shared" si="12"/>
        <v>0.11780621398264397</v>
      </c>
      <c r="E54" s="191">
        <f t="shared" si="12"/>
        <v>5.6431823956970627E-2</v>
      </c>
      <c r="F54" s="191">
        <f t="shared" si="12"/>
        <v>1.1876750679231664E-2</v>
      </c>
      <c r="G54" s="191">
        <f t="shared" si="12"/>
        <v>2.0153390788331293E-2</v>
      </c>
      <c r="H54" s="191">
        <f t="shared" si="12"/>
        <v>1</v>
      </c>
    </row>
    <row r="55" spans="1:8" x14ac:dyDescent="0.2">
      <c r="A55" s="33" t="s">
        <v>76</v>
      </c>
      <c r="B55" s="214">
        <f t="shared" si="11"/>
        <v>20553</v>
      </c>
      <c r="C55" s="191">
        <f t="shared" si="12"/>
        <v>0.73616616007577618</v>
      </c>
      <c r="D55" s="191">
        <f t="shared" si="12"/>
        <v>0.1142765587261943</v>
      </c>
      <c r="E55" s="191">
        <f t="shared" si="12"/>
        <v>8.1750227598578168E-2</v>
      </c>
      <c r="F55" s="191">
        <f t="shared" si="12"/>
        <v>3.1642410883859474E-2</v>
      </c>
      <c r="G55" s="191">
        <f t="shared" si="12"/>
        <v>3.6164642715591867E-2</v>
      </c>
      <c r="H55" s="191">
        <f t="shared" si="12"/>
        <v>1</v>
      </c>
    </row>
    <row r="56" spans="1:8" x14ac:dyDescent="0.2">
      <c r="A56" s="33" t="s">
        <v>77</v>
      </c>
      <c r="B56" s="214">
        <f t="shared" si="11"/>
        <v>12931</v>
      </c>
      <c r="C56" s="191">
        <f t="shared" si="12"/>
        <v>0.73136560341177737</v>
      </c>
      <c r="D56" s="191">
        <f t="shared" si="12"/>
        <v>0.11009432099970516</v>
      </c>
      <c r="E56" s="191">
        <f t="shared" si="12"/>
        <v>9.014406455929308E-2</v>
      </c>
      <c r="F56" s="191">
        <f t="shared" si="12"/>
        <v>3.9242455504080433E-2</v>
      </c>
      <c r="G56" s="191">
        <f t="shared" si="12"/>
        <v>2.9153555525143912E-2</v>
      </c>
      <c r="H56" s="191">
        <f t="shared" si="12"/>
        <v>1</v>
      </c>
    </row>
    <row r="57" spans="1:8" x14ac:dyDescent="0.2">
      <c r="A57" s="33" t="s">
        <v>78</v>
      </c>
      <c r="B57" s="214">
        <f t="shared" si="11"/>
        <v>12657</v>
      </c>
      <c r="C57" s="191">
        <f t="shared" si="12"/>
        <v>0.69156274638769033</v>
      </c>
      <c r="D57" s="191">
        <f t="shared" si="12"/>
        <v>0.13638834153186891</v>
      </c>
      <c r="E57" s="191">
        <f t="shared" si="12"/>
        <v>9.2272538993194569E-2</v>
      </c>
      <c r="F57" s="191">
        <f t="shared" si="12"/>
        <v>4.4604373108685036E-2</v>
      </c>
      <c r="G57" s="191">
        <f t="shared" si="12"/>
        <v>3.5171999978561144E-2</v>
      </c>
      <c r="H57" s="191">
        <f t="shared" si="12"/>
        <v>1</v>
      </c>
    </row>
    <row r="58" spans="1:8" x14ac:dyDescent="0.2">
      <c r="A58" s="33" t="s">
        <v>79</v>
      </c>
      <c r="B58" s="214">
        <f t="shared" si="11"/>
        <v>5090</v>
      </c>
      <c r="C58" s="191">
        <f t="shared" si="12"/>
        <v>0.66970249524713554</v>
      </c>
      <c r="D58" s="191">
        <f t="shared" si="12"/>
        <v>0.14890881382595225</v>
      </c>
      <c r="E58" s="191">
        <f t="shared" si="12"/>
        <v>0.11950796836281136</v>
      </c>
      <c r="F58" s="191">
        <f t="shared" si="12"/>
        <v>5.1474409946318286E-2</v>
      </c>
      <c r="G58" s="191">
        <f t="shared" si="12"/>
        <v>1.0406312617782788E-2</v>
      </c>
      <c r="H58" s="191">
        <f t="shared" si="12"/>
        <v>1</v>
      </c>
    </row>
    <row r="59" spans="1:8" x14ac:dyDescent="0.2">
      <c r="A59" s="33" t="s">
        <v>80</v>
      </c>
      <c r="B59" s="220">
        <f t="shared" si="11"/>
        <v>1747</v>
      </c>
      <c r="C59" s="193">
        <f t="shared" si="12"/>
        <v>0.67834693180669114</v>
      </c>
      <c r="D59" s="193">
        <f t="shared" si="12"/>
        <v>0.16961478079382875</v>
      </c>
      <c r="E59" s="193">
        <f t="shared" si="12"/>
        <v>0.13249609898703235</v>
      </c>
      <c r="F59" s="193">
        <f t="shared" si="12"/>
        <v>1.9479315930380558E-2</v>
      </c>
      <c r="G59" s="193">
        <f t="shared" si="12"/>
        <v>6.2872482067458994E-5</v>
      </c>
      <c r="H59" s="193">
        <f t="shared" si="12"/>
        <v>1</v>
      </c>
    </row>
    <row r="60" spans="1:8" x14ac:dyDescent="0.2">
      <c r="A60" s="33" t="s">
        <v>103</v>
      </c>
      <c r="B60" s="214">
        <f>SUM(B54:B59)</f>
        <v>92687</v>
      </c>
      <c r="C60" s="191">
        <f t="shared" si="12"/>
        <v>0.74541195699506568</v>
      </c>
      <c r="D60" s="191">
        <f t="shared" si="12"/>
        <v>0.12197834615264468</v>
      </c>
      <c r="E60" s="191">
        <f t="shared" si="12"/>
        <v>7.8523627375933602E-2</v>
      </c>
      <c r="F60" s="191">
        <f t="shared" si="12"/>
        <v>2.8009000954440363E-2</v>
      </c>
      <c r="G60" s="191">
        <f t="shared" si="12"/>
        <v>2.6077068521915839E-2</v>
      </c>
      <c r="H60" s="191">
        <f t="shared" si="12"/>
        <v>1</v>
      </c>
    </row>
    <row r="61" spans="1:8" x14ac:dyDescent="0.2">
      <c r="A61" s="33"/>
      <c r="B61" s="214"/>
      <c r="C61" s="191"/>
      <c r="D61" s="191"/>
      <c r="E61" s="191"/>
      <c r="F61" s="191"/>
      <c r="G61" s="191"/>
      <c r="H61" s="191"/>
    </row>
    <row r="62" spans="1:8" x14ac:dyDescent="0.2">
      <c r="A62" s="33" t="s">
        <v>81</v>
      </c>
      <c r="B62" s="214">
        <f t="shared" ref="B62:B67" si="13">B12</f>
        <v>21393</v>
      </c>
      <c r="C62" s="191">
        <f t="shared" ref="C62:H67" si="14">C36/$H36</f>
        <v>0.72416597564812213</v>
      </c>
      <c r="D62" s="191">
        <f t="shared" si="14"/>
        <v>0.14004092578775695</v>
      </c>
      <c r="E62" s="191">
        <f t="shared" si="14"/>
        <v>6.1649396948200479E-2</v>
      </c>
      <c r="F62" s="191">
        <f t="shared" si="14"/>
        <v>3.1993603578569611E-2</v>
      </c>
      <c r="G62" s="191">
        <f t="shared" si="14"/>
        <v>4.2150098037350973E-2</v>
      </c>
      <c r="H62" s="191">
        <f t="shared" si="14"/>
        <v>1</v>
      </c>
    </row>
    <row r="63" spans="1:8" x14ac:dyDescent="0.2">
      <c r="A63" s="33" t="s">
        <v>82</v>
      </c>
      <c r="B63" s="214">
        <f t="shared" si="13"/>
        <v>5870</v>
      </c>
      <c r="C63" s="191">
        <f t="shared" si="14"/>
        <v>0.70911451739517484</v>
      </c>
      <c r="D63" s="191">
        <f t="shared" si="14"/>
        <v>0.10011981554998338</v>
      </c>
      <c r="E63" s="191">
        <f t="shared" si="14"/>
        <v>9.4415243182605843E-2</v>
      </c>
      <c r="F63" s="191">
        <f t="shared" si="14"/>
        <v>3.1374564869560514E-2</v>
      </c>
      <c r="G63" s="191">
        <f t="shared" si="14"/>
        <v>6.4975859002675412E-2</v>
      </c>
      <c r="H63" s="191">
        <f t="shared" si="14"/>
        <v>1</v>
      </c>
    </row>
    <row r="64" spans="1:8" x14ac:dyDescent="0.2">
      <c r="A64" s="33" t="s">
        <v>83</v>
      </c>
      <c r="B64" s="214">
        <f t="shared" si="13"/>
        <v>4769</v>
      </c>
      <c r="C64" s="191">
        <f t="shared" si="14"/>
        <v>0.66769759664282091</v>
      </c>
      <c r="D64" s="191">
        <f t="shared" si="14"/>
        <v>0.11913547968044473</v>
      </c>
      <c r="E64" s="191">
        <f t="shared" si="14"/>
        <v>0.10457346874204375</v>
      </c>
      <c r="F64" s="191">
        <f t="shared" si="14"/>
        <v>9.1692665886984881E-2</v>
      </c>
      <c r="G64" s="191">
        <f t="shared" si="14"/>
        <v>1.6900789047705742E-2</v>
      </c>
      <c r="H64" s="191">
        <f t="shared" si="14"/>
        <v>1</v>
      </c>
    </row>
    <row r="65" spans="1:8" x14ac:dyDescent="0.2">
      <c r="A65" s="33" t="s">
        <v>84</v>
      </c>
      <c r="B65" s="214">
        <f t="shared" si="13"/>
        <v>5040</v>
      </c>
      <c r="C65" s="191">
        <f t="shared" si="14"/>
        <v>0.6627810552953034</v>
      </c>
      <c r="D65" s="191">
        <f t="shared" si="14"/>
        <v>0.14586938397883525</v>
      </c>
      <c r="E65" s="191">
        <f t="shared" si="14"/>
        <v>0.11449222949474426</v>
      </c>
      <c r="F65" s="191">
        <f t="shared" si="14"/>
        <v>4.6117377025695593E-2</v>
      </c>
      <c r="G65" s="191">
        <f t="shared" si="14"/>
        <v>3.073995420542144E-2</v>
      </c>
      <c r="H65" s="191">
        <f t="shared" si="14"/>
        <v>1</v>
      </c>
    </row>
    <row r="66" spans="1:8" x14ac:dyDescent="0.2">
      <c r="A66" s="33" t="s">
        <v>85</v>
      </c>
      <c r="B66" s="220">
        <f t="shared" si="13"/>
        <v>1381</v>
      </c>
      <c r="C66" s="193">
        <f t="shared" si="14"/>
        <v>0.59494001508889316</v>
      </c>
      <c r="D66" s="193">
        <f t="shared" si="14"/>
        <v>0.14830188105585668</v>
      </c>
      <c r="E66" s="193">
        <f t="shared" si="14"/>
        <v>0.12601544428215852</v>
      </c>
      <c r="F66" s="193">
        <f t="shared" si="14"/>
        <v>0.11775147665944227</v>
      </c>
      <c r="G66" s="193">
        <f t="shared" si="14"/>
        <v>1.299118291364933E-2</v>
      </c>
      <c r="H66" s="193">
        <f t="shared" si="14"/>
        <v>1</v>
      </c>
    </row>
    <row r="67" spans="1:8" x14ac:dyDescent="0.2">
      <c r="A67" s="33" t="s">
        <v>104</v>
      </c>
      <c r="B67" s="214">
        <f t="shared" si="13"/>
        <v>38453</v>
      </c>
      <c r="C67" s="191">
        <f t="shared" si="14"/>
        <v>0.6951833013873101</v>
      </c>
      <c r="D67" s="191">
        <f t="shared" si="14"/>
        <v>0.13292676833597306</v>
      </c>
      <c r="E67" s="191">
        <f t="shared" si="14"/>
        <v>8.5407120825080909E-2</v>
      </c>
      <c r="F67" s="191">
        <f t="shared" si="14"/>
        <v>4.8309706694627197E-2</v>
      </c>
      <c r="G67" s="191">
        <f t="shared" si="14"/>
        <v>3.8173102757008706E-2</v>
      </c>
      <c r="H67" s="191">
        <f t="shared" si="14"/>
        <v>1</v>
      </c>
    </row>
    <row r="68" spans="1:8" x14ac:dyDescent="0.2">
      <c r="A68" s="33"/>
      <c r="B68" s="214"/>
      <c r="C68" s="191"/>
      <c r="D68" s="191"/>
      <c r="E68" s="191"/>
      <c r="F68" s="191"/>
      <c r="G68" s="191"/>
      <c r="H68" s="191"/>
    </row>
    <row r="69" spans="1:8" x14ac:dyDescent="0.2">
      <c r="A69" s="33" t="s">
        <v>86</v>
      </c>
      <c r="B69" s="214">
        <f>B19</f>
        <v>10095</v>
      </c>
      <c r="C69" s="191">
        <f t="shared" ref="C69:H71" si="15">C43/$H43</f>
        <v>0.7097802058804652</v>
      </c>
      <c r="D69" s="191">
        <f t="shared" si="15"/>
        <v>0.12736310006608209</v>
      </c>
      <c r="E69" s="191">
        <f t="shared" si="15"/>
        <v>8.3670275797149266E-2</v>
      </c>
      <c r="F69" s="191">
        <f t="shared" si="15"/>
        <v>3.9323132950532247E-2</v>
      </c>
      <c r="G69" s="191">
        <f t="shared" si="15"/>
        <v>3.9863285305771094E-2</v>
      </c>
      <c r="H69" s="191">
        <f t="shared" si="15"/>
        <v>1</v>
      </c>
    </row>
    <row r="70" spans="1:8" x14ac:dyDescent="0.2">
      <c r="A70" s="33" t="s">
        <v>87</v>
      </c>
      <c r="B70" s="220">
        <f>B20</f>
        <v>7332</v>
      </c>
      <c r="C70" s="193">
        <f t="shared" si="15"/>
        <v>0.66259536674655606</v>
      </c>
      <c r="D70" s="193">
        <f t="shared" si="15"/>
        <v>0.1226089590373067</v>
      </c>
      <c r="E70" s="193">
        <f t="shared" si="15"/>
        <v>0.11485084489581246</v>
      </c>
      <c r="F70" s="193">
        <f t="shared" si="15"/>
        <v>7.0299707946895079E-2</v>
      </c>
      <c r="G70" s="193">
        <f t="shared" si="15"/>
        <v>2.9645121373429881E-2</v>
      </c>
      <c r="H70" s="193">
        <f t="shared" si="15"/>
        <v>1</v>
      </c>
    </row>
    <row r="71" spans="1:8" x14ac:dyDescent="0.2">
      <c r="A71" s="33" t="s">
        <v>105</v>
      </c>
      <c r="B71" s="214">
        <f>B21</f>
        <v>17427</v>
      </c>
      <c r="C71" s="191">
        <f t="shared" si="15"/>
        <v>0.68528887968006802</v>
      </c>
      <c r="D71" s="191">
        <f t="shared" si="15"/>
        <v>0.12489545959351443</v>
      </c>
      <c r="E71" s="191">
        <f t="shared" si="15"/>
        <v>9.9854573612431885E-2</v>
      </c>
      <c r="F71" s="191">
        <f t="shared" si="15"/>
        <v>5.5401547473763857E-2</v>
      </c>
      <c r="G71" s="191">
        <f t="shared" si="15"/>
        <v>3.4559539640221994E-2</v>
      </c>
      <c r="H71" s="191">
        <f t="shared" si="15"/>
        <v>1</v>
      </c>
    </row>
    <row r="72" spans="1:8" x14ac:dyDescent="0.2">
      <c r="A72" s="33"/>
      <c r="B72" s="214"/>
      <c r="C72" s="191"/>
      <c r="D72" s="191"/>
      <c r="E72" s="191"/>
      <c r="F72" s="191"/>
      <c r="G72" s="191"/>
      <c r="H72" s="191"/>
    </row>
    <row r="73" spans="1:8" ht="13.5" thickBot="1" x14ac:dyDescent="0.25">
      <c r="A73" s="33" t="s">
        <v>230</v>
      </c>
      <c r="B73" s="222">
        <f>B71+B67+B60</f>
        <v>148567</v>
      </c>
      <c r="C73" s="195">
        <f t="shared" ref="C73:H73" si="16">C47/$H47</f>
        <v>0.72303766121779356</v>
      </c>
      <c r="D73" s="195">
        <f t="shared" si="16"/>
        <v>0.12549381451637348</v>
      </c>
      <c r="E73" s="195">
        <f t="shared" si="16"/>
        <v>8.3339376482648775E-2</v>
      </c>
      <c r="F73" s="195">
        <f t="shared" si="16"/>
        <v>3.7465245653866525E-2</v>
      </c>
      <c r="G73" s="195">
        <f t="shared" si="16"/>
        <v>3.0663902129317883E-2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Q74"/>
  <sheetViews>
    <sheetView topLeftCell="A19" zoomScaleNormal="100" workbookViewId="0">
      <selection activeCell="J20" sqref="J20"/>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1213</v>
      </c>
      <c r="D1" s="22"/>
      <c r="E1" s="22"/>
      <c r="F1" s="22"/>
      <c r="G1" s="22"/>
      <c r="H1" s="22"/>
    </row>
    <row r="2" spans="1:17" x14ac:dyDescent="0.2">
      <c r="A2" s="22" t="s">
        <v>1212</v>
      </c>
    </row>
    <row r="3" spans="1:17" ht="34.5" x14ac:dyDescent="0.25">
      <c r="A3" s="22" t="s">
        <v>245</v>
      </c>
      <c r="B3" s="202" t="s">
        <v>1197</v>
      </c>
      <c r="C3" s="172" t="s">
        <v>1216</v>
      </c>
      <c r="D3" s="172" t="s">
        <v>1217</v>
      </c>
      <c r="E3" s="172" t="s">
        <v>1218</v>
      </c>
      <c r="F3" s="172" t="s">
        <v>1219</v>
      </c>
      <c r="G3" s="172" t="s">
        <v>1204</v>
      </c>
      <c r="H3" s="172" t="s">
        <v>1220</v>
      </c>
      <c r="K3" s="247"/>
      <c r="L3" s="247"/>
      <c r="M3" s="247"/>
      <c r="N3" s="247"/>
      <c r="O3" s="247"/>
      <c r="P3" s="247"/>
      <c r="Q3" s="247"/>
    </row>
    <row r="4" spans="1:17" ht="15" x14ac:dyDescent="0.25">
      <c r="A4" s="182" t="s">
        <v>102</v>
      </c>
      <c r="B4" s="214">
        <v>39033</v>
      </c>
      <c r="C4" s="214">
        <v>274561569</v>
      </c>
      <c r="D4" s="214">
        <v>40256505</v>
      </c>
      <c r="E4" s="214">
        <v>18624725</v>
      </c>
      <c r="F4" s="214">
        <v>4956720</v>
      </c>
      <c r="G4" s="214">
        <v>7778234</v>
      </c>
      <c r="H4" s="214">
        <f t="shared" ref="H4:H9" si="0">SUM(C4:G4)</f>
        <v>346177753</v>
      </c>
      <c r="K4" s="294"/>
      <c r="L4" s="293"/>
      <c r="M4" s="293"/>
      <c r="N4" s="293"/>
      <c r="O4" s="293"/>
      <c r="P4" s="293"/>
      <c r="Q4" s="293"/>
    </row>
    <row r="5" spans="1:17" ht="15" x14ac:dyDescent="0.25">
      <c r="A5" s="33" t="s">
        <v>76</v>
      </c>
      <c r="B5" s="214">
        <v>20207</v>
      </c>
      <c r="C5" s="214">
        <v>151573457</v>
      </c>
      <c r="D5" s="214">
        <v>21205568</v>
      </c>
      <c r="E5" s="214">
        <v>16277964</v>
      </c>
      <c r="F5" s="214">
        <v>7181398</v>
      </c>
      <c r="G5" s="214">
        <v>7463183</v>
      </c>
      <c r="H5" s="214">
        <f t="shared" si="0"/>
        <v>203701570</v>
      </c>
      <c r="K5" s="294"/>
      <c r="L5" s="293"/>
      <c r="M5" s="293"/>
      <c r="N5" s="293"/>
      <c r="O5" s="293"/>
      <c r="P5" s="293"/>
      <c r="Q5" s="293"/>
    </row>
    <row r="6" spans="1:17" ht="15" x14ac:dyDescent="0.25">
      <c r="A6" s="33" t="s">
        <v>77</v>
      </c>
      <c r="B6" s="214">
        <v>12825</v>
      </c>
      <c r="C6" s="214">
        <v>99352550</v>
      </c>
      <c r="D6" s="214">
        <v>14800438</v>
      </c>
      <c r="E6" s="214">
        <v>12343580</v>
      </c>
      <c r="F6" s="214">
        <v>3222166</v>
      </c>
      <c r="G6" s="214">
        <v>3710383</v>
      </c>
      <c r="H6" s="214">
        <f t="shared" si="0"/>
        <v>133429117</v>
      </c>
      <c r="K6" s="294"/>
      <c r="L6" s="293"/>
      <c r="M6" s="293"/>
      <c r="N6" s="293"/>
      <c r="O6" s="293"/>
      <c r="P6" s="293"/>
      <c r="Q6" s="293"/>
    </row>
    <row r="7" spans="1:17" ht="15" x14ac:dyDescent="0.25">
      <c r="A7" s="33" t="s">
        <v>78</v>
      </c>
      <c r="B7" s="214">
        <v>12640</v>
      </c>
      <c r="C7" s="214">
        <v>94373501</v>
      </c>
      <c r="D7" s="214">
        <v>16513739</v>
      </c>
      <c r="E7" s="214">
        <v>12526978</v>
      </c>
      <c r="F7" s="214">
        <v>4309746</v>
      </c>
      <c r="G7" s="214">
        <v>4291662</v>
      </c>
      <c r="H7" s="214">
        <f t="shared" si="0"/>
        <v>132015626</v>
      </c>
      <c r="K7" s="294"/>
      <c r="L7" s="293"/>
      <c r="M7" s="293"/>
      <c r="N7" s="293"/>
      <c r="O7" s="293"/>
      <c r="P7" s="293"/>
      <c r="Q7" s="293"/>
    </row>
    <row r="8" spans="1:17" ht="15" x14ac:dyDescent="0.25">
      <c r="A8" s="33" t="s">
        <v>79</v>
      </c>
      <c r="B8" s="214">
        <v>4985</v>
      </c>
      <c r="C8" s="214">
        <v>43408000</v>
      </c>
      <c r="D8" s="214">
        <v>8909525</v>
      </c>
      <c r="E8" s="214">
        <v>7451569</v>
      </c>
      <c r="F8" s="214">
        <v>3903223</v>
      </c>
      <c r="G8" s="214">
        <v>676678</v>
      </c>
      <c r="H8" s="214">
        <f t="shared" si="0"/>
        <v>64348995</v>
      </c>
      <c r="K8" s="294"/>
      <c r="L8" s="293"/>
      <c r="M8" s="293"/>
      <c r="N8" s="293"/>
      <c r="O8" s="293"/>
      <c r="P8" s="293"/>
      <c r="Q8" s="293"/>
    </row>
    <row r="9" spans="1:17" ht="15" x14ac:dyDescent="0.25">
      <c r="A9" s="33" t="s">
        <v>80</v>
      </c>
      <c r="B9" s="220">
        <v>1674</v>
      </c>
      <c r="C9" s="220">
        <v>12602667</v>
      </c>
      <c r="D9" s="220">
        <v>3600964</v>
      </c>
      <c r="E9" s="220">
        <v>2796280</v>
      </c>
      <c r="F9" s="220">
        <v>857783</v>
      </c>
      <c r="G9" s="220">
        <v>21385</v>
      </c>
      <c r="H9" s="220">
        <f t="shared" si="0"/>
        <v>19879079</v>
      </c>
      <c r="K9" s="294"/>
      <c r="L9" s="293"/>
      <c r="M9" s="293"/>
      <c r="N9" s="293"/>
      <c r="O9" s="293"/>
      <c r="P9" s="293"/>
      <c r="Q9" s="293"/>
    </row>
    <row r="10" spans="1:17" x14ac:dyDescent="0.2">
      <c r="A10" s="33" t="s">
        <v>103</v>
      </c>
      <c r="B10" s="221">
        <f t="shared" ref="B10:H10" si="1">SUM(B4:B9)</f>
        <v>91364</v>
      </c>
      <c r="C10" s="221">
        <f t="shared" si="1"/>
        <v>675871744</v>
      </c>
      <c r="D10" s="221">
        <f t="shared" si="1"/>
        <v>105286739</v>
      </c>
      <c r="E10" s="221">
        <f t="shared" si="1"/>
        <v>70021096</v>
      </c>
      <c r="F10" s="221">
        <f t="shared" si="1"/>
        <v>24431036</v>
      </c>
      <c r="G10" s="221">
        <f t="shared" si="1"/>
        <v>23941525</v>
      </c>
      <c r="H10" s="214">
        <f t="shared" si="1"/>
        <v>899552140</v>
      </c>
    </row>
    <row r="11" spans="1:17" x14ac:dyDescent="0.2">
      <c r="A11" s="33"/>
      <c r="B11" s="182"/>
      <c r="C11" s="221"/>
      <c r="D11" s="221"/>
      <c r="E11" s="221"/>
      <c r="F11" s="221"/>
      <c r="G11" s="221"/>
      <c r="H11" s="214"/>
    </row>
    <row r="12" spans="1:17" ht="15" x14ac:dyDescent="0.25">
      <c r="A12" s="33" t="s">
        <v>81</v>
      </c>
      <c r="B12" s="214">
        <v>21424</v>
      </c>
      <c r="C12" s="214">
        <v>158931029</v>
      </c>
      <c r="D12" s="214">
        <v>31218421</v>
      </c>
      <c r="E12" s="214">
        <v>12878514</v>
      </c>
      <c r="F12" s="214">
        <v>4362499</v>
      </c>
      <c r="G12" s="214">
        <v>8888658</v>
      </c>
      <c r="H12" s="214">
        <f>SUM(C12:G12)</f>
        <v>216279121</v>
      </c>
      <c r="K12" s="294"/>
      <c r="L12" s="293"/>
      <c r="M12" s="293"/>
      <c r="N12" s="293"/>
      <c r="O12" s="293"/>
      <c r="P12" s="293"/>
      <c r="Q12" s="293"/>
    </row>
    <row r="13" spans="1:17" ht="15" x14ac:dyDescent="0.25">
      <c r="A13" s="33" t="s">
        <v>82</v>
      </c>
      <c r="B13" s="214">
        <v>6363</v>
      </c>
      <c r="C13" s="214">
        <v>51191657</v>
      </c>
      <c r="D13" s="214">
        <v>6530781</v>
      </c>
      <c r="E13" s="214">
        <v>7366193</v>
      </c>
      <c r="F13" s="214">
        <v>2626614</v>
      </c>
      <c r="G13" s="214">
        <v>4630503</v>
      </c>
      <c r="H13" s="214">
        <f>SUM(C13:G13)</f>
        <v>72345748</v>
      </c>
      <c r="K13" s="294"/>
      <c r="L13" s="293"/>
      <c r="M13" s="293"/>
      <c r="N13" s="293"/>
      <c r="O13" s="293"/>
      <c r="P13" s="293"/>
      <c r="Q13" s="293"/>
    </row>
    <row r="14" spans="1:17" ht="15" x14ac:dyDescent="0.25">
      <c r="A14" s="33" t="s">
        <v>83</v>
      </c>
      <c r="B14" s="214">
        <v>4424</v>
      </c>
      <c r="C14" s="214">
        <v>37290514</v>
      </c>
      <c r="D14" s="214">
        <v>6493942</v>
      </c>
      <c r="E14" s="214">
        <v>5078912</v>
      </c>
      <c r="F14" s="214">
        <v>1940549</v>
      </c>
      <c r="G14" s="214">
        <v>1048024</v>
      </c>
      <c r="H14" s="214">
        <f>SUM(C14:G14)</f>
        <v>51851941</v>
      </c>
      <c r="K14" s="294"/>
      <c r="L14" s="293"/>
      <c r="M14" s="293"/>
      <c r="N14" s="293"/>
      <c r="O14" s="293"/>
      <c r="P14" s="293"/>
      <c r="Q14" s="293"/>
    </row>
    <row r="15" spans="1:17" ht="15" x14ac:dyDescent="0.25">
      <c r="A15" s="33" t="s">
        <v>84</v>
      </c>
      <c r="B15" s="214">
        <v>4952</v>
      </c>
      <c r="C15" s="214">
        <v>45912644</v>
      </c>
      <c r="D15" s="214">
        <v>9904051</v>
      </c>
      <c r="E15" s="214">
        <v>7303244</v>
      </c>
      <c r="F15" s="214">
        <v>2547812</v>
      </c>
      <c r="G15" s="214">
        <v>2568132</v>
      </c>
      <c r="H15" s="214">
        <f>SUM(C15:G15)</f>
        <v>68235883</v>
      </c>
      <c r="K15" s="294"/>
      <c r="L15" s="293"/>
      <c r="M15" s="293"/>
      <c r="N15" s="293"/>
      <c r="O15" s="293"/>
      <c r="P15" s="293"/>
      <c r="Q15" s="293"/>
    </row>
    <row r="16" spans="1:17" ht="15" x14ac:dyDescent="0.25">
      <c r="A16" s="33" t="s">
        <v>85</v>
      </c>
      <c r="B16" s="220">
        <v>1691</v>
      </c>
      <c r="C16" s="220">
        <v>23689438</v>
      </c>
      <c r="D16" s="220">
        <v>5814499</v>
      </c>
      <c r="E16" s="220">
        <v>4909711</v>
      </c>
      <c r="F16" s="220">
        <v>2540579</v>
      </c>
      <c r="G16" s="220">
        <v>348715</v>
      </c>
      <c r="H16" s="220">
        <f>SUM(C16:G16)</f>
        <v>37302942</v>
      </c>
      <c r="K16" s="294"/>
      <c r="L16" s="293"/>
      <c r="M16" s="293"/>
      <c r="N16" s="293"/>
      <c r="O16" s="293"/>
      <c r="P16" s="293"/>
      <c r="Q16" s="293"/>
    </row>
    <row r="17" spans="1:17" x14ac:dyDescent="0.2">
      <c r="A17" s="33" t="s">
        <v>104</v>
      </c>
      <c r="B17" s="221">
        <f t="shared" ref="B17:H17" si="2">SUM(B12:B16)</f>
        <v>38854</v>
      </c>
      <c r="C17" s="221">
        <f t="shared" si="2"/>
        <v>317015282</v>
      </c>
      <c r="D17" s="221">
        <f t="shared" si="2"/>
        <v>59961694</v>
      </c>
      <c r="E17" s="221">
        <f t="shared" si="2"/>
        <v>37536574</v>
      </c>
      <c r="F17" s="221">
        <f t="shared" si="2"/>
        <v>14018053</v>
      </c>
      <c r="G17" s="221">
        <f t="shared" si="2"/>
        <v>17484032</v>
      </c>
      <c r="H17" s="221">
        <f t="shared" si="2"/>
        <v>446015635</v>
      </c>
    </row>
    <row r="18" spans="1:17" x14ac:dyDescent="0.2">
      <c r="A18" s="33"/>
      <c r="B18" s="182"/>
      <c r="C18" s="221"/>
      <c r="D18" s="221"/>
      <c r="E18" s="221"/>
      <c r="F18" s="221"/>
      <c r="G18" s="221"/>
      <c r="H18" s="214"/>
    </row>
    <row r="19" spans="1:17" ht="15" x14ac:dyDescent="0.25">
      <c r="A19" s="33" t="s">
        <v>86</v>
      </c>
      <c r="B19" s="214">
        <v>10244</v>
      </c>
      <c r="C19" s="214">
        <v>72845106</v>
      </c>
      <c r="D19" s="214">
        <v>12445445</v>
      </c>
      <c r="E19" s="214">
        <v>8492195</v>
      </c>
      <c r="F19" s="214">
        <v>10118560</v>
      </c>
      <c r="G19" s="214">
        <v>3502139</v>
      </c>
      <c r="H19" s="214">
        <f>SUM(C19:G19)</f>
        <v>107403445</v>
      </c>
      <c r="K19" s="294"/>
      <c r="L19" s="293"/>
      <c r="M19" s="293"/>
      <c r="N19" s="293"/>
      <c r="O19" s="293"/>
      <c r="P19" s="293"/>
      <c r="Q19" s="293"/>
    </row>
    <row r="20" spans="1:17" ht="15" x14ac:dyDescent="0.25">
      <c r="A20" s="33" t="s">
        <v>87</v>
      </c>
      <c r="B20" s="220">
        <v>7243</v>
      </c>
      <c r="C20" s="220">
        <v>71376439</v>
      </c>
      <c r="D20" s="220">
        <v>12129723</v>
      </c>
      <c r="E20" s="220">
        <v>12198255</v>
      </c>
      <c r="F20" s="220">
        <v>4386254</v>
      </c>
      <c r="G20" s="220">
        <v>3116891</v>
      </c>
      <c r="H20" s="220">
        <f>SUM(C20:G20)</f>
        <v>103207562</v>
      </c>
      <c r="K20" s="294"/>
      <c r="L20" s="293"/>
      <c r="M20" s="293"/>
      <c r="N20" s="293"/>
      <c r="O20" s="293"/>
      <c r="P20" s="293"/>
      <c r="Q20" s="293"/>
    </row>
    <row r="21" spans="1:17" ht="15" x14ac:dyDescent="0.25">
      <c r="A21" s="33" t="s">
        <v>105</v>
      </c>
      <c r="B21" s="221">
        <f t="shared" ref="B21:H21" si="3">SUM(B19:B20)</f>
        <v>17487</v>
      </c>
      <c r="C21" s="221">
        <f t="shared" si="3"/>
        <v>144221545</v>
      </c>
      <c r="D21" s="221">
        <f t="shared" si="3"/>
        <v>24575168</v>
      </c>
      <c r="E21" s="221">
        <f t="shared" si="3"/>
        <v>20690450</v>
      </c>
      <c r="F21" s="221">
        <f t="shared" si="3"/>
        <v>14504814</v>
      </c>
      <c r="G21" s="221">
        <f t="shared" si="3"/>
        <v>6619030</v>
      </c>
      <c r="H21" s="221">
        <f t="shared" si="3"/>
        <v>210611007</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147705</v>
      </c>
      <c r="C23" s="222">
        <f t="shared" si="4"/>
        <v>1137108571</v>
      </c>
      <c r="D23" s="222">
        <f t="shared" si="4"/>
        <v>189823601</v>
      </c>
      <c r="E23" s="222">
        <f t="shared" si="4"/>
        <v>128248120</v>
      </c>
      <c r="F23" s="222">
        <f t="shared" si="4"/>
        <v>52953903</v>
      </c>
      <c r="G23" s="222">
        <f t="shared" si="4"/>
        <v>48044587</v>
      </c>
      <c r="H23" s="222">
        <f t="shared" si="4"/>
        <v>1556178782</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FY2013</v>
      </c>
      <c r="C26" s="22"/>
      <c r="D26" s="22"/>
      <c r="E26" s="22"/>
      <c r="F26" s="22"/>
      <c r="G26" s="22"/>
      <c r="H26" s="22"/>
    </row>
    <row r="27" spans="1:17" ht="33.75" x14ac:dyDescent="0.2">
      <c r="A27" s="155" t="s">
        <v>245</v>
      </c>
      <c r="B27" s="172" t="str">
        <f t="shared" ref="B27:H34" si="5">B3</f>
        <v>ANB13</v>
      </c>
      <c r="C27" s="172" t="str">
        <f t="shared" si="5"/>
        <v>13/Pupil Salaries &amp; Benefits</v>
      </c>
      <c r="D27" s="172" t="str">
        <f t="shared" si="5"/>
        <v>13/Pupil Purchased Services</v>
      </c>
      <c r="E27" s="172" t="str">
        <f t="shared" si="5"/>
        <v>13/Pupil Supplies</v>
      </c>
      <c r="F27" s="172" t="str">
        <f t="shared" si="5"/>
        <v>13/Pupil Capital Outlay</v>
      </c>
      <c r="G27" s="172" t="str">
        <f t="shared" si="5"/>
        <v>13/Pupil Other</v>
      </c>
      <c r="H27" s="172" t="str">
        <f t="shared" si="5"/>
        <v>13/Pupil Total Expenditures</v>
      </c>
    </row>
    <row r="28" spans="1:17" x14ac:dyDescent="0.2">
      <c r="A28" s="33" t="s">
        <v>102</v>
      </c>
      <c r="B28" s="214">
        <f t="shared" si="5"/>
        <v>39033</v>
      </c>
      <c r="C28" s="182">
        <f t="shared" ref="C28:H34" si="6">C4/$B28</f>
        <v>7034.0883098916302</v>
      </c>
      <c r="D28" s="182">
        <f t="shared" si="6"/>
        <v>1031.3454000461147</v>
      </c>
      <c r="E28" s="182">
        <f t="shared" si="6"/>
        <v>477.15330617682474</v>
      </c>
      <c r="F28" s="182">
        <f t="shared" si="6"/>
        <v>126.98793328721851</v>
      </c>
      <c r="G28" s="182">
        <f t="shared" si="6"/>
        <v>199.27328158225092</v>
      </c>
      <c r="H28" s="182">
        <f t="shared" si="6"/>
        <v>8868.8482309840383</v>
      </c>
    </row>
    <row r="29" spans="1:17" x14ac:dyDescent="0.2">
      <c r="A29" s="33" t="s">
        <v>76</v>
      </c>
      <c r="B29" s="214">
        <f t="shared" si="5"/>
        <v>20207</v>
      </c>
      <c r="C29" s="182">
        <f t="shared" si="6"/>
        <v>7501.0371158509424</v>
      </c>
      <c r="D29" s="182">
        <f t="shared" si="6"/>
        <v>1049.4169347255902</v>
      </c>
      <c r="E29" s="182">
        <f t="shared" si="6"/>
        <v>805.56064730044045</v>
      </c>
      <c r="F29" s="182">
        <f t="shared" si="6"/>
        <v>355.39159697134659</v>
      </c>
      <c r="G29" s="182">
        <f t="shared" si="6"/>
        <v>369.33651704854753</v>
      </c>
      <c r="H29" s="182">
        <f t="shared" si="6"/>
        <v>10080.742811896867</v>
      </c>
    </row>
    <row r="30" spans="1:17" x14ac:dyDescent="0.2">
      <c r="A30" s="33" t="s">
        <v>77</v>
      </c>
      <c r="B30" s="214">
        <f t="shared" si="5"/>
        <v>12825</v>
      </c>
      <c r="C30" s="182">
        <f t="shared" si="6"/>
        <v>7746.7875243664721</v>
      </c>
      <c r="D30" s="182">
        <f t="shared" si="6"/>
        <v>1154.0302534113061</v>
      </c>
      <c r="E30" s="182">
        <f t="shared" si="6"/>
        <v>962.4623781676413</v>
      </c>
      <c r="F30" s="182">
        <f t="shared" si="6"/>
        <v>251.24101364522417</v>
      </c>
      <c r="G30" s="182">
        <f t="shared" si="6"/>
        <v>289.30861598440544</v>
      </c>
      <c r="H30" s="182">
        <f t="shared" si="6"/>
        <v>10403.829785575048</v>
      </c>
    </row>
    <row r="31" spans="1:17" x14ac:dyDescent="0.2">
      <c r="A31" s="33" t="s">
        <v>78</v>
      </c>
      <c r="B31" s="214">
        <f t="shared" si="5"/>
        <v>12640</v>
      </c>
      <c r="C31" s="182">
        <f t="shared" si="6"/>
        <v>7466.2579905063294</v>
      </c>
      <c r="D31" s="182">
        <f t="shared" si="6"/>
        <v>1306.4666930379747</v>
      </c>
      <c r="E31" s="182">
        <f t="shared" si="6"/>
        <v>991.05838607594933</v>
      </c>
      <c r="F31" s="182">
        <f t="shared" si="6"/>
        <v>340.96091772151897</v>
      </c>
      <c r="G31" s="182">
        <f t="shared" si="6"/>
        <v>339.53022151898733</v>
      </c>
      <c r="H31" s="182">
        <f t="shared" si="6"/>
        <v>10444.274208860759</v>
      </c>
    </row>
    <row r="32" spans="1:17" x14ac:dyDescent="0.2">
      <c r="A32" s="33" t="s">
        <v>79</v>
      </c>
      <c r="B32" s="214">
        <f t="shared" si="5"/>
        <v>4985</v>
      </c>
      <c r="C32" s="182">
        <f t="shared" si="6"/>
        <v>8707.7231695085247</v>
      </c>
      <c r="D32" s="182">
        <f t="shared" si="6"/>
        <v>1787.2668004012037</v>
      </c>
      <c r="E32" s="182">
        <f t="shared" si="6"/>
        <v>1494.7981945837512</v>
      </c>
      <c r="F32" s="182">
        <f t="shared" si="6"/>
        <v>782.99358074222664</v>
      </c>
      <c r="G32" s="182">
        <f t="shared" si="6"/>
        <v>135.74282848545636</v>
      </c>
      <c r="H32" s="182">
        <f t="shared" si="6"/>
        <v>12908.524573721163</v>
      </c>
    </row>
    <row r="33" spans="1:8" x14ac:dyDescent="0.2">
      <c r="A33" s="33" t="s">
        <v>80</v>
      </c>
      <c r="B33" s="220">
        <f t="shared" si="5"/>
        <v>1674</v>
      </c>
      <c r="C33" s="183">
        <f t="shared" si="6"/>
        <v>7528.474910394265</v>
      </c>
      <c r="D33" s="183">
        <f t="shared" si="6"/>
        <v>2151.1135005973715</v>
      </c>
      <c r="E33" s="183">
        <f t="shared" si="6"/>
        <v>1670.4181600955794</v>
      </c>
      <c r="F33" s="183">
        <f t="shared" si="6"/>
        <v>512.41517323775383</v>
      </c>
      <c r="G33" s="183">
        <f t="shared" si="6"/>
        <v>12.77479091995221</v>
      </c>
      <c r="H33" s="183">
        <f t="shared" si="6"/>
        <v>11875.196535244922</v>
      </c>
    </row>
    <row r="34" spans="1:8" x14ac:dyDescent="0.2">
      <c r="A34" s="33" t="s">
        <v>103</v>
      </c>
      <c r="B34" s="214">
        <f t="shared" si="5"/>
        <v>91364</v>
      </c>
      <c r="C34" s="182">
        <f t="shared" si="6"/>
        <v>7397.5717350378709</v>
      </c>
      <c r="D34" s="182">
        <f t="shared" si="6"/>
        <v>1152.387581541964</v>
      </c>
      <c r="E34" s="182">
        <f t="shared" si="6"/>
        <v>766.39700538505315</v>
      </c>
      <c r="F34" s="182">
        <f t="shared" si="6"/>
        <v>267.40330983757281</v>
      </c>
      <c r="G34" s="182">
        <f t="shared" si="6"/>
        <v>262.04549932139571</v>
      </c>
      <c r="H34" s="182">
        <f t="shared" si="6"/>
        <v>9845.805131123856</v>
      </c>
    </row>
    <row r="35" spans="1:8" x14ac:dyDescent="0.2">
      <c r="A35" s="33"/>
      <c r="B35" s="214"/>
      <c r="C35" s="182"/>
      <c r="D35" s="182"/>
      <c r="E35" s="182"/>
      <c r="F35" s="182"/>
      <c r="G35" s="182"/>
      <c r="H35" s="182"/>
    </row>
    <row r="36" spans="1:8" x14ac:dyDescent="0.2">
      <c r="A36" s="33" t="s">
        <v>81</v>
      </c>
      <c r="B36" s="214">
        <f t="shared" ref="B36:B41" si="7">B12</f>
        <v>21424</v>
      </c>
      <c r="C36" s="182">
        <f t="shared" ref="C36:H41" si="8">C12/$B36</f>
        <v>7418.3639376400297</v>
      </c>
      <c r="D36" s="182">
        <f t="shared" si="8"/>
        <v>1457.1705097087379</v>
      </c>
      <c r="E36" s="182">
        <f t="shared" si="8"/>
        <v>601.12556011949221</v>
      </c>
      <c r="F36" s="182">
        <f t="shared" si="8"/>
        <v>203.62672703510083</v>
      </c>
      <c r="G36" s="182">
        <f t="shared" si="8"/>
        <v>414.89255041075427</v>
      </c>
      <c r="H36" s="182">
        <f t="shared" si="8"/>
        <v>10095.179284914115</v>
      </c>
    </row>
    <row r="37" spans="1:8" x14ac:dyDescent="0.2">
      <c r="A37" s="33" t="s">
        <v>82</v>
      </c>
      <c r="B37" s="214">
        <f t="shared" si="7"/>
        <v>6363</v>
      </c>
      <c r="C37" s="182">
        <f t="shared" si="8"/>
        <v>8045.2077636335061</v>
      </c>
      <c r="D37" s="182">
        <f t="shared" si="8"/>
        <v>1026.3682225365394</v>
      </c>
      <c r="E37" s="182">
        <f t="shared" si="8"/>
        <v>1157.6603803237467</v>
      </c>
      <c r="F37" s="182">
        <f t="shared" si="8"/>
        <v>412.79490806223481</v>
      </c>
      <c r="G37" s="182">
        <f t="shared" si="8"/>
        <v>727.7232437529467</v>
      </c>
      <c r="H37" s="182">
        <f t="shared" si="8"/>
        <v>11369.754518308973</v>
      </c>
    </row>
    <row r="38" spans="1:8" x14ac:dyDescent="0.2">
      <c r="A38" s="33" t="s">
        <v>83</v>
      </c>
      <c r="B38" s="214">
        <f t="shared" si="7"/>
        <v>4424</v>
      </c>
      <c r="C38" s="182">
        <f t="shared" si="8"/>
        <v>8429.1396925858953</v>
      </c>
      <c r="D38" s="182">
        <f t="shared" si="8"/>
        <v>1467.8892405063291</v>
      </c>
      <c r="E38" s="182">
        <f t="shared" si="8"/>
        <v>1148.0361663652802</v>
      </c>
      <c r="F38" s="182">
        <f t="shared" si="8"/>
        <v>438.64127486437616</v>
      </c>
      <c r="G38" s="182">
        <f t="shared" si="8"/>
        <v>236.89511754068715</v>
      </c>
      <c r="H38" s="182">
        <f t="shared" si="8"/>
        <v>11720.601491862568</v>
      </c>
    </row>
    <row r="39" spans="1:8" x14ac:dyDescent="0.2">
      <c r="A39" s="33" t="s">
        <v>84</v>
      </c>
      <c r="B39" s="214">
        <f t="shared" si="7"/>
        <v>4952</v>
      </c>
      <c r="C39" s="182">
        <f t="shared" si="8"/>
        <v>9271.535541195477</v>
      </c>
      <c r="D39" s="182">
        <f t="shared" si="8"/>
        <v>2000.0102988691438</v>
      </c>
      <c r="E39" s="182">
        <f t="shared" si="8"/>
        <v>1474.8069466882068</v>
      </c>
      <c r="F39" s="182">
        <f t="shared" si="8"/>
        <v>514.50161550888527</v>
      </c>
      <c r="G39" s="182">
        <f t="shared" si="8"/>
        <v>518.60500807754443</v>
      </c>
      <c r="H39" s="182">
        <f t="shared" si="8"/>
        <v>13779.459410339257</v>
      </c>
    </row>
    <row r="40" spans="1:8" x14ac:dyDescent="0.2">
      <c r="A40" s="33" t="s">
        <v>85</v>
      </c>
      <c r="B40" s="220">
        <f t="shared" si="7"/>
        <v>1691</v>
      </c>
      <c r="C40" s="183">
        <f t="shared" si="8"/>
        <v>14009.129509166174</v>
      </c>
      <c r="D40" s="183">
        <f t="shared" si="8"/>
        <v>3438.4973388527496</v>
      </c>
      <c r="E40" s="183">
        <f t="shared" si="8"/>
        <v>2903.4364281490243</v>
      </c>
      <c r="F40" s="183">
        <f t="shared" si="8"/>
        <v>1502.412182140745</v>
      </c>
      <c r="G40" s="183">
        <f t="shared" si="8"/>
        <v>206.21821407451213</v>
      </c>
      <c r="H40" s="183">
        <f t="shared" si="8"/>
        <v>22059.693672383204</v>
      </c>
    </row>
    <row r="41" spans="1:8" x14ac:dyDescent="0.2">
      <c r="A41" s="33" t="s">
        <v>104</v>
      </c>
      <c r="B41" s="214">
        <f t="shared" si="7"/>
        <v>38854</v>
      </c>
      <c r="C41" s="182">
        <f t="shared" si="8"/>
        <v>8159.1414526174913</v>
      </c>
      <c r="D41" s="182">
        <f t="shared" si="8"/>
        <v>1543.2566531116488</v>
      </c>
      <c r="E41" s="182">
        <f t="shared" si="8"/>
        <v>966.09291192669991</v>
      </c>
      <c r="F41" s="182">
        <f t="shared" si="8"/>
        <v>360.78789828589078</v>
      </c>
      <c r="G41" s="182">
        <f t="shared" si="8"/>
        <v>449.99310238328098</v>
      </c>
      <c r="H41" s="182">
        <f t="shared" si="8"/>
        <v>11479.272018325011</v>
      </c>
    </row>
    <row r="42" spans="1:8" x14ac:dyDescent="0.2">
      <c r="A42" s="33"/>
      <c r="B42" s="214"/>
      <c r="C42" s="182"/>
      <c r="D42" s="182"/>
      <c r="E42" s="182"/>
      <c r="F42" s="182"/>
      <c r="G42" s="182"/>
      <c r="H42" s="182"/>
    </row>
    <row r="43" spans="1:8" x14ac:dyDescent="0.2">
      <c r="A43" s="33" t="s">
        <v>86</v>
      </c>
      <c r="B43" s="214">
        <f>B19</f>
        <v>10244</v>
      </c>
      <c r="C43" s="182">
        <f t="shared" ref="C43:H45" si="9">C19/$B43</f>
        <v>7111.0021475985941</v>
      </c>
      <c r="D43" s="182">
        <f t="shared" si="9"/>
        <v>1214.9009176103084</v>
      </c>
      <c r="E43" s="182">
        <f t="shared" si="9"/>
        <v>828.99209293244826</v>
      </c>
      <c r="F43" s="182">
        <f t="shared" si="9"/>
        <v>987.7547832877782</v>
      </c>
      <c r="G43" s="182">
        <f t="shared" si="9"/>
        <v>341.87221788363922</v>
      </c>
      <c r="H43" s="182">
        <f t="shared" si="9"/>
        <v>10484.522159312768</v>
      </c>
    </row>
    <row r="44" spans="1:8" x14ac:dyDescent="0.2">
      <c r="A44" s="33" t="s">
        <v>87</v>
      </c>
      <c r="B44" s="220">
        <f>B20</f>
        <v>7243</v>
      </c>
      <c r="C44" s="183">
        <f t="shared" si="9"/>
        <v>9854.5407980118744</v>
      </c>
      <c r="D44" s="183">
        <f t="shared" si="9"/>
        <v>1674.6821758939666</v>
      </c>
      <c r="E44" s="183">
        <f t="shared" si="9"/>
        <v>1684.1440011045147</v>
      </c>
      <c r="F44" s="183">
        <f t="shared" si="9"/>
        <v>605.5852547287036</v>
      </c>
      <c r="G44" s="183">
        <f t="shared" si="9"/>
        <v>430.33149247549358</v>
      </c>
      <c r="H44" s="183">
        <f t="shared" si="9"/>
        <v>14249.283722214552</v>
      </c>
    </row>
    <row r="45" spans="1:8" x14ac:dyDescent="0.2">
      <c r="A45" s="33" t="s">
        <v>105</v>
      </c>
      <c r="B45" s="214">
        <f>B21</f>
        <v>17487</v>
      </c>
      <c r="C45" s="182">
        <f t="shared" si="9"/>
        <v>8247.3577514725221</v>
      </c>
      <c r="D45" s="182">
        <f t="shared" si="9"/>
        <v>1405.3392806084521</v>
      </c>
      <c r="E45" s="182">
        <f t="shared" si="9"/>
        <v>1183.1903699891348</v>
      </c>
      <c r="F45" s="182">
        <f t="shared" si="9"/>
        <v>829.46268656716416</v>
      </c>
      <c r="G45" s="182">
        <f t="shared" si="9"/>
        <v>378.51146566020475</v>
      </c>
      <c r="H45" s="182">
        <f t="shared" si="9"/>
        <v>12043.861554297479</v>
      </c>
    </row>
    <row r="46" spans="1:8" x14ac:dyDescent="0.2">
      <c r="A46" s="33"/>
      <c r="B46" s="214"/>
      <c r="C46" s="182"/>
      <c r="D46" s="182"/>
      <c r="E46" s="182"/>
      <c r="F46" s="182"/>
      <c r="G46" s="182"/>
      <c r="H46" s="182"/>
    </row>
    <row r="47" spans="1:8" ht="13.5" thickBot="1" x14ac:dyDescent="0.25">
      <c r="A47" s="33" t="s">
        <v>209</v>
      </c>
      <c r="B47" s="222">
        <f>B23</f>
        <v>147705</v>
      </c>
      <c r="C47" s="192">
        <f t="shared" ref="C47:H47" si="10">C23/$B47</f>
        <v>7698.5110253545918</v>
      </c>
      <c r="D47" s="192">
        <f t="shared" si="10"/>
        <v>1285.1535222233506</v>
      </c>
      <c r="E47" s="192">
        <f t="shared" si="10"/>
        <v>868.27202870586643</v>
      </c>
      <c r="F47" s="192">
        <f t="shared" si="10"/>
        <v>358.51124200264042</v>
      </c>
      <c r="G47" s="192">
        <f t="shared" si="10"/>
        <v>325.27393791679361</v>
      </c>
      <c r="H47" s="192">
        <f t="shared" si="10"/>
        <v>10535.721756203244</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FY2013</v>
      </c>
      <c r="C52" s="182"/>
      <c r="D52" s="182"/>
      <c r="E52" s="182"/>
      <c r="F52" s="182"/>
      <c r="G52" s="182"/>
      <c r="H52" s="182"/>
    </row>
    <row r="53" spans="1:8" ht="33.75" x14ac:dyDescent="0.2">
      <c r="A53" s="155" t="s">
        <v>245</v>
      </c>
      <c r="B53" s="172" t="str">
        <f t="shared" ref="B53:H59" si="11">B3</f>
        <v>ANB13</v>
      </c>
      <c r="C53" s="172" t="str">
        <f t="shared" si="11"/>
        <v>13/Pupil Salaries &amp; Benefits</v>
      </c>
      <c r="D53" s="172" t="str">
        <f t="shared" si="11"/>
        <v>13/Pupil Purchased Services</v>
      </c>
      <c r="E53" s="172" t="str">
        <f t="shared" si="11"/>
        <v>13/Pupil Supplies</v>
      </c>
      <c r="F53" s="172" t="str">
        <f t="shared" si="11"/>
        <v>13/Pupil Capital Outlay</v>
      </c>
      <c r="G53" s="172" t="str">
        <f t="shared" si="11"/>
        <v>13/Pupil Other</v>
      </c>
      <c r="H53" s="172" t="str">
        <f t="shared" si="11"/>
        <v>13/Pupil Total Expenditures</v>
      </c>
    </row>
    <row r="54" spans="1:8" x14ac:dyDescent="0.2">
      <c r="A54" s="33" t="s">
        <v>102</v>
      </c>
      <c r="B54" s="214">
        <f t="shared" si="11"/>
        <v>39033</v>
      </c>
      <c r="C54" s="191">
        <f t="shared" ref="C54:H60" si="12">C28/$H28</f>
        <v>0.79312308957069244</v>
      </c>
      <c r="D54" s="191">
        <f t="shared" si="12"/>
        <v>0.11628853862252668</v>
      </c>
      <c r="E54" s="191">
        <f t="shared" si="12"/>
        <v>5.3801045383756942E-2</v>
      </c>
      <c r="F54" s="191">
        <f t="shared" si="12"/>
        <v>1.4318424442485767E-2</v>
      </c>
      <c r="G54" s="191">
        <f t="shared" si="12"/>
        <v>2.2468901980538306E-2</v>
      </c>
      <c r="H54" s="191">
        <f t="shared" si="12"/>
        <v>1</v>
      </c>
    </row>
    <row r="55" spans="1:8" x14ac:dyDescent="0.2">
      <c r="A55" s="33" t="s">
        <v>76</v>
      </c>
      <c r="B55" s="214">
        <f t="shared" si="11"/>
        <v>20207</v>
      </c>
      <c r="C55" s="191">
        <f t="shared" si="12"/>
        <v>0.74409567388214037</v>
      </c>
      <c r="D55" s="191">
        <f t="shared" si="12"/>
        <v>0.10410115150315238</v>
      </c>
      <c r="E55" s="191">
        <f t="shared" si="12"/>
        <v>7.9910842120657202E-2</v>
      </c>
      <c r="F55" s="191">
        <f t="shared" si="12"/>
        <v>3.5254504911277809E-2</v>
      </c>
      <c r="G55" s="191">
        <f t="shared" si="12"/>
        <v>3.6637827582772189E-2</v>
      </c>
      <c r="H55" s="191">
        <f t="shared" si="12"/>
        <v>1</v>
      </c>
    </row>
    <row r="56" spans="1:8" x14ac:dyDescent="0.2">
      <c r="A56" s="33" t="s">
        <v>77</v>
      </c>
      <c r="B56" s="214">
        <f t="shared" si="11"/>
        <v>12825</v>
      </c>
      <c r="C56" s="191">
        <f t="shared" si="12"/>
        <v>0.74460921449401496</v>
      </c>
      <c r="D56" s="191">
        <f t="shared" si="12"/>
        <v>0.11092359998155427</v>
      </c>
      <c r="E56" s="191">
        <f t="shared" si="12"/>
        <v>9.2510392615428913E-2</v>
      </c>
      <c r="F56" s="191">
        <f t="shared" si="12"/>
        <v>2.4148896975762797E-2</v>
      </c>
      <c r="G56" s="191">
        <f t="shared" si="12"/>
        <v>2.7807895933239218E-2</v>
      </c>
      <c r="H56" s="191">
        <f t="shared" si="12"/>
        <v>1</v>
      </c>
    </row>
    <row r="57" spans="1:8" x14ac:dyDescent="0.2">
      <c r="A57" s="33" t="s">
        <v>78</v>
      </c>
      <c r="B57" s="214">
        <f t="shared" si="11"/>
        <v>12640</v>
      </c>
      <c r="C57" s="191">
        <f t="shared" si="12"/>
        <v>0.71486614016434691</v>
      </c>
      <c r="D57" s="191">
        <f t="shared" si="12"/>
        <v>0.12508927541653289</v>
      </c>
      <c r="E57" s="191">
        <f t="shared" si="12"/>
        <v>9.4890115507992964E-2</v>
      </c>
      <c r="F57" s="191">
        <f t="shared" si="12"/>
        <v>3.2645726347576461E-2</v>
      </c>
      <c r="G57" s="191">
        <f t="shared" si="12"/>
        <v>3.2508742563550776E-2</v>
      </c>
      <c r="H57" s="191">
        <f t="shared" si="12"/>
        <v>1</v>
      </c>
    </row>
    <row r="58" spans="1:8" x14ac:dyDescent="0.2">
      <c r="A58" s="33" t="s">
        <v>79</v>
      </c>
      <c r="B58" s="214">
        <f t="shared" si="11"/>
        <v>4985</v>
      </c>
      <c r="C58" s="191">
        <f t="shared" si="12"/>
        <v>0.67457152982731117</v>
      </c>
      <c r="D58" s="191">
        <f t="shared" si="12"/>
        <v>0.13845631932557767</v>
      </c>
      <c r="E58" s="191">
        <f t="shared" si="12"/>
        <v>0.11579930657813693</v>
      </c>
      <c r="F58" s="191">
        <f t="shared" si="12"/>
        <v>6.0657093401381014E-2</v>
      </c>
      <c r="G58" s="191">
        <f t="shared" si="12"/>
        <v>1.0515750867593193E-2</v>
      </c>
      <c r="H58" s="191">
        <f t="shared" si="12"/>
        <v>1</v>
      </c>
    </row>
    <row r="59" spans="1:8" x14ac:dyDescent="0.2">
      <c r="A59" s="33" t="s">
        <v>80</v>
      </c>
      <c r="B59" s="220">
        <f t="shared" si="11"/>
        <v>1674</v>
      </c>
      <c r="C59" s="193">
        <f t="shared" si="12"/>
        <v>0.63396634220327808</v>
      </c>
      <c r="D59" s="193">
        <f t="shared" si="12"/>
        <v>0.1811434020660615</v>
      </c>
      <c r="E59" s="193">
        <f t="shared" si="12"/>
        <v>0.1406644643848943</v>
      </c>
      <c r="F59" s="193">
        <f t="shared" si="12"/>
        <v>4.3150037282914361E-2</v>
      </c>
      <c r="G59" s="193">
        <f t="shared" si="12"/>
        <v>1.0757540628517045E-3</v>
      </c>
      <c r="H59" s="193">
        <f t="shared" si="12"/>
        <v>1</v>
      </c>
    </row>
    <row r="60" spans="1:8" x14ac:dyDescent="0.2">
      <c r="A60" s="33" t="s">
        <v>103</v>
      </c>
      <c r="B60" s="214">
        <f>SUM(B54:B59)</f>
        <v>91364</v>
      </c>
      <c r="C60" s="191">
        <f t="shared" si="12"/>
        <v>0.75134248916355206</v>
      </c>
      <c r="D60" s="191">
        <f t="shared" si="12"/>
        <v>0.11704350900660411</v>
      </c>
      <c r="E60" s="191">
        <f t="shared" si="12"/>
        <v>7.7839952668002102E-2</v>
      </c>
      <c r="F60" s="191">
        <f t="shared" si="12"/>
        <v>2.7159110532492318E-2</v>
      </c>
      <c r="G60" s="191">
        <f t="shared" si="12"/>
        <v>2.6614938629349487E-2</v>
      </c>
      <c r="H60" s="191">
        <f t="shared" si="12"/>
        <v>1</v>
      </c>
    </row>
    <row r="61" spans="1:8" x14ac:dyDescent="0.2">
      <c r="A61" s="33"/>
      <c r="B61" s="214"/>
      <c r="C61" s="191"/>
      <c r="D61" s="191"/>
      <c r="E61" s="191"/>
      <c r="F61" s="191"/>
      <c r="G61" s="191"/>
      <c r="H61" s="191"/>
    </row>
    <row r="62" spans="1:8" x14ac:dyDescent="0.2">
      <c r="A62" s="33" t="s">
        <v>81</v>
      </c>
      <c r="B62" s="214">
        <f t="shared" ref="B62:B67" si="13">B12</f>
        <v>21424</v>
      </c>
      <c r="C62" s="191">
        <f t="shared" ref="C62:H67" si="14">C36/$H36</f>
        <v>0.73484221807984873</v>
      </c>
      <c r="D62" s="191">
        <f t="shared" si="14"/>
        <v>0.14434320268945425</v>
      </c>
      <c r="E62" s="191">
        <f t="shared" si="14"/>
        <v>5.9545803314042509E-2</v>
      </c>
      <c r="F62" s="191">
        <f t="shared" si="14"/>
        <v>2.0170689523007632E-2</v>
      </c>
      <c r="G62" s="191">
        <f t="shared" si="14"/>
        <v>4.1098086393646843E-2</v>
      </c>
      <c r="H62" s="191">
        <f t="shared" si="14"/>
        <v>1</v>
      </c>
    </row>
    <row r="63" spans="1:8" x14ac:dyDescent="0.2">
      <c r="A63" s="33" t="s">
        <v>82</v>
      </c>
      <c r="B63" s="214">
        <f t="shared" si="13"/>
        <v>6363</v>
      </c>
      <c r="C63" s="191">
        <f t="shared" si="14"/>
        <v>0.70759731449593977</v>
      </c>
      <c r="D63" s="191">
        <f t="shared" si="14"/>
        <v>9.0271801460951109E-2</v>
      </c>
      <c r="E63" s="191">
        <f t="shared" si="14"/>
        <v>0.10181929420371741</v>
      </c>
      <c r="F63" s="191">
        <f t="shared" si="14"/>
        <v>3.6306404627954085E-2</v>
      </c>
      <c r="G63" s="191">
        <f t="shared" si="14"/>
        <v>6.4005185211437721E-2</v>
      </c>
      <c r="H63" s="191">
        <f t="shared" si="14"/>
        <v>1</v>
      </c>
    </row>
    <row r="64" spans="1:8" x14ac:dyDescent="0.2">
      <c r="A64" s="33" t="s">
        <v>83</v>
      </c>
      <c r="B64" s="214">
        <f t="shared" si="13"/>
        <v>4424</v>
      </c>
      <c r="C64" s="191">
        <f t="shared" si="14"/>
        <v>0.71917296210762871</v>
      </c>
      <c r="D64" s="191">
        <f t="shared" si="14"/>
        <v>0.12524009467649436</v>
      </c>
      <c r="E64" s="191">
        <f t="shared" si="14"/>
        <v>9.7950277309773223E-2</v>
      </c>
      <c r="F64" s="191">
        <f t="shared" si="14"/>
        <v>3.7424809227488712E-2</v>
      </c>
      <c r="G64" s="191">
        <f t="shared" si="14"/>
        <v>2.021185667861498E-2</v>
      </c>
      <c r="H64" s="191">
        <f t="shared" si="14"/>
        <v>1</v>
      </c>
    </row>
    <row r="65" spans="1:8" x14ac:dyDescent="0.2">
      <c r="A65" s="33" t="s">
        <v>84</v>
      </c>
      <c r="B65" s="214">
        <f t="shared" si="13"/>
        <v>4952</v>
      </c>
      <c r="C65" s="191">
        <f t="shared" si="14"/>
        <v>0.67285190696513741</v>
      </c>
      <c r="D65" s="191">
        <f t="shared" si="14"/>
        <v>0.14514432237947297</v>
      </c>
      <c r="E65" s="191">
        <f t="shared" si="14"/>
        <v>0.10702937631802903</v>
      </c>
      <c r="F65" s="191">
        <f t="shared" si="14"/>
        <v>3.7338301901947979E-2</v>
      </c>
      <c r="G65" s="191">
        <f t="shared" si="14"/>
        <v>3.7636092435412612E-2</v>
      </c>
      <c r="H65" s="191">
        <f t="shared" si="14"/>
        <v>1</v>
      </c>
    </row>
    <row r="66" spans="1:8" x14ac:dyDescent="0.2">
      <c r="A66" s="33" t="s">
        <v>85</v>
      </c>
      <c r="B66" s="220">
        <f t="shared" si="13"/>
        <v>1691</v>
      </c>
      <c r="C66" s="193">
        <f t="shared" si="14"/>
        <v>0.63505548704442671</v>
      </c>
      <c r="D66" s="193">
        <f t="shared" si="14"/>
        <v>0.15587239741037048</v>
      </c>
      <c r="E66" s="193">
        <f t="shared" si="14"/>
        <v>0.13161725957164452</v>
      </c>
      <c r="F66" s="193">
        <f t="shared" si="14"/>
        <v>6.8106665688727711E-2</v>
      </c>
      <c r="G66" s="193">
        <f t="shared" si="14"/>
        <v>9.3481902848306184E-3</v>
      </c>
      <c r="H66" s="193">
        <f t="shared" si="14"/>
        <v>1</v>
      </c>
    </row>
    <row r="67" spans="1:8" x14ac:dyDescent="0.2">
      <c r="A67" s="33" t="s">
        <v>104</v>
      </c>
      <c r="B67" s="214">
        <f t="shared" si="13"/>
        <v>38854</v>
      </c>
      <c r="C67" s="191">
        <f t="shared" si="14"/>
        <v>0.71077167956230958</v>
      </c>
      <c r="D67" s="191">
        <f t="shared" si="14"/>
        <v>0.13443854720474094</v>
      </c>
      <c r="E67" s="191">
        <f t="shared" si="14"/>
        <v>8.4159771663609953E-2</v>
      </c>
      <c r="F67" s="191">
        <f t="shared" si="14"/>
        <v>3.1429510313018515E-2</v>
      </c>
      <c r="G67" s="191">
        <f t="shared" si="14"/>
        <v>3.9200491256321093E-2</v>
      </c>
      <c r="H67" s="191">
        <f t="shared" si="14"/>
        <v>1</v>
      </c>
    </row>
    <row r="68" spans="1:8" x14ac:dyDescent="0.2">
      <c r="A68" s="33"/>
      <c r="B68" s="214"/>
      <c r="C68" s="191"/>
      <c r="D68" s="191"/>
      <c r="E68" s="191"/>
      <c r="F68" s="191"/>
      <c r="G68" s="191"/>
      <c r="H68" s="191"/>
    </row>
    <row r="69" spans="1:8" x14ac:dyDescent="0.2">
      <c r="A69" s="33" t="s">
        <v>86</v>
      </c>
      <c r="B69" s="214">
        <f>B19</f>
        <v>10244</v>
      </c>
      <c r="C69" s="191">
        <f t="shared" ref="C69:H71" si="15">C43/$H43</f>
        <v>0.67823807700023031</v>
      </c>
      <c r="D69" s="191">
        <f t="shared" si="15"/>
        <v>0.11587565929565853</v>
      </c>
      <c r="E69" s="191">
        <f t="shared" si="15"/>
        <v>7.9068180727350043E-2</v>
      </c>
      <c r="F69" s="191">
        <f t="shared" si="15"/>
        <v>9.4210758323441113E-2</v>
      </c>
      <c r="G69" s="191">
        <f t="shared" si="15"/>
        <v>3.2607324653320016E-2</v>
      </c>
      <c r="H69" s="191">
        <f t="shared" si="15"/>
        <v>1</v>
      </c>
    </row>
    <row r="70" spans="1:8" x14ac:dyDescent="0.2">
      <c r="A70" s="33" t="s">
        <v>87</v>
      </c>
      <c r="B70" s="220">
        <f>B20</f>
        <v>7243</v>
      </c>
      <c r="C70" s="193">
        <f t="shared" si="15"/>
        <v>0.69158148508536621</v>
      </c>
      <c r="D70" s="193">
        <f t="shared" si="15"/>
        <v>0.11752746373371362</v>
      </c>
      <c r="E70" s="193">
        <f t="shared" si="15"/>
        <v>0.11819148484487987</v>
      </c>
      <c r="F70" s="193">
        <f t="shared" si="15"/>
        <v>4.2499347092415575E-2</v>
      </c>
      <c r="G70" s="193">
        <f t="shared" si="15"/>
        <v>3.0200219243624805E-2</v>
      </c>
      <c r="H70" s="193">
        <f t="shared" si="15"/>
        <v>1</v>
      </c>
    </row>
    <row r="71" spans="1:8" x14ac:dyDescent="0.2">
      <c r="A71" s="33" t="s">
        <v>105</v>
      </c>
      <c r="B71" s="214">
        <f>B21</f>
        <v>17487</v>
      </c>
      <c r="C71" s="191">
        <f t="shared" si="15"/>
        <v>0.68477686448742914</v>
      </c>
      <c r="D71" s="191">
        <f t="shared" si="15"/>
        <v>0.11668510753571394</v>
      </c>
      <c r="E71" s="191">
        <f t="shared" si="15"/>
        <v>9.8240117146393968E-2</v>
      </c>
      <c r="F71" s="191">
        <f t="shared" si="15"/>
        <v>6.8870161187729373E-2</v>
      </c>
      <c r="G71" s="191">
        <f t="shared" si="15"/>
        <v>3.1427749642733538E-2</v>
      </c>
      <c r="H71" s="191">
        <f t="shared" si="15"/>
        <v>1</v>
      </c>
    </row>
    <row r="72" spans="1:8" x14ac:dyDescent="0.2">
      <c r="A72" s="33"/>
      <c r="B72" s="214"/>
      <c r="C72" s="191"/>
      <c r="D72" s="191"/>
      <c r="E72" s="191"/>
      <c r="F72" s="191"/>
      <c r="G72" s="191"/>
      <c r="H72" s="191"/>
    </row>
    <row r="73" spans="1:8" ht="13.5" thickBot="1" x14ac:dyDescent="0.25">
      <c r="A73" s="33" t="s">
        <v>230</v>
      </c>
      <c r="B73" s="222">
        <f>B71+B67+B60</f>
        <v>147705</v>
      </c>
      <c r="C73" s="195">
        <f t="shared" ref="C73:H73" si="16">C47/$H47</f>
        <v>0.73070561310352056</v>
      </c>
      <c r="D73" s="195">
        <f t="shared" si="16"/>
        <v>0.12198058680381108</v>
      </c>
      <c r="E73" s="195">
        <f t="shared" si="16"/>
        <v>8.2412201916270564E-2</v>
      </c>
      <c r="F73" s="195">
        <f t="shared" si="16"/>
        <v>3.4028161553484024E-2</v>
      </c>
      <c r="G73" s="195">
        <f t="shared" si="16"/>
        <v>3.0873436622913676E-2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Q74"/>
  <sheetViews>
    <sheetView zoomScaleNormal="100" workbookViewId="0">
      <selection activeCell="K9" sqref="K9"/>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c r="D1" s="22"/>
      <c r="E1" s="22"/>
      <c r="F1" s="22"/>
      <c r="G1" s="22"/>
      <c r="H1" s="22"/>
    </row>
    <row r="2" spans="1:17" x14ac:dyDescent="0.2">
      <c r="A2" s="22" t="s">
        <v>1143</v>
      </c>
    </row>
    <row r="3" spans="1:17" ht="34.5" x14ac:dyDescent="0.25">
      <c r="A3" s="22" t="s">
        <v>245</v>
      </c>
      <c r="B3" s="202" t="s">
        <v>1130</v>
      </c>
      <c r="C3" s="172" t="s">
        <v>1144</v>
      </c>
      <c r="D3" s="172" t="s">
        <v>1145</v>
      </c>
      <c r="E3" s="172" t="s">
        <v>1146</v>
      </c>
      <c r="F3" s="172" t="s">
        <v>1147</v>
      </c>
      <c r="G3" s="172" t="s">
        <v>1137</v>
      </c>
      <c r="H3" s="172" t="s">
        <v>1148</v>
      </c>
      <c r="K3" s="247"/>
      <c r="L3" s="247"/>
      <c r="M3" s="247"/>
      <c r="N3" s="247"/>
      <c r="O3" s="247"/>
      <c r="P3" s="247"/>
      <c r="Q3" s="247"/>
    </row>
    <row r="4" spans="1:17" ht="15" x14ac:dyDescent="0.25">
      <c r="A4" s="182" t="s">
        <v>102</v>
      </c>
      <c r="B4" s="214">
        <v>38250</v>
      </c>
      <c r="C4" s="214">
        <v>271065318</v>
      </c>
      <c r="D4" s="214">
        <v>39341094</v>
      </c>
      <c r="E4" s="214">
        <v>16209654</v>
      </c>
      <c r="F4" s="214">
        <v>4897816</v>
      </c>
      <c r="G4" s="214">
        <v>6543068</v>
      </c>
      <c r="H4" s="214">
        <f t="shared" ref="H4:H9" si="0">SUM(C4:G4)</f>
        <v>338056950</v>
      </c>
      <c r="K4" s="294"/>
      <c r="L4" s="293"/>
      <c r="M4" s="293"/>
      <c r="N4" s="293"/>
      <c r="O4" s="293"/>
      <c r="P4" s="293"/>
      <c r="Q4" s="293"/>
    </row>
    <row r="5" spans="1:17" ht="15" x14ac:dyDescent="0.25">
      <c r="A5" s="33" t="s">
        <v>76</v>
      </c>
      <c r="B5" s="214">
        <v>17543</v>
      </c>
      <c r="C5" s="214">
        <v>127774689</v>
      </c>
      <c r="D5" s="214">
        <v>17113197</v>
      </c>
      <c r="E5" s="214">
        <v>14924339</v>
      </c>
      <c r="F5" s="214">
        <v>3486554</v>
      </c>
      <c r="G5" s="214">
        <v>8198012</v>
      </c>
      <c r="H5" s="214">
        <f t="shared" si="0"/>
        <v>171496791</v>
      </c>
      <c r="K5" s="294"/>
      <c r="L5" s="293"/>
      <c r="M5" s="293"/>
      <c r="N5" s="293"/>
      <c r="O5" s="293"/>
      <c r="P5" s="293"/>
      <c r="Q5" s="293"/>
    </row>
    <row r="6" spans="1:17" ht="15" x14ac:dyDescent="0.25">
      <c r="A6" s="33" t="s">
        <v>77</v>
      </c>
      <c r="B6" s="214">
        <v>14801</v>
      </c>
      <c r="C6" s="214">
        <v>114213025</v>
      </c>
      <c r="D6" s="214">
        <v>16172237</v>
      </c>
      <c r="E6" s="214">
        <v>13781304</v>
      </c>
      <c r="F6" s="214">
        <v>4022692</v>
      </c>
      <c r="G6" s="214">
        <v>3822776</v>
      </c>
      <c r="H6" s="214">
        <f t="shared" si="0"/>
        <v>152012034</v>
      </c>
      <c r="K6" s="294"/>
      <c r="L6" s="293"/>
      <c r="M6" s="293"/>
      <c r="N6" s="293"/>
      <c r="O6" s="293"/>
      <c r="P6" s="293"/>
      <c r="Q6" s="293"/>
    </row>
    <row r="7" spans="1:17" ht="15" x14ac:dyDescent="0.25">
      <c r="A7" s="33" t="s">
        <v>78</v>
      </c>
      <c r="B7" s="214">
        <v>13300</v>
      </c>
      <c r="C7" s="214">
        <v>93118884</v>
      </c>
      <c r="D7" s="214">
        <v>16426186</v>
      </c>
      <c r="E7" s="214">
        <v>15416182</v>
      </c>
      <c r="F7" s="214">
        <v>4739692</v>
      </c>
      <c r="G7" s="214">
        <v>4989743</v>
      </c>
      <c r="H7" s="214">
        <f t="shared" si="0"/>
        <v>134690687</v>
      </c>
      <c r="K7" s="294"/>
      <c r="L7" s="293"/>
      <c r="M7" s="293"/>
      <c r="N7" s="293"/>
      <c r="O7" s="293"/>
      <c r="P7" s="293"/>
      <c r="Q7" s="293"/>
    </row>
    <row r="8" spans="1:17" ht="15" x14ac:dyDescent="0.25">
      <c r="A8" s="33" t="s">
        <v>79</v>
      </c>
      <c r="B8" s="214">
        <v>4966</v>
      </c>
      <c r="C8" s="214">
        <v>41995621</v>
      </c>
      <c r="D8" s="214">
        <v>8613258</v>
      </c>
      <c r="E8" s="214">
        <v>7328996</v>
      </c>
      <c r="F8" s="214">
        <v>3444759</v>
      </c>
      <c r="G8" s="214">
        <v>587857</v>
      </c>
      <c r="H8" s="214">
        <f t="shared" si="0"/>
        <v>61970491</v>
      </c>
      <c r="K8" s="294"/>
      <c r="L8" s="293"/>
      <c r="M8" s="293"/>
      <c r="N8" s="293"/>
      <c r="O8" s="293"/>
      <c r="P8" s="293"/>
      <c r="Q8" s="293"/>
    </row>
    <row r="9" spans="1:17" ht="15" x14ac:dyDescent="0.25">
      <c r="A9" s="33" t="s">
        <v>80</v>
      </c>
      <c r="B9" s="220">
        <v>1664</v>
      </c>
      <c r="C9" s="220">
        <v>11867589</v>
      </c>
      <c r="D9" s="220">
        <v>3461949</v>
      </c>
      <c r="E9" s="220">
        <v>2755158</v>
      </c>
      <c r="F9" s="220">
        <v>578009</v>
      </c>
      <c r="G9" s="220">
        <v>137291</v>
      </c>
      <c r="H9" s="220">
        <f t="shared" si="0"/>
        <v>18799996</v>
      </c>
      <c r="K9" s="294"/>
      <c r="L9" s="293"/>
      <c r="M9" s="293"/>
      <c r="N9" s="293"/>
      <c r="O9" s="293"/>
      <c r="P9" s="293"/>
      <c r="Q9" s="293"/>
    </row>
    <row r="10" spans="1:17" x14ac:dyDescent="0.2">
      <c r="A10" s="33" t="s">
        <v>103</v>
      </c>
      <c r="B10" s="221">
        <f t="shared" ref="B10:H10" si="1">SUM(B4:B9)</f>
        <v>90524</v>
      </c>
      <c r="C10" s="221">
        <f t="shared" si="1"/>
        <v>660035126</v>
      </c>
      <c r="D10" s="221">
        <f t="shared" si="1"/>
        <v>101127921</v>
      </c>
      <c r="E10" s="221">
        <f t="shared" si="1"/>
        <v>70415633</v>
      </c>
      <c r="F10" s="221">
        <f t="shared" si="1"/>
        <v>21169522</v>
      </c>
      <c r="G10" s="221">
        <f t="shared" si="1"/>
        <v>24278747</v>
      </c>
      <c r="H10" s="214">
        <f t="shared" si="1"/>
        <v>877026949</v>
      </c>
    </row>
    <row r="11" spans="1:17" x14ac:dyDescent="0.2">
      <c r="A11" s="33"/>
      <c r="B11" s="182"/>
      <c r="C11" s="221"/>
      <c r="D11" s="221"/>
      <c r="E11" s="221"/>
      <c r="F11" s="221"/>
      <c r="G11" s="221"/>
      <c r="H11" s="214"/>
    </row>
    <row r="12" spans="1:17" ht="15" x14ac:dyDescent="0.25">
      <c r="A12" s="33" t="s">
        <v>81</v>
      </c>
      <c r="B12" s="214">
        <v>21593</v>
      </c>
      <c r="C12" s="214">
        <v>156993546</v>
      </c>
      <c r="D12" s="214">
        <v>29951994</v>
      </c>
      <c r="E12" s="214">
        <v>14381176</v>
      </c>
      <c r="F12" s="214">
        <v>3703460</v>
      </c>
      <c r="G12" s="214">
        <v>9309511</v>
      </c>
      <c r="H12" s="214">
        <f>SUM(C12:G12)</f>
        <v>214339687</v>
      </c>
      <c r="K12" s="294"/>
      <c r="L12" s="293"/>
      <c r="M12" s="293"/>
      <c r="N12" s="293"/>
      <c r="O12" s="293"/>
      <c r="P12" s="293"/>
      <c r="Q12" s="293"/>
    </row>
    <row r="13" spans="1:17" ht="15" x14ac:dyDescent="0.25">
      <c r="A13" s="33" t="s">
        <v>82</v>
      </c>
      <c r="B13" s="214">
        <v>6158</v>
      </c>
      <c r="C13" s="214">
        <v>46508215</v>
      </c>
      <c r="D13" s="214">
        <v>6000290</v>
      </c>
      <c r="E13" s="214">
        <v>6088738</v>
      </c>
      <c r="F13" s="214">
        <v>3664417</v>
      </c>
      <c r="G13" s="214">
        <v>2772941</v>
      </c>
      <c r="H13" s="214">
        <f>SUM(C13:G13)</f>
        <v>65034601</v>
      </c>
      <c r="K13" s="294"/>
      <c r="L13" s="293"/>
      <c r="M13" s="293"/>
      <c r="N13" s="293"/>
      <c r="O13" s="293"/>
      <c r="P13" s="293"/>
      <c r="Q13" s="293"/>
    </row>
    <row r="14" spans="1:17" ht="15" x14ac:dyDescent="0.25">
      <c r="A14" s="33" t="s">
        <v>83</v>
      </c>
      <c r="B14" s="214">
        <v>5197</v>
      </c>
      <c r="C14" s="214">
        <v>41448009</v>
      </c>
      <c r="D14" s="214">
        <v>6970167</v>
      </c>
      <c r="E14" s="214">
        <v>6750642</v>
      </c>
      <c r="F14" s="214">
        <v>2477193</v>
      </c>
      <c r="G14" s="214">
        <v>1129242</v>
      </c>
      <c r="H14" s="214">
        <f>SUM(C14:G14)</f>
        <v>58775253</v>
      </c>
      <c r="K14" s="294"/>
      <c r="L14" s="293"/>
      <c r="M14" s="293"/>
      <c r="N14" s="293"/>
      <c r="O14" s="293"/>
      <c r="P14" s="293"/>
      <c r="Q14" s="293"/>
    </row>
    <row r="15" spans="1:17" ht="15" x14ac:dyDescent="0.25">
      <c r="A15" s="33" t="s">
        <v>84</v>
      </c>
      <c r="B15" s="214">
        <v>5184</v>
      </c>
      <c r="C15" s="214">
        <v>48515394</v>
      </c>
      <c r="D15" s="214">
        <v>11117148</v>
      </c>
      <c r="E15" s="214">
        <v>8797154</v>
      </c>
      <c r="F15" s="214">
        <v>2759673</v>
      </c>
      <c r="G15" s="214">
        <v>2598738</v>
      </c>
      <c r="H15" s="214">
        <f>SUM(C15:G15)</f>
        <v>73788107</v>
      </c>
      <c r="K15" s="294"/>
      <c r="L15" s="293"/>
      <c r="M15" s="293"/>
      <c r="N15" s="293"/>
      <c r="O15" s="293"/>
      <c r="P15" s="293"/>
      <c r="Q15" s="293"/>
    </row>
    <row r="16" spans="1:17" ht="15" x14ac:dyDescent="0.25">
      <c r="A16" s="33" t="s">
        <v>85</v>
      </c>
      <c r="B16" s="220">
        <v>1583</v>
      </c>
      <c r="C16" s="220">
        <v>20391771</v>
      </c>
      <c r="D16" s="220">
        <v>5453770</v>
      </c>
      <c r="E16" s="220">
        <v>4442171</v>
      </c>
      <c r="F16" s="220">
        <v>5150074</v>
      </c>
      <c r="G16" s="220">
        <v>453724</v>
      </c>
      <c r="H16" s="220">
        <f>SUM(C16:G16)</f>
        <v>35891510</v>
      </c>
      <c r="K16" s="294"/>
      <c r="L16" s="293"/>
      <c r="M16" s="293"/>
      <c r="N16" s="293"/>
      <c r="O16" s="293"/>
      <c r="P16" s="293"/>
      <c r="Q16" s="293"/>
    </row>
    <row r="17" spans="1:17" x14ac:dyDescent="0.2">
      <c r="A17" s="33" t="s">
        <v>104</v>
      </c>
      <c r="B17" s="221">
        <f t="shared" ref="B17:H17" si="2">SUM(B12:B16)</f>
        <v>39715</v>
      </c>
      <c r="C17" s="221">
        <f t="shared" si="2"/>
        <v>313856935</v>
      </c>
      <c r="D17" s="221">
        <f t="shared" si="2"/>
        <v>59493369</v>
      </c>
      <c r="E17" s="221">
        <f t="shared" si="2"/>
        <v>40459881</v>
      </c>
      <c r="F17" s="221">
        <f t="shared" si="2"/>
        <v>17754817</v>
      </c>
      <c r="G17" s="221">
        <f t="shared" si="2"/>
        <v>16264156</v>
      </c>
      <c r="H17" s="221">
        <f t="shared" si="2"/>
        <v>447829158</v>
      </c>
    </row>
    <row r="18" spans="1:17" x14ac:dyDescent="0.2">
      <c r="A18" s="33"/>
      <c r="B18" s="182"/>
      <c r="C18" s="221"/>
      <c r="D18" s="221"/>
      <c r="E18" s="221"/>
      <c r="F18" s="221"/>
      <c r="G18" s="221"/>
      <c r="H18" s="214"/>
    </row>
    <row r="19" spans="1:17" ht="15" x14ac:dyDescent="0.25">
      <c r="A19" s="33" t="s">
        <v>86</v>
      </c>
      <c r="B19" s="214">
        <v>10318</v>
      </c>
      <c r="C19" s="214">
        <v>71124149</v>
      </c>
      <c r="D19" s="214">
        <v>12688577</v>
      </c>
      <c r="E19" s="214">
        <v>8921085</v>
      </c>
      <c r="F19" s="214">
        <v>9894344</v>
      </c>
      <c r="G19" s="214">
        <v>4015828</v>
      </c>
      <c r="H19" s="214">
        <f>SUM(C19:G19)</f>
        <v>106643983</v>
      </c>
      <c r="K19" s="294"/>
      <c r="L19" s="293"/>
      <c r="M19" s="293"/>
      <c r="N19" s="293"/>
      <c r="O19" s="293"/>
      <c r="P19" s="293"/>
      <c r="Q19" s="293"/>
    </row>
    <row r="20" spans="1:17" ht="15" x14ac:dyDescent="0.25">
      <c r="A20" s="33" t="s">
        <v>87</v>
      </c>
      <c r="B20" s="220">
        <v>6968</v>
      </c>
      <c r="C20" s="220">
        <v>68643926</v>
      </c>
      <c r="D20" s="220">
        <v>11587155</v>
      </c>
      <c r="E20" s="220">
        <v>11175304</v>
      </c>
      <c r="F20" s="220">
        <v>8352283</v>
      </c>
      <c r="G20" s="220">
        <v>3036402</v>
      </c>
      <c r="H20" s="220">
        <f>SUM(C20:G20)</f>
        <v>102795070</v>
      </c>
      <c r="K20" s="294"/>
      <c r="L20" s="293"/>
      <c r="M20" s="293"/>
      <c r="N20" s="293"/>
      <c r="O20" s="293"/>
      <c r="P20" s="293"/>
      <c r="Q20" s="293"/>
    </row>
    <row r="21" spans="1:17" ht="15" x14ac:dyDescent="0.25">
      <c r="A21" s="33" t="s">
        <v>105</v>
      </c>
      <c r="B21" s="221">
        <f t="shared" ref="B21:H21" si="3">SUM(B19:B20)</f>
        <v>17286</v>
      </c>
      <c r="C21" s="221">
        <f t="shared" si="3"/>
        <v>139768075</v>
      </c>
      <c r="D21" s="221">
        <f t="shared" si="3"/>
        <v>24275732</v>
      </c>
      <c r="E21" s="221">
        <f t="shared" si="3"/>
        <v>20096389</v>
      </c>
      <c r="F21" s="221">
        <f t="shared" si="3"/>
        <v>18246627</v>
      </c>
      <c r="G21" s="221">
        <f t="shared" si="3"/>
        <v>7052230</v>
      </c>
      <c r="H21" s="221">
        <f t="shared" si="3"/>
        <v>209439053</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147525</v>
      </c>
      <c r="C23" s="222">
        <f t="shared" si="4"/>
        <v>1113660136</v>
      </c>
      <c r="D23" s="222">
        <f t="shared" si="4"/>
        <v>184897022</v>
      </c>
      <c r="E23" s="222">
        <f t="shared" si="4"/>
        <v>130971903</v>
      </c>
      <c r="F23" s="222">
        <f t="shared" si="4"/>
        <v>57170966</v>
      </c>
      <c r="G23" s="222">
        <f t="shared" si="4"/>
        <v>47595133</v>
      </c>
      <c r="H23" s="222">
        <f t="shared" si="4"/>
        <v>1534295160</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1141</v>
      </c>
      <c r="B26" s="22"/>
      <c r="C26" s="22"/>
      <c r="D26" s="22"/>
      <c r="E26" s="22"/>
      <c r="F26" s="22"/>
      <c r="G26" s="22"/>
      <c r="H26" s="22"/>
    </row>
    <row r="27" spans="1:17" ht="33.75" x14ac:dyDescent="0.2">
      <c r="A27" s="155" t="s">
        <v>245</v>
      </c>
      <c r="B27" s="172" t="str">
        <f t="shared" ref="B27:H27" si="5">B3</f>
        <v>ANB12</v>
      </c>
      <c r="C27" s="172" t="str">
        <f t="shared" si="5"/>
        <v>12/Pupil Salaries &amp; Benefits</v>
      </c>
      <c r="D27" s="172" t="str">
        <f t="shared" si="5"/>
        <v>12/Pupil Purchased Services</v>
      </c>
      <c r="E27" s="172" t="str">
        <f t="shared" si="5"/>
        <v>12/Pupil Supplies</v>
      </c>
      <c r="F27" s="172" t="str">
        <f t="shared" si="5"/>
        <v>12/Pupil Capital Outlay</v>
      </c>
      <c r="G27" s="172" t="str">
        <f t="shared" si="5"/>
        <v>12/Pupil Other</v>
      </c>
      <c r="H27" s="172" t="str">
        <f t="shared" si="5"/>
        <v>12/Pupil Total Expenditures</v>
      </c>
    </row>
    <row r="28" spans="1:17" x14ac:dyDescent="0.2">
      <c r="A28" s="33" t="s">
        <v>102</v>
      </c>
      <c r="B28" s="214">
        <f t="shared" ref="B28:B34" si="6">B4</f>
        <v>38250</v>
      </c>
      <c r="C28" s="182">
        <f t="shared" ref="C28:H34" si="7">C4/$B28</f>
        <v>7086.6749803921566</v>
      </c>
      <c r="D28" s="182">
        <f t="shared" si="7"/>
        <v>1028.5253333333333</v>
      </c>
      <c r="E28" s="182">
        <f t="shared" si="7"/>
        <v>423.78180392156861</v>
      </c>
      <c r="F28" s="182">
        <f t="shared" si="7"/>
        <v>128.04747712418302</v>
      </c>
      <c r="G28" s="182">
        <f t="shared" si="7"/>
        <v>171.06060130718953</v>
      </c>
      <c r="H28" s="182">
        <f t="shared" si="7"/>
        <v>8838.0901960784322</v>
      </c>
    </row>
    <row r="29" spans="1:17" x14ac:dyDescent="0.2">
      <c r="A29" s="33" t="s">
        <v>76</v>
      </c>
      <c r="B29" s="214">
        <f t="shared" si="6"/>
        <v>17543</v>
      </c>
      <c r="C29" s="182">
        <f t="shared" si="7"/>
        <v>7283.5141651940949</v>
      </c>
      <c r="D29" s="182">
        <f t="shared" si="7"/>
        <v>975.50002850139651</v>
      </c>
      <c r="E29" s="182">
        <f t="shared" si="7"/>
        <v>850.72900872142736</v>
      </c>
      <c r="F29" s="182">
        <f t="shared" si="7"/>
        <v>198.74331642250471</v>
      </c>
      <c r="G29" s="182">
        <f t="shared" si="7"/>
        <v>467.30958216952632</v>
      </c>
      <c r="H29" s="182">
        <f t="shared" si="7"/>
        <v>9775.7961010089493</v>
      </c>
    </row>
    <row r="30" spans="1:17" x14ac:dyDescent="0.2">
      <c r="A30" s="33" t="s">
        <v>77</v>
      </c>
      <c r="B30" s="214">
        <f t="shared" si="6"/>
        <v>14801</v>
      </c>
      <c r="C30" s="182">
        <f t="shared" si="7"/>
        <v>7716.5748935882712</v>
      </c>
      <c r="D30" s="182">
        <f t="shared" si="7"/>
        <v>1092.6448888588609</v>
      </c>
      <c r="E30" s="182">
        <f t="shared" si="7"/>
        <v>931.10627660293221</v>
      </c>
      <c r="F30" s="182">
        <f t="shared" si="7"/>
        <v>271.78514965205056</v>
      </c>
      <c r="G30" s="182">
        <f t="shared" si="7"/>
        <v>258.27822444429432</v>
      </c>
      <c r="H30" s="182">
        <f t="shared" si="7"/>
        <v>10270.389433146409</v>
      </c>
    </row>
    <row r="31" spans="1:17" x14ac:dyDescent="0.2">
      <c r="A31" s="33" t="s">
        <v>78</v>
      </c>
      <c r="B31" s="214">
        <f t="shared" si="6"/>
        <v>13300</v>
      </c>
      <c r="C31" s="182">
        <f t="shared" si="7"/>
        <v>7001.4198496240606</v>
      </c>
      <c r="D31" s="182">
        <f t="shared" si="7"/>
        <v>1235.0515789473684</v>
      </c>
      <c r="E31" s="182">
        <f t="shared" si="7"/>
        <v>1159.1114285714286</v>
      </c>
      <c r="F31" s="182">
        <f t="shared" si="7"/>
        <v>356.36781954887221</v>
      </c>
      <c r="G31" s="182">
        <f t="shared" si="7"/>
        <v>375.16864661654137</v>
      </c>
      <c r="H31" s="182">
        <f t="shared" si="7"/>
        <v>10127.11932330827</v>
      </c>
    </row>
    <row r="32" spans="1:17" x14ac:dyDescent="0.2">
      <c r="A32" s="33" t="s">
        <v>79</v>
      </c>
      <c r="B32" s="214">
        <f t="shared" si="6"/>
        <v>4966</v>
      </c>
      <c r="C32" s="182">
        <f t="shared" si="7"/>
        <v>8456.6292790978659</v>
      </c>
      <c r="D32" s="182">
        <f t="shared" si="7"/>
        <v>1734.4458316552557</v>
      </c>
      <c r="E32" s="182">
        <f t="shared" si="7"/>
        <v>1475.8348771647202</v>
      </c>
      <c r="F32" s="182">
        <f t="shared" si="7"/>
        <v>693.66874748288365</v>
      </c>
      <c r="G32" s="182">
        <f t="shared" si="7"/>
        <v>118.37635924285139</v>
      </c>
      <c r="H32" s="182">
        <f t="shared" si="7"/>
        <v>12478.955094643576</v>
      </c>
    </row>
    <row r="33" spans="1:8" x14ac:dyDescent="0.2">
      <c r="A33" s="33" t="s">
        <v>80</v>
      </c>
      <c r="B33" s="220">
        <f t="shared" si="6"/>
        <v>1664</v>
      </c>
      <c r="C33" s="183">
        <f t="shared" si="7"/>
        <v>7131.9645432692305</v>
      </c>
      <c r="D33" s="183">
        <f t="shared" si="7"/>
        <v>2080.4981971153848</v>
      </c>
      <c r="E33" s="183">
        <f t="shared" si="7"/>
        <v>1655.7439903846155</v>
      </c>
      <c r="F33" s="183">
        <f t="shared" si="7"/>
        <v>347.36117788461536</v>
      </c>
      <c r="G33" s="183">
        <f t="shared" si="7"/>
        <v>82.50661057692308</v>
      </c>
      <c r="H33" s="183">
        <f t="shared" si="7"/>
        <v>11298.07451923077</v>
      </c>
    </row>
    <row r="34" spans="1:8" x14ac:dyDescent="0.2">
      <c r="A34" s="33" t="s">
        <v>103</v>
      </c>
      <c r="B34" s="214">
        <f t="shared" si="6"/>
        <v>90524</v>
      </c>
      <c r="C34" s="182">
        <f t="shared" si="7"/>
        <v>7291.2722151031767</v>
      </c>
      <c r="D34" s="182">
        <f t="shared" si="7"/>
        <v>1117.1393332155008</v>
      </c>
      <c r="E34" s="182">
        <f t="shared" si="7"/>
        <v>777.8670076443816</v>
      </c>
      <c r="F34" s="182">
        <f t="shared" si="7"/>
        <v>233.85535327647918</v>
      </c>
      <c r="G34" s="182">
        <f t="shared" si="7"/>
        <v>268.20232203614512</v>
      </c>
      <c r="H34" s="182">
        <f t="shared" si="7"/>
        <v>9688.3362312756835</v>
      </c>
    </row>
    <row r="35" spans="1:8" x14ac:dyDescent="0.2">
      <c r="A35" s="33"/>
      <c r="B35" s="214"/>
      <c r="C35" s="182"/>
      <c r="D35" s="182"/>
      <c r="E35" s="182"/>
      <c r="F35" s="182"/>
      <c r="G35" s="182"/>
      <c r="H35" s="182"/>
    </row>
    <row r="36" spans="1:8" x14ac:dyDescent="0.2">
      <c r="A36" s="33" t="s">
        <v>81</v>
      </c>
      <c r="B36" s="214">
        <f t="shared" ref="B36:B41" si="8">B12</f>
        <v>21593</v>
      </c>
      <c r="C36" s="182">
        <f t="shared" ref="C36:H41" si="9">C12/$B36</f>
        <v>7270.5759273838748</v>
      </c>
      <c r="D36" s="182">
        <f t="shared" si="9"/>
        <v>1387.1159171953873</v>
      </c>
      <c r="E36" s="182">
        <f t="shared" si="9"/>
        <v>666.01102209049225</v>
      </c>
      <c r="F36" s="182">
        <f t="shared" si="9"/>
        <v>171.51206409484556</v>
      </c>
      <c r="G36" s="182">
        <f t="shared" si="9"/>
        <v>431.13559949983789</v>
      </c>
      <c r="H36" s="182">
        <f t="shared" si="9"/>
        <v>9926.3505302644371</v>
      </c>
    </row>
    <row r="37" spans="1:8" x14ac:dyDescent="0.2">
      <c r="A37" s="33" t="s">
        <v>82</v>
      </c>
      <c r="B37" s="214">
        <f t="shared" si="8"/>
        <v>6158</v>
      </c>
      <c r="C37" s="182">
        <f t="shared" si="9"/>
        <v>7552.4870087690806</v>
      </c>
      <c r="D37" s="182">
        <f t="shared" si="9"/>
        <v>974.38941214680096</v>
      </c>
      <c r="E37" s="182">
        <f t="shared" si="9"/>
        <v>988.7525170509906</v>
      </c>
      <c r="F37" s="182">
        <f t="shared" si="9"/>
        <v>595.06609288730112</v>
      </c>
      <c r="G37" s="182">
        <f t="shared" si="9"/>
        <v>450.29896070152648</v>
      </c>
      <c r="H37" s="182">
        <f t="shared" si="9"/>
        <v>10560.993991555701</v>
      </c>
    </row>
    <row r="38" spans="1:8" x14ac:dyDescent="0.2">
      <c r="A38" s="33" t="s">
        <v>83</v>
      </c>
      <c r="B38" s="214">
        <f t="shared" si="8"/>
        <v>5197</v>
      </c>
      <c r="C38" s="182">
        <f t="shared" si="9"/>
        <v>7975.3721377717911</v>
      </c>
      <c r="D38" s="182">
        <f t="shared" si="9"/>
        <v>1341.190494516067</v>
      </c>
      <c r="E38" s="182">
        <f t="shared" si="9"/>
        <v>1298.9497787184914</v>
      </c>
      <c r="F38" s="182">
        <f t="shared" si="9"/>
        <v>476.65826438329805</v>
      </c>
      <c r="G38" s="182">
        <f t="shared" si="9"/>
        <v>217.28728112372522</v>
      </c>
      <c r="H38" s="182">
        <f t="shared" si="9"/>
        <v>11309.457956513374</v>
      </c>
    </row>
    <row r="39" spans="1:8" x14ac:dyDescent="0.2">
      <c r="A39" s="33" t="s">
        <v>84</v>
      </c>
      <c r="B39" s="214">
        <f t="shared" si="8"/>
        <v>5184</v>
      </c>
      <c r="C39" s="182">
        <f t="shared" si="9"/>
        <v>9358.6793981481478</v>
      </c>
      <c r="D39" s="182">
        <f t="shared" si="9"/>
        <v>2144.5115740740739</v>
      </c>
      <c r="E39" s="182">
        <f t="shared" si="9"/>
        <v>1696.9818672839506</v>
      </c>
      <c r="F39" s="182">
        <f t="shared" si="9"/>
        <v>532.3443287037037</v>
      </c>
      <c r="G39" s="182">
        <f t="shared" si="9"/>
        <v>501.29976851851853</v>
      </c>
      <c r="H39" s="182">
        <f t="shared" si="9"/>
        <v>14233.816936728395</v>
      </c>
    </row>
    <row r="40" spans="1:8" x14ac:dyDescent="0.2">
      <c r="A40" s="33" t="s">
        <v>85</v>
      </c>
      <c r="B40" s="220">
        <f t="shared" si="8"/>
        <v>1583</v>
      </c>
      <c r="C40" s="183">
        <f t="shared" si="9"/>
        <v>12881.72520530638</v>
      </c>
      <c r="D40" s="183">
        <f t="shared" si="9"/>
        <v>3445.2116234996843</v>
      </c>
      <c r="E40" s="183">
        <f t="shared" si="9"/>
        <v>2806.1724573594443</v>
      </c>
      <c r="F40" s="183">
        <f t="shared" si="9"/>
        <v>3253.3632343651293</v>
      </c>
      <c r="G40" s="183">
        <f t="shared" si="9"/>
        <v>286.62286797220469</v>
      </c>
      <c r="H40" s="183">
        <f t="shared" si="9"/>
        <v>22673.095388502843</v>
      </c>
    </row>
    <row r="41" spans="1:8" x14ac:dyDescent="0.2">
      <c r="A41" s="33" t="s">
        <v>104</v>
      </c>
      <c r="B41" s="214">
        <f t="shared" si="8"/>
        <v>39715</v>
      </c>
      <c r="C41" s="182">
        <f t="shared" si="9"/>
        <v>7902.7303285912121</v>
      </c>
      <c r="D41" s="182">
        <f t="shared" si="9"/>
        <v>1498.0075286415713</v>
      </c>
      <c r="E41" s="182">
        <f t="shared" si="9"/>
        <v>1018.75565907088</v>
      </c>
      <c r="F41" s="182">
        <f t="shared" si="9"/>
        <v>447.05569683998488</v>
      </c>
      <c r="G41" s="182">
        <f t="shared" si="9"/>
        <v>409.52174241470476</v>
      </c>
      <c r="H41" s="182">
        <f t="shared" si="9"/>
        <v>11276.070955558353</v>
      </c>
    </row>
    <row r="42" spans="1:8" x14ac:dyDescent="0.2">
      <c r="A42" s="33"/>
      <c r="B42" s="214"/>
      <c r="C42" s="182"/>
      <c r="D42" s="182"/>
      <c r="E42" s="182"/>
      <c r="F42" s="182"/>
      <c r="G42" s="182"/>
      <c r="H42" s="182"/>
    </row>
    <row r="43" spans="1:8" x14ac:dyDescent="0.2">
      <c r="A43" s="33" t="s">
        <v>86</v>
      </c>
      <c r="B43" s="214">
        <f>B19</f>
        <v>10318</v>
      </c>
      <c r="C43" s="182">
        <f t="shared" ref="C43:H45" si="10">C19/$B43</f>
        <v>6893.2107966660205</v>
      </c>
      <c r="D43" s="182">
        <f t="shared" si="10"/>
        <v>1229.7515991471216</v>
      </c>
      <c r="E43" s="182">
        <f t="shared" si="10"/>
        <v>864.61378174064737</v>
      </c>
      <c r="F43" s="182">
        <f t="shared" si="10"/>
        <v>958.94010467144801</v>
      </c>
      <c r="G43" s="182">
        <f t="shared" si="10"/>
        <v>389.20604768365962</v>
      </c>
      <c r="H43" s="182">
        <f t="shared" si="10"/>
        <v>10335.722329908896</v>
      </c>
    </row>
    <row r="44" spans="1:8" x14ac:dyDescent="0.2">
      <c r="A44" s="33" t="s">
        <v>87</v>
      </c>
      <c r="B44" s="220">
        <f>B20</f>
        <v>6968</v>
      </c>
      <c r="C44" s="183">
        <f t="shared" si="10"/>
        <v>9851.309701492537</v>
      </c>
      <c r="D44" s="183">
        <f t="shared" si="10"/>
        <v>1662.9097301951779</v>
      </c>
      <c r="E44" s="183">
        <f t="shared" si="10"/>
        <v>1603.8036739380022</v>
      </c>
      <c r="F44" s="183">
        <f t="shared" si="10"/>
        <v>1198.6628874856488</v>
      </c>
      <c r="G44" s="183">
        <f t="shared" si="10"/>
        <v>435.7637772675086</v>
      </c>
      <c r="H44" s="183">
        <f t="shared" si="10"/>
        <v>14752.449770378875</v>
      </c>
    </row>
    <row r="45" spans="1:8" x14ac:dyDescent="0.2">
      <c r="A45" s="33" t="s">
        <v>105</v>
      </c>
      <c r="B45" s="214">
        <f>B21</f>
        <v>17286</v>
      </c>
      <c r="C45" s="182">
        <f t="shared" si="10"/>
        <v>8085.6227583015161</v>
      </c>
      <c r="D45" s="182">
        <f t="shared" si="10"/>
        <v>1404.35797755409</v>
      </c>
      <c r="E45" s="182">
        <f t="shared" si="10"/>
        <v>1162.5818003008214</v>
      </c>
      <c r="F45" s="182">
        <f t="shared" si="10"/>
        <v>1055.5725442554669</v>
      </c>
      <c r="G45" s="182">
        <f t="shared" si="10"/>
        <v>407.97350457017239</v>
      </c>
      <c r="H45" s="182">
        <f t="shared" si="10"/>
        <v>12116.108584982067</v>
      </c>
    </row>
    <row r="46" spans="1:8" x14ac:dyDescent="0.2">
      <c r="A46" s="33"/>
      <c r="B46" s="214"/>
      <c r="C46" s="182"/>
      <c r="D46" s="182"/>
      <c r="E46" s="182"/>
      <c r="F46" s="182"/>
      <c r="G46" s="182"/>
      <c r="H46" s="182"/>
    </row>
    <row r="47" spans="1:8" ht="13.5" thickBot="1" x14ac:dyDescent="0.25">
      <c r="A47" s="33" t="s">
        <v>209</v>
      </c>
      <c r="B47" s="222">
        <f>B23</f>
        <v>147525</v>
      </c>
      <c r="C47" s="192">
        <f t="shared" ref="C47:H47" si="11">C23/$B47</f>
        <v>7548.9587256397217</v>
      </c>
      <c r="D47" s="192">
        <f t="shared" si="11"/>
        <v>1253.3267039484833</v>
      </c>
      <c r="E47" s="192">
        <f t="shared" si="11"/>
        <v>887.7946314184037</v>
      </c>
      <c r="F47" s="192">
        <f t="shared" si="11"/>
        <v>387.53408574817826</v>
      </c>
      <c r="G47" s="192">
        <f t="shared" si="11"/>
        <v>322.62418573123199</v>
      </c>
      <c r="H47" s="192">
        <f t="shared" si="11"/>
        <v>10400.23833248602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1149</v>
      </c>
      <c r="B52" s="182"/>
      <c r="C52" s="182"/>
      <c r="D52" s="182"/>
      <c r="E52" s="182"/>
      <c r="F52" s="182"/>
      <c r="G52" s="182"/>
      <c r="H52" s="182"/>
    </row>
    <row r="53" spans="1:8" ht="33.75" x14ac:dyDescent="0.2">
      <c r="A53" s="155" t="s">
        <v>245</v>
      </c>
      <c r="B53" s="172" t="str">
        <f t="shared" ref="B53:H53" si="12">B3</f>
        <v>ANB12</v>
      </c>
      <c r="C53" s="172" t="str">
        <f t="shared" si="12"/>
        <v>12/Pupil Salaries &amp; Benefits</v>
      </c>
      <c r="D53" s="172" t="str">
        <f t="shared" si="12"/>
        <v>12/Pupil Purchased Services</v>
      </c>
      <c r="E53" s="172" t="str">
        <f t="shared" si="12"/>
        <v>12/Pupil Supplies</v>
      </c>
      <c r="F53" s="172" t="str">
        <f t="shared" si="12"/>
        <v>12/Pupil Capital Outlay</v>
      </c>
      <c r="G53" s="172" t="str">
        <f t="shared" si="12"/>
        <v>12/Pupil Other</v>
      </c>
      <c r="H53" s="172" t="str">
        <f t="shared" si="12"/>
        <v>12/Pupil Total Expenditures</v>
      </c>
    </row>
    <row r="54" spans="1:8" x14ac:dyDescent="0.2">
      <c r="A54" s="33" t="s">
        <v>102</v>
      </c>
      <c r="B54" s="214">
        <f t="shared" ref="B54:B59" si="13">B4</f>
        <v>38250</v>
      </c>
      <c r="C54" s="191">
        <f t="shared" ref="C54:H60" si="14">C28/$H28</f>
        <v>0.80183329465641795</v>
      </c>
      <c r="D54" s="191">
        <f t="shared" si="14"/>
        <v>0.11637416121751082</v>
      </c>
      <c r="E54" s="191">
        <f t="shared" si="14"/>
        <v>4.7949477151704757E-2</v>
      </c>
      <c r="F54" s="191">
        <f t="shared" si="14"/>
        <v>1.4488138758868882E-2</v>
      </c>
      <c r="G54" s="191">
        <f t="shared" si="14"/>
        <v>1.9354928215497415E-2</v>
      </c>
      <c r="H54" s="191">
        <f t="shared" si="14"/>
        <v>1</v>
      </c>
    </row>
    <row r="55" spans="1:8" x14ac:dyDescent="0.2">
      <c r="A55" s="33" t="s">
        <v>76</v>
      </c>
      <c r="B55" s="214">
        <f t="shared" si="13"/>
        <v>17543</v>
      </c>
      <c r="C55" s="191">
        <f t="shared" si="14"/>
        <v>0.74505585938339802</v>
      </c>
      <c r="D55" s="191">
        <f t="shared" si="14"/>
        <v>9.9787272404414845E-2</v>
      </c>
      <c r="E55" s="191">
        <f t="shared" si="14"/>
        <v>8.7024013178182438E-2</v>
      </c>
      <c r="F55" s="191">
        <f t="shared" si="14"/>
        <v>2.0330141337746663E-2</v>
      </c>
      <c r="G55" s="191">
        <f t="shared" si="14"/>
        <v>4.7802713696258027E-2</v>
      </c>
      <c r="H55" s="191">
        <f t="shared" si="14"/>
        <v>1</v>
      </c>
    </row>
    <row r="56" spans="1:8" x14ac:dyDescent="0.2">
      <c r="A56" s="33" t="s">
        <v>77</v>
      </c>
      <c r="B56" s="214">
        <f t="shared" si="13"/>
        <v>14801</v>
      </c>
      <c r="C56" s="191">
        <f t="shared" si="14"/>
        <v>0.75134199572646998</v>
      </c>
      <c r="D56" s="191">
        <f t="shared" si="14"/>
        <v>0.1063878732127221</v>
      </c>
      <c r="E56" s="191">
        <f t="shared" si="14"/>
        <v>9.0659296092308064E-2</v>
      </c>
      <c r="F56" s="191">
        <f t="shared" si="14"/>
        <v>2.6462983845081636E-2</v>
      </c>
      <c r="G56" s="191">
        <f t="shared" si="14"/>
        <v>2.5147851123418295E-2</v>
      </c>
      <c r="H56" s="191">
        <f t="shared" si="14"/>
        <v>1</v>
      </c>
    </row>
    <row r="57" spans="1:8" x14ac:dyDescent="0.2">
      <c r="A57" s="33" t="s">
        <v>78</v>
      </c>
      <c r="B57" s="214">
        <f t="shared" si="13"/>
        <v>13300</v>
      </c>
      <c r="C57" s="191">
        <f t="shared" si="14"/>
        <v>0.69135354547564232</v>
      </c>
      <c r="D57" s="191">
        <f t="shared" si="14"/>
        <v>0.12195487576657768</v>
      </c>
      <c r="E57" s="191">
        <f t="shared" si="14"/>
        <v>0.11445618359642044</v>
      </c>
      <c r="F57" s="191">
        <f t="shared" si="14"/>
        <v>3.5189455971814894E-2</v>
      </c>
      <c r="G57" s="191">
        <f t="shared" si="14"/>
        <v>3.7045939189544713E-2</v>
      </c>
      <c r="H57" s="191">
        <f t="shared" si="14"/>
        <v>1</v>
      </c>
    </row>
    <row r="58" spans="1:8" x14ac:dyDescent="0.2">
      <c r="A58" s="33" t="s">
        <v>79</v>
      </c>
      <c r="B58" s="214">
        <f t="shared" si="13"/>
        <v>4966</v>
      </c>
      <c r="C58" s="191">
        <f t="shared" si="14"/>
        <v>0.67767126453782667</v>
      </c>
      <c r="D58" s="191">
        <f t="shared" si="14"/>
        <v>0.13898966848592503</v>
      </c>
      <c r="E58" s="191">
        <f t="shared" si="14"/>
        <v>0.11826590174991515</v>
      </c>
      <c r="F58" s="191">
        <f t="shared" si="14"/>
        <v>5.5587085795398977E-2</v>
      </c>
      <c r="G58" s="191">
        <f t="shared" si="14"/>
        <v>9.486079430934314E-3</v>
      </c>
      <c r="H58" s="191">
        <f t="shared" si="14"/>
        <v>1</v>
      </c>
    </row>
    <row r="59" spans="1:8" x14ac:dyDescent="0.2">
      <c r="A59" s="33" t="s">
        <v>80</v>
      </c>
      <c r="B59" s="220">
        <f t="shared" si="13"/>
        <v>1664</v>
      </c>
      <c r="C59" s="193">
        <f t="shared" si="14"/>
        <v>0.63125486835209965</v>
      </c>
      <c r="D59" s="193">
        <f t="shared" si="14"/>
        <v>0.18414626258431119</v>
      </c>
      <c r="E59" s="193">
        <f t="shared" si="14"/>
        <v>0.14655098862786992</v>
      </c>
      <c r="F59" s="193">
        <f t="shared" si="14"/>
        <v>3.0745166115992789E-2</v>
      </c>
      <c r="G59" s="193">
        <f t="shared" si="14"/>
        <v>7.3027143197264511E-3</v>
      </c>
      <c r="H59" s="193">
        <f t="shared" si="14"/>
        <v>1</v>
      </c>
    </row>
    <row r="60" spans="1:8" x14ac:dyDescent="0.2">
      <c r="A60" s="33" t="s">
        <v>103</v>
      </c>
      <c r="B60" s="214">
        <f>SUM(B54:B59)</f>
        <v>90524</v>
      </c>
      <c r="C60" s="191">
        <f t="shared" si="14"/>
        <v>0.75258249105410324</v>
      </c>
      <c r="D60" s="191">
        <f t="shared" si="14"/>
        <v>0.11530765515849616</v>
      </c>
      <c r="E60" s="191">
        <f t="shared" si="14"/>
        <v>8.0289018576098506E-2</v>
      </c>
      <c r="F60" s="191">
        <f t="shared" si="14"/>
        <v>2.4137823842400541E-2</v>
      </c>
      <c r="G60" s="191">
        <f t="shared" si="14"/>
        <v>2.7683011368901507E-2</v>
      </c>
      <c r="H60" s="191">
        <f t="shared" si="14"/>
        <v>1</v>
      </c>
    </row>
    <row r="61" spans="1:8" x14ac:dyDescent="0.2">
      <c r="A61" s="33"/>
      <c r="B61" s="214"/>
      <c r="C61" s="191"/>
      <c r="D61" s="191"/>
      <c r="E61" s="191"/>
      <c r="F61" s="191"/>
      <c r="G61" s="191"/>
      <c r="H61" s="191"/>
    </row>
    <row r="62" spans="1:8" x14ac:dyDescent="0.2">
      <c r="A62" s="33" t="s">
        <v>81</v>
      </c>
      <c r="B62" s="214">
        <f t="shared" ref="B62:B67" si="15">B12</f>
        <v>21593</v>
      </c>
      <c r="C62" s="191">
        <f t="shared" ref="C62:H67" si="16">C36/$H36</f>
        <v>0.73245206334559976</v>
      </c>
      <c r="D62" s="191">
        <f t="shared" si="16"/>
        <v>0.13974077511832889</v>
      </c>
      <c r="E62" s="191">
        <f t="shared" si="16"/>
        <v>6.70952552058173E-2</v>
      </c>
      <c r="F62" s="191">
        <f t="shared" si="16"/>
        <v>1.7278461361194392E-2</v>
      </c>
      <c r="G62" s="191">
        <f t="shared" si="16"/>
        <v>4.3433444969059792E-2</v>
      </c>
      <c r="H62" s="191">
        <f t="shared" si="16"/>
        <v>1</v>
      </c>
    </row>
    <row r="63" spans="1:8" x14ac:dyDescent="0.2">
      <c r="A63" s="33" t="s">
        <v>82</v>
      </c>
      <c r="B63" s="214">
        <f t="shared" si="15"/>
        <v>6158</v>
      </c>
      <c r="C63" s="191">
        <f t="shared" si="16"/>
        <v>0.71513031962785467</v>
      </c>
      <c r="D63" s="191">
        <f t="shared" si="16"/>
        <v>9.2263040100761126E-2</v>
      </c>
      <c r="E63" s="191">
        <f t="shared" si="16"/>
        <v>9.3623054595199248E-2</v>
      </c>
      <c r="F63" s="191">
        <f t="shared" si="16"/>
        <v>5.6345652062968758E-2</v>
      </c>
      <c r="G63" s="191">
        <f t="shared" si="16"/>
        <v>4.263793361321614E-2</v>
      </c>
      <c r="H63" s="191">
        <f t="shared" si="16"/>
        <v>1</v>
      </c>
    </row>
    <row r="64" spans="1:8" x14ac:dyDescent="0.2">
      <c r="A64" s="33" t="s">
        <v>83</v>
      </c>
      <c r="B64" s="214">
        <f t="shared" si="15"/>
        <v>5197</v>
      </c>
      <c r="C64" s="191">
        <f t="shared" si="16"/>
        <v>0.70519490575395727</v>
      </c>
      <c r="D64" s="191">
        <f t="shared" si="16"/>
        <v>0.11859016583050692</v>
      </c>
      <c r="E64" s="191">
        <f t="shared" si="16"/>
        <v>0.1148551755277004</v>
      </c>
      <c r="F64" s="191">
        <f t="shared" si="16"/>
        <v>4.2146870894796483E-2</v>
      </c>
      <c r="G64" s="191">
        <f t="shared" si="16"/>
        <v>1.9212881993038805E-2</v>
      </c>
      <c r="H64" s="191">
        <f t="shared" si="16"/>
        <v>1</v>
      </c>
    </row>
    <row r="65" spans="1:8" x14ac:dyDescent="0.2">
      <c r="A65" s="33" t="s">
        <v>84</v>
      </c>
      <c r="B65" s="214">
        <f t="shared" si="15"/>
        <v>5184</v>
      </c>
      <c r="C65" s="191">
        <f t="shared" si="16"/>
        <v>0.65749611925943563</v>
      </c>
      <c r="D65" s="191">
        <f t="shared" si="16"/>
        <v>0.15066314141925335</v>
      </c>
      <c r="E65" s="191">
        <f t="shared" si="16"/>
        <v>0.11922184153606216</v>
      </c>
      <c r="F65" s="191">
        <f t="shared" si="16"/>
        <v>3.7399970160502963E-2</v>
      </c>
      <c r="G65" s="191">
        <f t="shared" si="16"/>
        <v>3.5218927624745815E-2</v>
      </c>
      <c r="H65" s="191">
        <f t="shared" si="16"/>
        <v>1</v>
      </c>
    </row>
    <row r="66" spans="1:8" x14ac:dyDescent="0.2">
      <c r="A66" s="33" t="s">
        <v>85</v>
      </c>
      <c r="B66" s="220">
        <f t="shared" si="15"/>
        <v>1583</v>
      </c>
      <c r="C66" s="193">
        <f t="shared" si="16"/>
        <v>0.5681502672916241</v>
      </c>
      <c r="D66" s="193">
        <f t="shared" si="16"/>
        <v>0.15195153394214955</v>
      </c>
      <c r="E66" s="193">
        <f t="shared" si="16"/>
        <v>0.12376662336023199</v>
      </c>
      <c r="F66" s="193">
        <f t="shared" si="16"/>
        <v>0.14349003427272911</v>
      </c>
      <c r="G66" s="193">
        <f t="shared" si="16"/>
        <v>1.2641541133265221E-2</v>
      </c>
      <c r="H66" s="193">
        <f t="shared" si="16"/>
        <v>1</v>
      </c>
    </row>
    <row r="67" spans="1:8" x14ac:dyDescent="0.2">
      <c r="A67" s="33" t="s">
        <v>104</v>
      </c>
      <c r="B67" s="214">
        <f t="shared" si="15"/>
        <v>39715</v>
      </c>
      <c r="C67" s="191">
        <f t="shared" si="16"/>
        <v>0.70084077687500645</v>
      </c>
      <c r="D67" s="191">
        <f t="shared" si="16"/>
        <v>0.13284835955232732</v>
      </c>
      <c r="E67" s="191">
        <f t="shared" si="16"/>
        <v>9.0346687519618815E-2</v>
      </c>
      <c r="F67" s="191">
        <f t="shared" si="16"/>
        <v>3.9646406855893025E-2</v>
      </c>
      <c r="G67" s="191">
        <f t="shared" si="16"/>
        <v>3.6317769197154424E-2</v>
      </c>
      <c r="H67" s="191">
        <f t="shared" si="16"/>
        <v>1</v>
      </c>
    </row>
    <row r="68" spans="1:8" x14ac:dyDescent="0.2">
      <c r="A68" s="33"/>
      <c r="B68" s="214"/>
      <c r="C68" s="191"/>
      <c r="D68" s="191"/>
      <c r="E68" s="191"/>
      <c r="F68" s="191"/>
      <c r="G68" s="191"/>
      <c r="H68" s="191"/>
    </row>
    <row r="69" spans="1:8" x14ac:dyDescent="0.2">
      <c r="A69" s="33" t="s">
        <v>86</v>
      </c>
      <c r="B69" s="214">
        <f>B19</f>
        <v>10318</v>
      </c>
      <c r="C69" s="191">
        <f t="shared" ref="C69:H71" si="17">C43/$H43</f>
        <v>0.66693072594634806</v>
      </c>
      <c r="D69" s="191">
        <f t="shared" si="17"/>
        <v>0.11898071173879544</v>
      </c>
      <c r="E69" s="191">
        <f t="shared" si="17"/>
        <v>8.3652961461501307E-2</v>
      </c>
      <c r="F69" s="191">
        <f t="shared" si="17"/>
        <v>9.2779205367826537E-2</v>
      </c>
      <c r="G69" s="191">
        <f t="shared" si="17"/>
        <v>3.765639548552871E-2</v>
      </c>
      <c r="H69" s="191">
        <f t="shared" si="17"/>
        <v>1</v>
      </c>
    </row>
    <row r="70" spans="1:8" x14ac:dyDescent="0.2">
      <c r="A70" s="33" t="s">
        <v>87</v>
      </c>
      <c r="B70" s="220">
        <f>B20</f>
        <v>6968</v>
      </c>
      <c r="C70" s="193">
        <f t="shared" si="17"/>
        <v>0.66777449541111256</v>
      </c>
      <c r="D70" s="193">
        <f t="shared" si="17"/>
        <v>0.11272092134379595</v>
      </c>
      <c r="E70" s="193">
        <f t="shared" si="17"/>
        <v>0.10871439651726489</v>
      </c>
      <c r="F70" s="193">
        <f t="shared" si="17"/>
        <v>8.1251785713069707E-2</v>
      </c>
      <c r="G70" s="193">
        <f t="shared" si="17"/>
        <v>2.9538401014756837E-2</v>
      </c>
      <c r="H70" s="193">
        <f t="shared" si="17"/>
        <v>1</v>
      </c>
    </row>
    <row r="71" spans="1:8" x14ac:dyDescent="0.2">
      <c r="A71" s="33" t="s">
        <v>105</v>
      </c>
      <c r="B71" s="214">
        <f>B21</f>
        <v>17286</v>
      </c>
      <c r="C71" s="191">
        <f t="shared" si="17"/>
        <v>0.66734485759921769</v>
      </c>
      <c r="D71" s="191">
        <f t="shared" si="17"/>
        <v>0.11590833539530948</v>
      </c>
      <c r="E71" s="191">
        <f t="shared" si="17"/>
        <v>9.5953398910756146E-2</v>
      </c>
      <c r="F71" s="191">
        <f t="shared" si="17"/>
        <v>8.7121416653846318E-2</v>
      </c>
      <c r="G71" s="191">
        <f t="shared" si="17"/>
        <v>3.3671991440870387E-2</v>
      </c>
      <c r="H71" s="191">
        <f t="shared" si="17"/>
        <v>1</v>
      </c>
    </row>
    <row r="72" spans="1:8" x14ac:dyDescent="0.2">
      <c r="A72" s="33"/>
      <c r="B72" s="214"/>
      <c r="C72" s="191"/>
      <c r="D72" s="191"/>
      <c r="E72" s="191"/>
      <c r="F72" s="191"/>
      <c r="G72" s="191"/>
      <c r="H72" s="191"/>
    </row>
    <row r="73" spans="1:8" ht="13.5" thickBot="1" x14ac:dyDescent="0.25">
      <c r="A73" s="33" t="s">
        <v>230</v>
      </c>
      <c r="B73" s="222">
        <f>B71+B67+B60</f>
        <v>147525</v>
      </c>
      <c r="C73" s="195">
        <f t="shared" ref="C73:H73" si="18">C47/$H47</f>
        <v>0.72584478204311087</v>
      </c>
      <c r="D73" s="195">
        <f t="shared" si="18"/>
        <v>0.12050942140754715</v>
      </c>
      <c r="E73" s="195">
        <f t="shared" si="18"/>
        <v>8.5362912179166361E-2</v>
      </c>
      <c r="F73" s="195">
        <f t="shared" si="18"/>
        <v>3.7262038941711838E-2</v>
      </c>
      <c r="G73" s="195">
        <f t="shared" si="18"/>
        <v>3.1020845428463711E-2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6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c r="D1" s="22"/>
      <c r="E1" s="22"/>
      <c r="F1" s="22"/>
      <c r="G1" s="22"/>
      <c r="H1" s="22"/>
    </row>
    <row r="2" spans="1:17" x14ac:dyDescent="0.2">
      <c r="A2" s="22" t="s">
        <v>1073</v>
      </c>
    </row>
    <row r="3" spans="1:17" ht="34.5" x14ac:dyDescent="0.25">
      <c r="A3" s="22" t="s">
        <v>245</v>
      </c>
      <c r="B3" s="202" t="s">
        <v>1074</v>
      </c>
      <c r="C3" s="172" t="s">
        <v>1075</v>
      </c>
      <c r="D3" s="172" t="s">
        <v>1076</v>
      </c>
      <c r="E3" s="172" t="s">
        <v>1077</v>
      </c>
      <c r="F3" s="172" t="s">
        <v>1078</v>
      </c>
      <c r="G3" s="172" t="s">
        <v>1079</v>
      </c>
      <c r="H3" s="172" t="s">
        <v>1080</v>
      </c>
      <c r="K3" s="293"/>
      <c r="L3" s="293"/>
      <c r="M3" s="293"/>
      <c r="N3" s="293"/>
      <c r="O3" s="293"/>
      <c r="P3" s="293"/>
      <c r="Q3" s="293"/>
    </row>
    <row r="4" spans="1:17" ht="15" x14ac:dyDescent="0.25">
      <c r="A4" s="182" t="s">
        <v>102</v>
      </c>
      <c r="B4" s="214">
        <v>37842</v>
      </c>
      <c r="C4" s="214">
        <v>247954735.69</v>
      </c>
      <c r="D4" s="214">
        <v>36086079.620000005</v>
      </c>
      <c r="E4" s="214">
        <v>15377210.270000001</v>
      </c>
      <c r="F4" s="214">
        <v>8390178</v>
      </c>
      <c r="G4" s="214">
        <v>6419722.7999999989</v>
      </c>
      <c r="H4" s="214">
        <f t="shared" ref="H4:H9" si="0">SUM(C4:G4)</f>
        <v>314227926.38</v>
      </c>
      <c r="J4" s="294"/>
      <c r="K4" s="293"/>
      <c r="L4" s="293"/>
      <c r="M4" s="293"/>
      <c r="N4" s="293"/>
      <c r="O4" s="293"/>
      <c r="P4" s="293"/>
      <c r="Q4" s="293"/>
    </row>
    <row r="5" spans="1:17" ht="15" x14ac:dyDescent="0.25">
      <c r="A5" s="33" t="s">
        <v>76</v>
      </c>
      <c r="B5" s="214">
        <v>18223</v>
      </c>
      <c r="C5" s="214">
        <v>127139339.28</v>
      </c>
      <c r="D5" s="214">
        <v>18014265.370000001</v>
      </c>
      <c r="E5" s="214">
        <v>12549798.52</v>
      </c>
      <c r="F5" s="214">
        <v>4340980.76</v>
      </c>
      <c r="G5" s="214">
        <v>8643881.5099999998</v>
      </c>
      <c r="H5" s="214">
        <f t="shared" si="0"/>
        <v>170688265.44</v>
      </c>
      <c r="J5" s="294"/>
      <c r="K5" s="293"/>
      <c r="L5" s="293"/>
      <c r="M5" s="293"/>
      <c r="N5" s="293"/>
      <c r="O5" s="293"/>
      <c r="P5" s="293"/>
      <c r="Q5" s="293"/>
    </row>
    <row r="6" spans="1:17" ht="15" x14ac:dyDescent="0.25">
      <c r="A6" s="33" t="s">
        <v>77</v>
      </c>
      <c r="B6" s="214">
        <v>13498</v>
      </c>
      <c r="C6" s="214">
        <v>95788415.810000017</v>
      </c>
      <c r="D6" s="214">
        <v>15661792.120000003</v>
      </c>
      <c r="E6" s="214">
        <v>12297249.649999999</v>
      </c>
      <c r="F6" s="214">
        <v>5745713.8299999991</v>
      </c>
      <c r="G6" s="214">
        <v>2552926.17</v>
      </c>
      <c r="H6" s="214">
        <f t="shared" si="0"/>
        <v>132046097.58000001</v>
      </c>
      <c r="J6" s="294"/>
      <c r="K6" s="293"/>
      <c r="L6" s="293"/>
      <c r="M6" s="293"/>
      <c r="N6" s="293"/>
      <c r="O6" s="293"/>
      <c r="P6" s="293"/>
      <c r="Q6" s="293"/>
    </row>
    <row r="7" spans="1:17" ht="15" x14ac:dyDescent="0.25">
      <c r="A7" s="33" t="s">
        <v>78</v>
      </c>
      <c r="B7" s="214">
        <v>13549</v>
      </c>
      <c r="C7" s="214">
        <v>89947503.49000001</v>
      </c>
      <c r="D7" s="214">
        <v>16165497.580000004</v>
      </c>
      <c r="E7" s="214">
        <v>11988641.659999998</v>
      </c>
      <c r="F7" s="214">
        <v>7213641.9800000004</v>
      </c>
      <c r="G7" s="214">
        <v>4975542.1499999994</v>
      </c>
      <c r="H7" s="214">
        <f t="shared" si="0"/>
        <v>130290826.86000001</v>
      </c>
      <c r="J7" s="294"/>
      <c r="K7" s="293"/>
      <c r="L7" s="293"/>
      <c r="M7" s="293"/>
      <c r="N7" s="293"/>
      <c r="O7" s="293"/>
      <c r="P7" s="293"/>
      <c r="Q7" s="293"/>
    </row>
    <row r="8" spans="1:17" ht="15" x14ac:dyDescent="0.25">
      <c r="A8" s="33" t="s">
        <v>79</v>
      </c>
      <c r="B8" s="214">
        <v>4973</v>
      </c>
      <c r="C8" s="214">
        <v>39210337.930000007</v>
      </c>
      <c r="D8" s="214">
        <v>8839014.549999997</v>
      </c>
      <c r="E8" s="214">
        <v>6985830.790000001</v>
      </c>
      <c r="F8" s="214">
        <v>3444074.9899999993</v>
      </c>
      <c r="G8" s="214">
        <v>710899.61</v>
      </c>
      <c r="H8" s="214">
        <f t="shared" si="0"/>
        <v>59190157.870000005</v>
      </c>
      <c r="J8" s="294"/>
      <c r="K8" s="293"/>
      <c r="L8" s="293"/>
      <c r="M8" s="293"/>
      <c r="N8" s="293"/>
      <c r="O8" s="293"/>
      <c r="P8" s="293"/>
      <c r="Q8" s="293"/>
    </row>
    <row r="9" spans="1:17" ht="15" x14ac:dyDescent="0.25">
      <c r="A9" s="33" t="s">
        <v>80</v>
      </c>
      <c r="B9" s="220">
        <v>1854</v>
      </c>
      <c r="C9" s="220">
        <v>12367982.509999998</v>
      </c>
      <c r="D9" s="220">
        <v>3582254.9800000004</v>
      </c>
      <c r="E9" s="220">
        <v>2837168.870000001</v>
      </c>
      <c r="F9" s="220">
        <v>696907.73</v>
      </c>
      <c r="G9" s="220">
        <v>152689.75</v>
      </c>
      <c r="H9" s="220">
        <f t="shared" si="0"/>
        <v>19637003.84</v>
      </c>
      <c r="J9" s="294"/>
      <c r="K9" s="293"/>
      <c r="L9" s="293"/>
      <c r="M9" s="293"/>
      <c r="N9" s="293"/>
      <c r="O9" s="293"/>
      <c r="P9" s="293"/>
      <c r="Q9" s="293"/>
    </row>
    <row r="10" spans="1:17" x14ac:dyDescent="0.2">
      <c r="A10" s="33" t="s">
        <v>103</v>
      </c>
      <c r="B10" s="221">
        <f t="shared" ref="B10:H10" si="1">SUM(B4:B9)</f>
        <v>89939</v>
      </c>
      <c r="C10" s="221">
        <f t="shared" si="1"/>
        <v>612408314.71000004</v>
      </c>
      <c r="D10" s="221">
        <f t="shared" si="1"/>
        <v>98348904.220000014</v>
      </c>
      <c r="E10" s="221">
        <f t="shared" si="1"/>
        <v>62035899.75999999</v>
      </c>
      <c r="F10" s="221">
        <f t="shared" si="1"/>
        <v>29831497.289999999</v>
      </c>
      <c r="G10" s="221">
        <f t="shared" si="1"/>
        <v>23455661.989999995</v>
      </c>
      <c r="H10" s="214">
        <f t="shared" si="1"/>
        <v>826080277.97000003</v>
      </c>
    </row>
    <row r="11" spans="1:17" x14ac:dyDescent="0.2">
      <c r="A11" s="33"/>
      <c r="B11" s="182"/>
      <c r="C11" s="221"/>
      <c r="D11" s="221"/>
      <c r="E11" s="221"/>
      <c r="F11" s="221"/>
      <c r="G11" s="221"/>
      <c r="H11" s="214"/>
    </row>
    <row r="12" spans="1:17" ht="15" x14ac:dyDescent="0.25">
      <c r="A12" s="33" t="s">
        <v>81</v>
      </c>
      <c r="B12" s="182">
        <v>21890</v>
      </c>
      <c r="C12" s="182">
        <v>144723032.15000001</v>
      </c>
      <c r="D12" s="182">
        <v>30752719.510000002</v>
      </c>
      <c r="E12" s="182">
        <v>15378218.52</v>
      </c>
      <c r="F12" s="182">
        <v>5638195.9700000007</v>
      </c>
      <c r="G12" s="182">
        <v>8990744.75</v>
      </c>
      <c r="H12" s="214">
        <f>SUM(C12:G12)</f>
        <v>205482910.90000001</v>
      </c>
      <c r="J12" s="294"/>
      <c r="K12" s="293"/>
      <c r="L12" s="293"/>
      <c r="M12" s="293"/>
      <c r="N12" s="293"/>
      <c r="O12" s="293"/>
      <c r="P12" s="293"/>
      <c r="Q12" s="293"/>
    </row>
    <row r="13" spans="1:17" ht="15" x14ac:dyDescent="0.25">
      <c r="A13" s="33" t="s">
        <v>82</v>
      </c>
      <c r="B13" s="182">
        <v>6282</v>
      </c>
      <c r="C13" s="182">
        <v>44871889.369999997</v>
      </c>
      <c r="D13" s="182">
        <v>6270814.1699999999</v>
      </c>
      <c r="E13" s="182">
        <v>5452893.4199999999</v>
      </c>
      <c r="F13" s="182">
        <v>2255471.3199999998</v>
      </c>
      <c r="G13" s="182">
        <v>2946666.37</v>
      </c>
      <c r="H13" s="214">
        <f>SUM(C13:G13)</f>
        <v>61797734.649999999</v>
      </c>
      <c r="J13" s="294"/>
      <c r="K13" s="293"/>
      <c r="L13" s="293"/>
      <c r="M13" s="293"/>
      <c r="N13" s="293"/>
      <c r="O13" s="293"/>
      <c r="P13" s="293"/>
      <c r="Q13" s="293"/>
    </row>
    <row r="14" spans="1:17" ht="15" x14ac:dyDescent="0.25">
      <c r="A14" s="33" t="s">
        <v>83</v>
      </c>
      <c r="B14" s="182">
        <v>5828</v>
      </c>
      <c r="C14" s="182">
        <v>43711253.830000006</v>
      </c>
      <c r="D14" s="182">
        <v>8838683.9900000002</v>
      </c>
      <c r="E14" s="182">
        <v>7145429.5600000005</v>
      </c>
      <c r="F14" s="182">
        <v>4492734.8899999997</v>
      </c>
      <c r="G14" s="182">
        <v>1950457.55</v>
      </c>
      <c r="H14" s="214">
        <f>SUM(C14:G14)</f>
        <v>66138559.820000008</v>
      </c>
      <c r="J14" s="294"/>
      <c r="K14" s="293"/>
      <c r="L14" s="293"/>
      <c r="M14" s="293"/>
      <c r="N14" s="293"/>
      <c r="O14" s="293"/>
      <c r="P14" s="293"/>
      <c r="Q14" s="293"/>
    </row>
    <row r="15" spans="1:17" ht="15" x14ac:dyDescent="0.25">
      <c r="A15" s="33" t="s">
        <v>84</v>
      </c>
      <c r="B15" s="182">
        <v>5163</v>
      </c>
      <c r="C15" s="182">
        <v>42383408.719999999</v>
      </c>
      <c r="D15" s="182">
        <v>9761027.5199999996</v>
      </c>
      <c r="E15" s="182">
        <v>7404860.4799999986</v>
      </c>
      <c r="F15" s="182">
        <v>5898601.3899999987</v>
      </c>
      <c r="G15" s="182">
        <v>1933780.87</v>
      </c>
      <c r="H15" s="214">
        <f>SUM(C15:G15)</f>
        <v>67381678.979999989</v>
      </c>
      <c r="J15" s="294"/>
      <c r="K15" s="293"/>
      <c r="L15" s="293"/>
      <c r="M15" s="293"/>
      <c r="N15" s="293"/>
      <c r="O15" s="293"/>
      <c r="P15" s="293"/>
      <c r="Q15" s="293"/>
    </row>
    <row r="16" spans="1:17" ht="15" x14ac:dyDescent="0.25">
      <c r="A16" s="33" t="s">
        <v>85</v>
      </c>
      <c r="B16" s="183">
        <v>1384</v>
      </c>
      <c r="C16" s="183">
        <v>17422486.559999999</v>
      </c>
      <c r="D16" s="183">
        <v>4533715.71</v>
      </c>
      <c r="E16" s="183">
        <v>3483787.4499999988</v>
      </c>
      <c r="F16" s="183">
        <v>2500621.8200000003</v>
      </c>
      <c r="G16" s="183">
        <v>309679.42000000004</v>
      </c>
      <c r="H16" s="220">
        <f>SUM(C16:G16)</f>
        <v>28250290.960000001</v>
      </c>
      <c r="J16" s="294"/>
      <c r="K16" s="293"/>
      <c r="L16" s="293"/>
      <c r="M16" s="293"/>
      <c r="N16" s="293"/>
      <c r="O16" s="293"/>
      <c r="P16" s="293"/>
      <c r="Q16" s="293"/>
    </row>
    <row r="17" spans="1:17" x14ac:dyDescent="0.2">
      <c r="A17" s="33" t="s">
        <v>104</v>
      </c>
      <c r="B17" s="221">
        <f t="shared" ref="B17:H17" si="2">SUM(B12:B16)</f>
        <v>40547</v>
      </c>
      <c r="C17" s="221">
        <f t="shared" si="2"/>
        <v>293112070.63000005</v>
      </c>
      <c r="D17" s="221">
        <f t="shared" si="2"/>
        <v>60156960.899999999</v>
      </c>
      <c r="E17" s="221">
        <f t="shared" si="2"/>
        <v>38865189.429999992</v>
      </c>
      <c r="F17" s="221">
        <f t="shared" si="2"/>
        <v>20785625.390000001</v>
      </c>
      <c r="G17" s="221">
        <f t="shared" si="2"/>
        <v>16131328.960000003</v>
      </c>
      <c r="H17" s="221">
        <f t="shared" si="2"/>
        <v>429051175.31</v>
      </c>
    </row>
    <row r="18" spans="1:17" x14ac:dyDescent="0.2">
      <c r="A18" s="33"/>
      <c r="B18" s="182"/>
      <c r="C18" s="221"/>
      <c r="D18" s="221"/>
      <c r="E18" s="221"/>
      <c r="F18" s="221"/>
      <c r="G18" s="221"/>
      <c r="H18" s="214"/>
    </row>
    <row r="19" spans="1:17" ht="15" x14ac:dyDescent="0.25">
      <c r="A19" s="33" t="s">
        <v>86</v>
      </c>
      <c r="B19" s="182">
        <v>10013</v>
      </c>
      <c r="C19" s="182">
        <v>61655699.340000004</v>
      </c>
      <c r="D19" s="182">
        <v>11329339.74</v>
      </c>
      <c r="E19" s="182">
        <v>7318581.2599999988</v>
      </c>
      <c r="F19" s="182">
        <v>4611114.01</v>
      </c>
      <c r="G19" s="182">
        <v>4430551.71</v>
      </c>
      <c r="H19" s="182">
        <f>SUM(C19:G19)</f>
        <v>89345286.060000002</v>
      </c>
      <c r="J19" s="294"/>
      <c r="K19" s="293"/>
      <c r="L19" s="293"/>
      <c r="M19" s="293"/>
      <c r="N19" s="293"/>
      <c r="O19" s="293"/>
      <c r="P19" s="293"/>
      <c r="Q19" s="293"/>
    </row>
    <row r="20" spans="1:17" ht="15" x14ac:dyDescent="0.25">
      <c r="A20" s="33" t="s">
        <v>87</v>
      </c>
      <c r="B20" s="183">
        <v>7466</v>
      </c>
      <c r="C20" s="183">
        <v>68456729.720000014</v>
      </c>
      <c r="D20" s="183">
        <v>13764528.009999998</v>
      </c>
      <c r="E20" s="183">
        <v>11687224.350000001</v>
      </c>
      <c r="F20" s="183">
        <v>8755870.5700000003</v>
      </c>
      <c r="G20" s="183">
        <v>3263418.9699999997</v>
      </c>
      <c r="H20" s="183">
        <f>SUM(C20:G20)</f>
        <v>105927771.62</v>
      </c>
      <c r="J20" s="294"/>
      <c r="K20" s="293"/>
      <c r="L20" s="293"/>
      <c r="M20" s="293"/>
      <c r="N20" s="293"/>
      <c r="O20" s="293"/>
      <c r="P20" s="293"/>
      <c r="Q20" s="293"/>
    </row>
    <row r="21" spans="1:17" ht="15" x14ac:dyDescent="0.25">
      <c r="A21" s="33" t="s">
        <v>105</v>
      </c>
      <c r="B21" s="221">
        <f t="shared" ref="B21:H21" si="3">SUM(B19:B20)</f>
        <v>17479</v>
      </c>
      <c r="C21" s="221">
        <f t="shared" si="3"/>
        <v>130112429.06000002</v>
      </c>
      <c r="D21" s="221">
        <f t="shared" si="3"/>
        <v>25093867.75</v>
      </c>
      <c r="E21" s="221">
        <f t="shared" si="3"/>
        <v>19005805.609999999</v>
      </c>
      <c r="F21" s="221">
        <f t="shared" si="3"/>
        <v>13366984.58</v>
      </c>
      <c r="G21" s="221">
        <f t="shared" si="3"/>
        <v>7693970.6799999997</v>
      </c>
      <c r="H21" s="221">
        <f t="shared" si="3"/>
        <v>195273057.68000001</v>
      </c>
      <c r="K21" s="294"/>
      <c r="L21" s="293"/>
      <c r="M21" s="293"/>
      <c r="N21" s="293"/>
      <c r="O21" s="293"/>
      <c r="P21" s="293"/>
      <c r="Q21" s="293"/>
    </row>
    <row r="22" spans="1:17" x14ac:dyDescent="0.2">
      <c r="A22" s="33"/>
      <c r="B22" s="214"/>
      <c r="C22" s="214"/>
      <c r="D22" s="214"/>
      <c r="E22" s="214"/>
      <c r="F22" s="214"/>
      <c r="G22" s="214"/>
      <c r="H22" s="214"/>
    </row>
    <row r="23" spans="1:17" ht="13.5" thickBot="1" x14ac:dyDescent="0.25">
      <c r="A23" s="33" t="s">
        <v>209</v>
      </c>
      <c r="B23" s="222">
        <f t="shared" ref="B23:H23" si="4">B21+B17+B10</f>
        <v>147965</v>
      </c>
      <c r="C23" s="222">
        <f t="shared" si="4"/>
        <v>1035632814.4000001</v>
      </c>
      <c r="D23" s="222">
        <f t="shared" si="4"/>
        <v>183599732.87</v>
      </c>
      <c r="E23" s="222">
        <f t="shared" si="4"/>
        <v>119906894.79999998</v>
      </c>
      <c r="F23" s="222">
        <f t="shared" si="4"/>
        <v>63984107.259999998</v>
      </c>
      <c r="G23" s="222">
        <f t="shared" si="4"/>
        <v>47280961.629999995</v>
      </c>
      <c r="H23" s="222">
        <f t="shared" si="4"/>
        <v>1450404510.96</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1081</v>
      </c>
      <c r="B26" s="22"/>
      <c r="C26" s="22"/>
      <c r="D26" s="22"/>
      <c r="E26" s="22"/>
      <c r="F26" s="22"/>
      <c r="G26" s="22"/>
      <c r="H26" s="22"/>
    </row>
    <row r="27" spans="1:17" ht="33.75" x14ac:dyDescent="0.2">
      <c r="A27" s="155" t="s">
        <v>245</v>
      </c>
      <c r="B27" s="172" t="str">
        <f t="shared" ref="B27:H27" si="5">B3</f>
        <v>ANB11</v>
      </c>
      <c r="C27" s="172" t="str">
        <f t="shared" si="5"/>
        <v>11/Pupil Salaries &amp; Benefits</v>
      </c>
      <c r="D27" s="172" t="str">
        <f t="shared" si="5"/>
        <v>11/Pupil Purchased Services</v>
      </c>
      <c r="E27" s="172" t="str">
        <f t="shared" si="5"/>
        <v>11/Pupil Supplies</v>
      </c>
      <c r="F27" s="172" t="str">
        <f t="shared" si="5"/>
        <v>11/Pupil Capital Outlay</v>
      </c>
      <c r="G27" s="172" t="str">
        <f t="shared" si="5"/>
        <v>11/Pupil Other</v>
      </c>
      <c r="H27" s="172" t="str">
        <f t="shared" si="5"/>
        <v>11/Pupil Total Expenditures</v>
      </c>
    </row>
    <row r="28" spans="1:17" x14ac:dyDescent="0.2">
      <c r="A28" s="33" t="s">
        <v>102</v>
      </c>
      <c r="B28" s="214">
        <f t="shared" ref="B28:B34" si="6">B4</f>
        <v>37842</v>
      </c>
      <c r="C28" s="182">
        <f t="shared" ref="C28:H34" si="7">C4/$B28</f>
        <v>6552.3686826806197</v>
      </c>
      <c r="D28" s="182">
        <f t="shared" si="7"/>
        <v>953.59863696421974</v>
      </c>
      <c r="E28" s="182">
        <f t="shared" si="7"/>
        <v>406.3530011627293</v>
      </c>
      <c r="F28" s="182">
        <f t="shared" si="7"/>
        <v>221.71602980814967</v>
      </c>
      <c r="G28" s="182">
        <f t="shared" si="7"/>
        <v>169.64544157285553</v>
      </c>
      <c r="H28" s="182">
        <f t="shared" si="7"/>
        <v>8303.681792188574</v>
      </c>
    </row>
    <row r="29" spans="1:17" x14ac:dyDescent="0.2">
      <c r="A29" s="33" t="s">
        <v>76</v>
      </c>
      <c r="B29" s="214">
        <f t="shared" si="6"/>
        <v>18223</v>
      </c>
      <c r="C29" s="182">
        <f t="shared" si="7"/>
        <v>6976.8610700762774</v>
      </c>
      <c r="D29" s="182">
        <f t="shared" si="7"/>
        <v>988.54553970257371</v>
      </c>
      <c r="E29" s="182">
        <f t="shared" si="7"/>
        <v>688.67906052790431</v>
      </c>
      <c r="F29" s="182">
        <f t="shared" si="7"/>
        <v>238.2143862152225</v>
      </c>
      <c r="G29" s="182">
        <f t="shared" si="7"/>
        <v>474.33910497722655</v>
      </c>
      <c r="H29" s="182">
        <f t="shared" si="7"/>
        <v>9366.6391614992044</v>
      </c>
    </row>
    <row r="30" spans="1:17" x14ac:dyDescent="0.2">
      <c r="A30" s="33" t="s">
        <v>77</v>
      </c>
      <c r="B30" s="214">
        <f t="shared" si="6"/>
        <v>13498</v>
      </c>
      <c r="C30" s="182">
        <f t="shared" si="7"/>
        <v>7096.489539931843</v>
      </c>
      <c r="D30" s="182">
        <f t="shared" si="7"/>
        <v>1160.3046466143135</v>
      </c>
      <c r="E30" s="182">
        <f t="shared" si="7"/>
        <v>911.0423507186249</v>
      </c>
      <c r="F30" s="182">
        <f t="shared" si="7"/>
        <v>425.67149429545111</v>
      </c>
      <c r="G30" s="182">
        <f t="shared" si="7"/>
        <v>189.13366202400354</v>
      </c>
      <c r="H30" s="182">
        <f t="shared" si="7"/>
        <v>9782.6416935842353</v>
      </c>
    </row>
    <row r="31" spans="1:17" x14ac:dyDescent="0.2">
      <c r="A31" s="33" t="s">
        <v>78</v>
      </c>
      <c r="B31" s="214">
        <f t="shared" si="6"/>
        <v>13549</v>
      </c>
      <c r="C31" s="182">
        <f t="shared" si="7"/>
        <v>6638.6820791202308</v>
      </c>
      <c r="D31" s="182">
        <f t="shared" si="7"/>
        <v>1193.1137043324234</v>
      </c>
      <c r="E31" s="182">
        <f t="shared" si="7"/>
        <v>884.83590375673464</v>
      </c>
      <c r="F31" s="182">
        <f t="shared" si="7"/>
        <v>532.41139419883393</v>
      </c>
      <c r="G31" s="182">
        <f t="shared" si="7"/>
        <v>367.22578419071516</v>
      </c>
      <c r="H31" s="182">
        <f t="shared" si="7"/>
        <v>9616.2688655989386</v>
      </c>
    </row>
    <row r="32" spans="1:17" x14ac:dyDescent="0.2">
      <c r="A32" s="33" t="s">
        <v>79</v>
      </c>
      <c r="B32" s="214">
        <f t="shared" si="6"/>
        <v>4973</v>
      </c>
      <c r="C32" s="182">
        <f t="shared" si="7"/>
        <v>7884.6446672028969</v>
      </c>
      <c r="D32" s="182">
        <f t="shared" si="7"/>
        <v>1777.4008747235064</v>
      </c>
      <c r="E32" s="182">
        <f t="shared" si="7"/>
        <v>1404.7518178162077</v>
      </c>
      <c r="F32" s="182">
        <f t="shared" si="7"/>
        <v>692.55479388698961</v>
      </c>
      <c r="G32" s="182">
        <f t="shared" si="7"/>
        <v>142.95186205509754</v>
      </c>
      <c r="H32" s="182">
        <f t="shared" si="7"/>
        <v>11902.304015684698</v>
      </c>
    </row>
    <row r="33" spans="1:8" x14ac:dyDescent="0.2">
      <c r="A33" s="33" t="s">
        <v>80</v>
      </c>
      <c r="B33" s="220">
        <f t="shared" si="6"/>
        <v>1854</v>
      </c>
      <c r="C33" s="183">
        <f t="shared" si="7"/>
        <v>6670.9722276159646</v>
      </c>
      <c r="D33" s="183">
        <f t="shared" si="7"/>
        <v>1932.1763646170446</v>
      </c>
      <c r="E33" s="183">
        <f t="shared" si="7"/>
        <v>1530.2960463861925</v>
      </c>
      <c r="F33" s="183">
        <f t="shared" si="7"/>
        <v>375.89413700107872</v>
      </c>
      <c r="G33" s="183">
        <f t="shared" si="7"/>
        <v>82.356930960086302</v>
      </c>
      <c r="H33" s="183">
        <f t="shared" si="7"/>
        <v>10591.695706580367</v>
      </c>
    </row>
    <row r="34" spans="1:8" x14ac:dyDescent="0.2">
      <c r="A34" s="33" t="s">
        <v>103</v>
      </c>
      <c r="B34" s="214">
        <f t="shared" si="6"/>
        <v>89939</v>
      </c>
      <c r="C34" s="182">
        <f t="shared" si="7"/>
        <v>6809.1519219693355</v>
      </c>
      <c r="D34" s="182">
        <f t="shared" si="7"/>
        <v>1093.5067570242054</v>
      </c>
      <c r="E34" s="182">
        <f t="shared" si="7"/>
        <v>689.75527590922729</v>
      </c>
      <c r="F34" s="182">
        <f t="shared" si="7"/>
        <v>331.68589032566518</v>
      </c>
      <c r="G34" s="182">
        <f t="shared" si="7"/>
        <v>260.79522776548544</v>
      </c>
      <c r="H34" s="182">
        <f t="shared" si="7"/>
        <v>9184.8950729939188</v>
      </c>
    </row>
    <row r="35" spans="1:8" x14ac:dyDescent="0.2">
      <c r="A35" s="33"/>
      <c r="B35" s="214"/>
      <c r="C35" s="182"/>
      <c r="D35" s="182"/>
      <c r="E35" s="182"/>
      <c r="F35" s="182"/>
      <c r="G35" s="182"/>
      <c r="H35" s="182"/>
    </row>
    <row r="36" spans="1:8" x14ac:dyDescent="0.2">
      <c r="A36" s="33" t="s">
        <v>81</v>
      </c>
      <c r="B36" s="214">
        <f t="shared" ref="B36:B41" si="8">B12</f>
        <v>21890</v>
      </c>
      <c r="C36" s="182">
        <f t="shared" ref="C36:H41" si="9">C12/$B36</f>
        <v>6611.3765258108724</v>
      </c>
      <c r="D36" s="182">
        <f t="shared" si="9"/>
        <v>1404.8752631338511</v>
      </c>
      <c r="E36" s="182">
        <f t="shared" si="9"/>
        <v>702.52254545454548</v>
      </c>
      <c r="F36" s="182">
        <f t="shared" si="9"/>
        <v>257.56948241206032</v>
      </c>
      <c r="G36" s="182">
        <f t="shared" si="9"/>
        <v>410.7238350845135</v>
      </c>
      <c r="H36" s="182">
        <f t="shared" si="9"/>
        <v>9387.0676518958426</v>
      </c>
    </row>
    <row r="37" spans="1:8" x14ac:dyDescent="0.2">
      <c r="A37" s="33" t="s">
        <v>82</v>
      </c>
      <c r="B37" s="214">
        <f t="shared" si="8"/>
        <v>6282</v>
      </c>
      <c r="C37" s="182">
        <f t="shared" si="9"/>
        <v>7142.9304950652659</v>
      </c>
      <c r="D37" s="182">
        <f t="shared" si="9"/>
        <v>998.21938395415475</v>
      </c>
      <c r="E37" s="182">
        <f t="shared" si="9"/>
        <v>868.01869149952245</v>
      </c>
      <c r="F37" s="182">
        <f t="shared" si="9"/>
        <v>359.03714103788599</v>
      </c>
      <c r="G37" s="182">
        <f t="shared" si="9"/>
        <v>469.06500636739895</v>
      </c>
      <c r="H37" s="182">
        <f t="shared" si="9"/>
        <v>9837.2707179242279</v>
      </c>
    </row>
    <row r="38" spans="1:8" x14ac:dyDescent="0.2">
      <c r="A38" s="33" t="s">
        <v>83</v>
      </c>
      <c r="B38" s="214">
        <f t="shared" si="8"/>
        <v>5828</v>
      </c>
      <c r="C38" s="182">
        <f t="shared" si="9"/>
        <v>7500.2151389842147</v>
      </c>
      <c r="D38" s="182">
        <f t="shared" si="9"/>
        <v>1516.5895658888126</v>
      </c>
      <c r="E38" s="182">
        <f t="shared" si="9"/>
        <v>1226.0517433081675</v>
      </c>
      <c r="F38" s="182">
        <f t="shared" si="9"/>
        <v>770.88793582704182</v>
      </c>
      <c r="G38" s="182">
        <f t="shared" si="9"/>
        <v>334.67013555250514</v>
      </c>
      <c r="H38" s="182">
        <f t="shared" si="9"/>
        <v>11348.414519560743</v>
      </c>
    </row>
    <row r="39" spans="1:8" x14ac:dyDescent="0.2">
      <c r="A39" s="33" t="s">
        <v>84</v>
      </c>
      <c r="B39" s="214">
        <f t="shared" si="8"/>
        <v>5163</v>
      </c>
      <c r="C39" s="182">
        <f t="shared" si="9"/>
        <v>8209.0661863257792</v>
      </c>
      <c r="D39" s="182">
        <f t="shared" si="9"/>
        <v>1890.5728297501453</v>
      </c>
      <c r="E39" s="182">
        <f t="shared" si="9"/>
        <v>1434.2166337400733</v>
      </c>
      <c r="F39" s="182">
        <f t="shared" si="9"/>
        <v>1142.4755742785201</v>
      </c>
      <c r="G39" s="182">
        <f t="shared" si="9"/>
        <v>374.54597520821233</v>
      </c>
      <c r="H39" s="182">
        <f t="shared" si="9"/>
        <v>13050.877199302729</v>
      </c>
    </row>
    <row r="40" spans="1:8" x14ac:dyDescent="0.2">
      <c r="A40" s="33" t="s">
        <v>85</v>
      </c>
      <c r="B40" s="220">
        <f t="shared" si="8"/>
        <v>1384</v>
      </c>
      <c r="C40" s="183">
        <f t="shared" si="9"/>
        <v>12588.501849710981</v>
      </c>
      <c r="D40" s="183">
        <f t="shared" si="9"/>
        <v>3275.8061488439307</v>
      </c>
      <c r="E40" s="183">
        <f t="shared" si="9"/>
        <v>2517.1874638728314</v>
      </c>
      <c r="F40" s="183">
        <f t="shared" si="9"/>
        <v>1806.8076734104047</v>
      </c>
      <c r="G40" s="183">
        <f t="shared" si="9"/>
        <v>223.75680635838154</v>
      </c>
      <c r="H40" s="183">
        <f t="shared" si="9"/>
        <v>20412.059942196531</v>
      </c>
    </row>
    <row r="41" spans="1:8" x14ac:dyDescent="0.2">
      <c r="A41" s="33" t="s">
        <v>104</v>
      </c>
      <c r="B41" s="214">
        <f t="shared" si="8"/>
        <v>40547</v>
      </c>
      <c r="C41" s="182">
        <f t="shared" si="9"/>
        <v>7228.9459301551296</v>
      </c>
      <c r="D41" s="182">
        <f t="shared" si="9"/>
        <v>1483.635309640664</v>
      </c>
      <c r="E41" s="182">
        <f t="shared" si="9"/>
        <v>958.521948109601</v>
      </c>
      <c r="F41" s="182">
        <f t="shared" si="9"/>
        <v>512.63041384072801</v>
      </c>
      <c r="G41" s="182">
        <f t="shared" si="9"/>
        <v>397.84272473919162</v>
      </c>
      <c r="H41" s="182">
        <f t="shared" si="9"/>
        <v>10581.576326485314</v>
      </c>
    </row>
    <row r="42" spans="1:8" x14ac:dyDescent="0.2">
      <c r="A42" s="33"/>
      <c r="B42" s="214"/>
      <c r="C42" s="182"/>
      <c r="D42" s="182"/>
      <c r="E42" s="182"/>
      <c r="F42" s="182"/>
      <c r="G42" s="182"/>
      <c r="H42" s="182"/>
    </row>
    <row r="43" spans="1:8" x14ac:dyDescent="0.2">
      <c r="A43" s="33" t="s">
        <v>86</v>
      </c>
      <c r="B43" s="214">
        <f>B19</f>
        <v>10013</v>
      </c>
      <c r="C43" s="182">
        <f t="shared" ref="C43:H45" si="10">C19/$B43</f>
        <v>6157.5650993708186</v>
      </c>
      <c r="D43" s="182">
        <f t="shared" si="10"/>
        <v>1131.4630720063917</v>
      </c>
      <c r="E43" s="182">
        <f t="shared" si="10"/>
        <v>730.90794567062812</v>
      </c>
      <c r="F43" s="182">
        <f t="shared" si="10"/>
        <v>460.51273444522121</v>
      </c>
      <c r="G43" s="182">
        <f t="shared" si="10"/>
        <v>442.47994706881053</v>
      </c>
      <c r="H43" s="182">
        <f t="shared" si="10"/>
        <v>8922.9287985618703</v>
      </c>
    </row>
    <row r="44" spans="1:8" x14ac:dyDescent="0.2">
      <c r="A44" s="33" t="s">
        <v>87</v>
      </c>
      <c r="B44" s="220">
        <f>B20</f>
        <v>7466</v>
      </c>
      <c r="C44" s="183">
        <f t="shared" si="10"/>
        <v>9169.1306884543283</v>
      </c>
      <c r="D44" s="183">
        <f t="shared" si="10"/>
        <v>1843.6281824270022</v>
      </c>
      <c r="E44" s="183">
        <f t="shared" si="10"/>
        <v>1565.3930283953925</v>
      </c>
      <c r="F44" s="183">
        <f t="shared" si="10"/>
        <v>1172.7659482989552</v>
      </c>
      <c r="G44" s="183">
        <f t="shared" si="10"/>
        <v>437.10406777390835</v>
      </c>
      <c r="H44" s="183">
        <f t="shared" si="10"/>
        <v>14188.021915349585</v>
      </c>
    </row>
    <row r="45" spans="1:8" x14ac:dyDescent="0.2">
      <c r="A45" s="33" t="s">
        <v>105</v>
      </c>
      <c r="B45" s="214">
        <f>B21</f>
        <v>17479</v>
      </c>
      <c r="C45" s="182">
        <f t="shared" si="10"/>
        <v>7443.9286606785299</v>
      </c>
      <c r="D45" s="182">
        <f t="shared" si="10"/>
        <v>1435.6580897076492</v>
      </c>
      <c r="E45" s="182">
        <f t="shared" si="10"/>
        <v>1087.3508558842038</v>
      </c>
      <c r="F45" s="182">
        <f t="shared" si="10"/>
        <v>764.74538474741121</v>
      </c>
      <c r="G45" s="182">
        <f t="shared" si="10"/>
        <v>440.18368785399622</v>
      </c>
      <c r="H45" s="182">
        <f t="shared" si="10"/>
        <v>11171.866678871789</v>
      </c>
    </row>
    <row r="46" spans="1:8" x14ac:dyDescent="0.2">
      <c r="A46" s="33"/>
      <c r="B46" s="214"/>
      <c r="C46" s="182"/>
      <c r="D46" s="182"/>
      <c r="E46" s="182"/>
      <c r="F46" s="182"/>
      <c r="G46" s="182"/>
      <c r="H46" s="182"/>
    </row>
    <row r="47" spans="1:8" ht="13.5" thickBot="1" x14ac:dyDescent="0.25">
      <c r="A47" s="33" t="s">
        <v>209</v>
      </c>
      <c r="B47" s="222">
        <f>B23</f>
        <v>147965</v>
      </c>
      <c r="C47" s="192">
        <f t="shared" ref="C47:H47" si="11">C23/$B47</f>
        <v>6999.1742263373098</v>
      </c>
      <c r="D47" s="192">
        <f t="shared" si="11"/>
        <v>1240.8321756496468</v>
      </c>
      <c r="E47" s="192">
        <f t="shared" si="11"/>
        <v>810.3733639712093</v>
      </c>
      <c r="F47" s="192">
        <f t="shared" si="11"/>
        <v>432.4273122697935</v>
      </c>
      <c r="G47" s="192">
        <f t="shared" si="11"/>
        <v>319.5415242118068</v>
      </c>
      <c r="H47" s="192">
        <f t="shared" si="11"/>
        <v>9802.3486024397662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1082</v>
      </c>
      <c r="B52" s="182"/>
      <c r="C52" s="182"/>
      <c r="D52" s="182"/>
      <c r="E52" s="182"/>
      <c r="F52" s="182"/>
      <c r="G52" s="182"/>
      <c r="H52" s="182"/>
    </row>
    <row r="53" spans="1:8" ht="33.75" x14ac:dyDescent="0.2">
      <c r="A53" s="155" t="s">
        <v>245</v>
      </c>
      <c r="B53" s="172" t="str">
        <f t="shared" ref="B53:H53" si="12">B3</f>
        <v>ANB11</v>
      </c>
      <c r="C53" s="172" t="str">
        <f t="shared" si="12"/>
        <v>11/Pupil Salaries &amp; Benefits</v>
      </c>
      <c r="D53" s="172" t="str">
        <f t="shared" si="12"/>
        <v>11/Pupil Purchased Services</v>
      </c>
      <c r="E53" s="172" t="str">
        <f t="shared" si="12"/>
        <v>11/Pupil Supplies</v>
      </c>
      <c r="F53" s="172" t="str">
        <f t="shared" si="12"/>
        <v>11/Pupil Capital Outlay</v>
      </c>
      <c r="G53" s="172" t="str">
        <f t="shared" si="12"/>
        <v>11/Pupil Other</v>
      </c>
      <c r="H53" s="172" t="str">
        <f t="shared" si="12"/>
        <v>11/Pupil Total Expenditures</v>
      </c>
    </row>
    <row r="54" spans="1:8" x14ac:dyDescent="0.2">
      <c r="A54" s="33" t="s">
        <v>102</v>
      </c>
      <c r="B54" s="214">
        <f t="shared" ref="B54:B59" si="13">B4</f>
        <v>37842</v>
      </c>
      <c r="C54" s="191">
        <f t="shared" ref="C54:H60" si="14">C28/$H28</f>
        <v>0.78909197710882339</v>
      </c>
      <c r="D54" s="191">
        <f t="shared" si="14"/>
        <v>0.1148404600307887</v>
      </c>
      <c r="E54" s="191">
        <f t="shared" si="14"/>
        <v>4.8936485204068514E-2</v>
      </c>
      <c r="F54" s="191">
        <f t="shared" si="14"/>
        <v>2.6700930425431525E-2</v>
      </c>
      <c r="G54" s="191">
        <f t="shared" si="14"/>
        <v>2.0430147230887884E-2</v>
      </c>
      <c r="H54" s="191">
        <f t="shared" si="14"/>
        <v>1</v>
      </c>
    </row>
    <row r="55" spans="1:8" x14ac:dyDescent="0.2">
      <c r="A55" s="33" t="s">
        <v>76</v>
      </c>
      <c r="B55" s="214">
        <f t="shared" si="13"/>
        <v>18223</v>
      </c>
      <c r="C55" s="191">
        <f t="shared" si="14"/>
        <v>0.7448627997493581</v>
      </c>
      <c r="D55" s="191">
        <f t="shared" si="14"/>
        <v>0.10553897963379527</v>
      </c>
      <c r="E55" s="191">
        <f t="shared" si="14"/>
        <v>7.3524670765439823E-2</v>
      </c>
      <c r="F55" s="191">
        <f t="shared" si="14"/>
        <v>2.5432215558637408E-2</v>
      </c>
      <c r="G55" s="191">
        <f t="shared" si="14"/>
        <v>5.0641334292769409E-2</v>
      </c>
      <c r="H55" s="191">
        <f t="shared" si="14"/>
        <v>1</v>
      </c>
    </row>
    <row r="56" spans="1:8" x14ac:dyDescent="0.2">
      <c r="A56" s="33" t="s">
        <v>77</v>
      </c>
      <c r="B56" s="214">
        <f t="shared" si="13"/>
        <v>13498</v>
      </c>
      <c r="C56" s="191">
        <f t="shared" si="14"/>
        <v>0.7254164838303282</v>
      </c>
      <c r="D56" s="191">
        <f t="shared" si="14"/>
        <v>0.118608519350686</v>
      </c>
      <c r="E56" s="191">
        <f t="shared" si="14"/>
        <v>9.3128459495364649E-2</v>
      </c>
      <c r="F56" s="191">
        <f t="shared" si="14"/>
        <v>4.3512939309084571E-2</v>
      </c>
      <c r="G56" s="191">
        <f t="shared" si="14"/>
        <v>1.9333598014536643E-2</v>
      </c>
      <c r="H56" s="191">
        <f t="shared" si="14"/>
        <v>1</v>
      </c>
    </row>
    <row r="57" spans="1:8" x14ac:dyDescent="0.2">
      <c r="A57" s="33" t="s">
        <v>78</v>
      </c>
      <c r="B57" s="214">
        <f t="shared" si="13"/>
        <v>13549</v>
      </c>
      <c r="C57" s="191">
        <f t="shared" si="14"/>
        <v>0.69035944937743254</v>
      </c>
      <c r="D57" s="191">
        <f t="shared" si="14"/>
        <v>0.12407241530035065</v>
      </c>
      <c r="E57" s="191">
        <f t="shared" si="14"/>
        <v>9.2014472153761226E-2</v>
      </c>
      <c r="F57" s="191">
        <f t="shared" si="14"/>
        <v>5.536569345554309E-2</v>
      </c>
      <c r="G57" s="191">
        <f t="shared" si="14"/>
        <v>3.818796971291244E-2</v>
      </c>
      <c r="H57" s="191">
        <f t="shared" si="14"/>
        <v>1</v>
      </c>
    </row>
    <row r="58" spans="1:8" x14ac:dyDescent="0.2">
      <c r="A58" s="33" t="s">
        <v>79</v>
      </c>
      <c r="B58" s="214">
        <f t="shared" si="13"/>
        <v>4973</v>
      </c>
      <c r="C58" s="191">
        <f t="shared" si="14"/>
        <v>0.66244692261369031</v>
      </c>
      <c r="D58" s="191">
        <f t="shared" si="14"/>
        <v>0.14933250506635279</v>
      </c>
      <c r="E58" s="191">
        <f t="shared" si="14"/>
        <v>0.1180235201491278</v>
      </c>
      <c r="F58" s="191">
        <f t="shared" si="14"/>
        <v>5.818661605134183E-2</v>
      </c>
      <c r="G58" s="191">
        <f t="shared" si="14"/>
        <v>1.2010436119487241E-2</v>
      </c>
      <c r="H58" s="191">
        <f t="shared" si="14"/>
        <v>1</v>
      </c>
    </row>
    <row r="59" spans="1:8" x14ac:dyDescent="0.2">
      <c r="A59" s="33" t="s">
        <v>80</v>
      </c>
      <c r="B59" s="220">
        <f t="shared" si="13"/>
        <v>1854</v>
      </c>
      <c r="C59" s="193">
        <f t="shared" si="14"/>
        <v>0.62983042681932877</v>
      </c>
      <c r="D59" s="193">
        <f t="shared" si="14"/>
        <v>0.1824237042059875</v>
      </c>
      <c r="E59" s="193">
        <f t="shared" si="14"/>
        <v>0.14448074121270837</v>
      </c>
      <c r="F59" s="193">
        <f t="shared" si="14"/>
        <v>3.5489514371862541E-2</v>
      </c>
      <c r="G59" s="193">
        <f t="shared" si="14"/>
        <v>7.7756133901127761E-3</v>
      </c>
      <c r="H59" s="193">
        <f t="shared" si="14"/>
        <v>1</v>
      </c>
    </row>
    <row r="60" spans="1:8" x14ac:dyDescent="0.2">
      <c r="A60" s="33" t="s">
        <v>103</v>
      </c>
      <c r="B60" s="214">
        <f>SUM(B54:B59)</f>
        <v>89939</v>
      </c>
      <c r="C60" s="191">
        <f t="shared" si="14"/>
        <v>0.74134237439359407</v>
      </c>
      <c r="D60" s="191">
        <f t="shared" si="14"/>
        <v>0.11905489919415756</v>
      </c>
      <c r="E60" s="191">
        <f t="shared" si="14"/>
        <v>7.5096696307102598E-2</v>
      </c>
      <c r="F60" s="191">
        <f t="shared" si="14"/>
        <v>3.6112104459517631E-2</v>
      </c>
      <c r="G60" s="191">
        <f t="shared" si="14"/>
        <v>2.8393925645628124E-2</v>
      </c>
      <c r="H60" s="191">
        <f t="shared" si="14"/>
        <v>1</v>
      </c>
    </row>
    <row r="61" spans="1:8" x14ac:dyDescent="0.2">
      <c r="A61" s="33"/>
      <c r="B61" s="214"/>
      <c r="C61" s="191"/>
      <c r="D61" s="191"/>
      <c r="E61" s="191"/>
      <c r="F61" s="191"/>
      <c r="G61" s="191"/>
      <c r="H61" s="191"/>
    </row>
    <row r="62" spans="1:8" x14ac:dyDescent="0.2">
      <c r="A62" s="33" t="s">
        <v>81</v>
      </c>
      <c r="B62" s="214">
        <f t="shared" ref="B62:B67" si="15">B12</f>
        <v>21890</v>
      </c>
      <c r="C62" s="191">
        <f t="shared" ref="C62:H67" si="16">C36/$H36</f>
        <v>0.70430690083240399</v>
      </c>
      <c r="D62" s="191">
        <f t="shared" si="16"/>
        <v>0.14966071570285508</v>
      </c>
      <c r="E62" s="191">
        <f t="shared" si="16"/>
        <v>7.4839403688825204E-2</v>
      </c>
      <c r="F62" s="191">
        <f t="shared" si="16"/>
        <v>2.7438758509430873E-2</v>
      </c>
      <c r="G62" s="191">
        <f t="shared" si="16"/>
        <v>4.3754221266484893E-2</v>
      </c>
      <c r="H62" s="191">
        <f t="shared" si="16"/>
        <v>1</v>
      </c>
    </row>
    <row r="63" spans="1:8" x14ac:dyDescent="0.2">
      <c r="A63" s="33" t="s">
        <v>82</v>
      </c>
      <c r="B63" s="214">
        <f t="shared" si="15"/>
        <v>6282</v>
      </c>
      <c r="C63" s="191">
        <f t="shared" si="16"/>
        <v>0.72610896862381991</v>
      </c>
      <c r="D63" s="191">
        <f t="shared" si="16"/>
        <v>0.10147320456834902</v>
      </c>
      <c r="E63" s="191">
        <f t="shared" si="16"/>
        <v>8.8237755815536195E-2</v>
      </c>
      <c r="F63" s="191">
        <f t="shared" si="16"/>
        <v>3.6497637539210342E-2</v>
      </c>
      <c r="G63" s="191">
        <f t="shared" si="16"/>
        <v>4.7682433453084518E-2</v>
      </c>
      <c r="H63" s="191">
        <f t="shared" si="16"/>
        <v>1</v>
      </c>
    </row>
    <row r="64" spans="1:8" x14ac:dyDescent="0.2">
      <c r="A64" s="33" t="s">
        <v>83</v>
      </c>
      <c r="B64" s="214">
        <f t="shared" si="15"/>
        <v>5828</v>
      </c>
      <c r="C64" s="191">
        <f t="shared" si="16"/>
        <v>0.6609042281682993</v>
      </c>
      <c r="D64" s="191">
        <f t="shared" si="16"/>
        <v>0.13363889407412255</v>
      </c>
      <c r="E64" s="191">
        <f t="shared" si="16"/>
        <v>0.10803727174354427</v>
      </c>
      <c r="F64" s="191">
        <f t="shared" si="16"/>
        <v>6.7929130937039492E-2</v>
      </c>
      <c r="G64" s="191">
        <f t="shared" si="16"/>
        <v>2.9490475076994194E-2</v>
      </c>
      <c r="H64" s="191">
        <f t="shared" si="16"/>
        <v>1</v>
      </c>
    </row>
    <row r="65" spans="1:8" x14ac:dyDescent="0.2">
      <c r="A65" s="33" t="s">
        <v>84</v>
      </c>
      <c r="B65" s="214">
        <f t="shared" si="15"/>
        <v>5163</v>
      </c>
      <c r="C65" s="191">
        <f t="shared" si="16"/>
        <v>0.62900493667692814</v>
      </c>
      <c r="D65" s="191">
        <f t="shared" si="16"/>
        <v>0.1448617438413376</v>
      </c>
      <c r="E65" s="191">
        <f t="shared" si="16"/>
        <v>0.10989427084768673</v>
      </c>
      <c r="F65" s="191">
        <f t="shared" si="16"/>
        <v>8.7540136715067648E-2</v>
      </c>
      <c r="G65" s="191">
        <f t="shared" si="16"/>
        <v>2.8698911918979917E-2</v>
      </c>
      <c r="H65" s="191">
        <f t="shared" si="16"/>
        <v>1</v>
      </c>
    </row>
    <row r="66" spans="1:8" x14ac:dyDescent="0.2">
      <c r="A66" s="33" t="s">
        <v>85</v>
      </c>
      <c r="B66" s="220">
        <f t="shared" si="15"/>
        <v>1384</v>
      </c>
      <c r="C66" s="193">
        <f t="shared" si="16"/>
        <v>0.61671883608805134</v>
      </c>
      <c r="D66" s="193">
        <f t="shared" si="16"/>
        <v>0.16048385895987247</v>
      </c>
      <c r="E66" s="193">
        <f t="shared" si="16"/>
        <v>0.12331863961800409</v>
      </c>
      <c r="F66" s="193">
        <f t="shared" si="16"/>
        <v>8.8516674873921383E-2</v>
      </c>
      <c r="G66" s="193">
        <f t="shared" si="16"/>
        <v>1.0961990460150646E-2</v>
      </c>
      <c r="H66" s="193">
        <f t="shared" si="16"/>
        <v>1</v>
      </c>
    </row>
    <row r="67" spans="1:8" x14ac:dyDescent="0.2">
      <c r="A67" s="33" t="s">
        <v>104</v>
      </c>
      <c r="B67" s="214">
        <f t="shared" si="15"/>
        <v>40547</v>
      </c>
      <c r="C67" s="191">
        <f t="shared" si="16"/>
        <v>0.68316342547767028</v>
      </c>
      <c r="D67" s="191">
        <f t="shared" si="16"/>
        <v>0.14020929055032916</v>
      </c>
      <c r="E67" s="191">
        <f t="shared" si="16"/>
        <v>9.0584041406992846E-2</v>
      </c>
      <c r="F67" s="191">
        <f t="shared" si="16"/>
        <v>4.8445562175611974E-2</v>
      </c>
      <c r="G67" s="191">
        <f t="shared" si="16"/>
        <v>3.7597680389395788E-2</v>
      </c>
      <c r="H67" s="191">
        <f t="shared" si="16"/>
        <v>1</v>
      </c>
    </row>
    <row r="68" spans="1:8" x14ac:dyDescent="0.2">
      <c r="A68" s="33"/>
      <c r="B68" s="214"/>
      <c r="C68" s="191"/>
      <c r="D68" s="191"/>
      <c r="E68" s="191"/>
      <c r="F68" s="191"/>
      <c r="G68" s="191"/>
      <c r="H68" s="191"/>
    </row>
    <row r="69" spans="1:8" x14ac:dyDescent="0.2">
      <c r="A69" s="33" t="s">
        <v>86</v>
      </c>
      <c r="B69" s="214">
        <f>B19</f>
        <v>10013</v>
      </c>
      <c r="C69" s="191">
        <f t="shared" ref="C69:H71" si="17">C43/$H43</f>
        <v>0.69008340628732212</v>
      </c>
      <c r="D69" s="191">
        <f t="shared" si="17"/>
        <v>0.12680400096756933</v>
      </c>
      <c r="E69" s="191">
        <f t="shared" si="17"/>
        <v>8.1913457136229786E-2</v>
      </c>
      <c r="F69" s="191">
        <f t="shared" si="17"/>
        <v>5.1610042491815375E-2</v>
      </c>
      <c r="G69" s="191">
        <f t="shared" si="17"/>
        <v>4.9589093117063318E-2</v>
      </c>
      <c r="H69" s="191">
        <f t="shared" si="17"/>
        <v>1</v>
      </c>
    </row>
    <row r="70" spans="1:8" x14ac:dyDescent="0.2">
      <c r="A70" s="33" t="s">
        <v>87</v>
      </c>
      <c r="B70" s="220">
        <f>B20</f>
        <v>7466</v>
      </c>
      <c r="C70" s="193">
        <f t="shared" si="17"/>
        <v>0.64625856537016813</v>
      </c>
      <c r="D70" s="193">
        <f t="shared" si="17"/>
        <v>0.12994258068014664</v>
      </c>
      <c r="E70" s="193">
        <f t="shared" si="17"/>
        <v>0.11033201370388651</v>
      </c>
      <c r="F70" s="193">
        <f t="shared" si="17"/>
        <v>8.2658876289877711E-2</v>
      </c>
      <c r="G70" s="193">
        <f t="shared" si="17"/>
        <v>3.0807963955921076E-2</v>
      </c>
      <c r="H70" s="193">
        <f t="shared" si="17"/>
        <v>1</v>
      </c>
    </row>
    <row r="71" spans="1:8" x14ac:dyDescent="0.2">
      <c r="A71" s="33" t="s">
        <v>105</v>
      </c>
      <c r="B71" s="214">
        <f>B21</f>
        <v>17479</v>
      </c>
      <c r="C71" s="191">
        <f t="shared" si="17"/>
        <v>0.66631019458516028</v>
      </c>
      <c r="D71" s="191">
        <f t="shared" si="17"/>
        <v>0.12850655409473896</v>
      </c>
      <c r="E71" s="191">
        <f t="shared" si="17"/>
        <v>9.7329379873517419E-2</v>
      </c>
      <c r="F71" s="191">
        <f t="shared" si="17"/>
        <v>6.8452784725196919E-2</v>
      </c>
      <c r="G71" s="191">
        <f t="shared" si="17"/>
        <v>3.9401086721386556E-2</v>
      </c>
      <c r="H71" s="191">
        <f t="shared" si="17"/>
        <v>1</v>
      </c>
    </row>
    <row r="72" spans="1:8" x14ac:dyDescent="0.2">
      <c r="A72" s="33"/>
      <c r="B72" s="214"/>
      <c r="C72" s="191"/>
      <c r="D72" s="191"/>
      <c r="E72" s="191"/>
      <c r="F72" s="191"/>
      <c r="G72" s="191"/>
      <c r="H72" s="191"/>
    </row>
    <row r="73" spans="1:8" ht="13.5" thickBot="1" x14ac:dyDescent="0.25">
      <c r="A73" s="33" t="s">
        <v>230</v>
      </c>
      <c r="B73" s="222">
        <f>B71+B67+B60</f>
        <v>147965</v>
      </c>
      <c r="C73" s="195">
        <f t="shared" ref="C73:H73" si="18">C47/$H47</f>
        <v>0.71403033193445531</v>
      </c>
      <c r="D73" s="195">
        <f t="shared" si="18"/>
        <v>0.12658519156733608</v>
      </c>
      <c r="E73" s="195">
        <f t="shared" si="18"/>
        <v>8.2671347126902883E-2</v>
      </c>
      <c r="F73" s="195">
        <f t="shared" si="18"/>
        <v>4.4114663720709144E-2</v>
      </c>
      <c r="G73" s="195">
        <f t="shared" si="18"/>
        <v>3.2598465650596653E-2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61"/>
  <dimension ref="A1:S74"/>
  <sheetViews>
    <sheetView zoomScaleNormal="100" workbookViewId="0"/>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36" t="s">
        <v>247</v>
      </c>
      <c r="B1" s="22"/>
      <c r="C1" s="22"/>
      <c r="D1" s="22"/>
      <c r="E1" s="22"/>
      <c r="F1" s="22"/>
      <c r="G1" s="22"/>
      <c r="H1" s="22"/>
    </row>
    <row r="2" spans="1:19" x14ac:dyDescent="0.2">
      <c r="A2" s="22" t="s">
        <v>1073</v>
      </c>
    </row>
    <row r="3" spans="1:19" ht="34.5" x14ac:dyDescent="0.25">
      <c r="A3" s="22" t="s">
        <v>245</v>
      </c>
      <c r="B3" s="202" t="s">
        <v>1074</v>
      </c>
      <c r="C3" s="172" t="s">
        <v>1075</v>
      </c>
      <c r="D3" s="172" t="s">
        <v>1076</v>
      </c>
      <c r="E3" s="172" t="s">
        <v>1077</v>
      </c>
      <c r="F3" s="172" t="s">
        <v>1078</v>
      </c>
      <c r="G3" s="172" t="s">
        <v>1079</v>
      </c>
      <c r="H3" s="172" t="s">
        <v>1080</v>
      </c>
      <c r="L3" s="247"/>
      <c r="M3" s="247"/>
      <c r="N3" s="247"/>
      <c r="O3" s="247"/>
      <c r="P3" s="247"/>
      <c r="Q3" s="247"/>
      <c r="R3" s="247"/>
      <c r="S3" s="247"/>
    </row>
    <row r="4" spans="1:19" ht="15" x14ac:dyDescent="0.25">
      <c r="A4" s="182" t="s">
        <v>102</v>
      </c>
      <c r="B4" s="214">
        <v>37842</v>
      </c>
      <c r="C4" s="214">
        <v>264067500.28999996</v>
      </c>
      <c r="D4" s="214">
        <v>36086104.75</v>
      </c>
      <c r="E4" s="214">
        <v>15377210.270000001</v>
      </c>
      <c r="F4" s="214">
        <v>8390178</v>
      </c>
      <c r="G4" s="214">
        <v>6419722.7999999989</v>
      </c>
      <c r="H4" s="214">
        <f t="shared" ref="H4:H9" si="0">SUM(C4:G4)</f>
        <v>330340716.10999995</v>
      </c>
      <c r="K4" s="294"/>
      <c r="L4" s="293"/>
      <c r="M4" s="293"/>
      <c r="N4" s="293"/>
      <c r="O4" s="293"/>
      <c r="P4" s="293"/>
      <c r="Q4" s="293"/>
      <c r="R4" s="271"/>
      <c r="S4" s="272"/>
    </row>
    <row r="5" spans="1:19" ht="15" x14ac:dyDescent="0.25">
      <c r="A5" s="33" t="s">
        <v>76</v>
      </c>
      <c r="B5" s="214">
        <v>18223</v>
      </c>
      <c r="C5" s="214">
        <v>134110903.86999999</v>
      </c>
      <c r="D5" s="214">
        <v>18063574.030000001</v>
      </c>
      <c r="E5" s="214">
        <v>12939607.439999998</v>
      </c>
      <c r="F5" s="214">
        <v>4353625.76</v>
      </c>
      <c r="G5" s="214">
        <v>8643881.5099999998</v>
      </c>
      <c r="H5" s="214">
        <f t="shared" si="0"/>
        <v>178111592.60999995</v>
      </c>
      <c r="K5" s="294"/>
      <c r="L5" s="293"/>
      <c r="M5" s="293"/>
      <c r="N5" s="293"/>
      <c r="O5" s="293"/>
      <c r="P5" s="293"/>
      <c r="Q5" s="293"/>
      <c r="R5" s="271"/>
      <c r="S5" s="272"/>
    </row>
    <row r="6" spans="1:19" ht="15" x14ac:dyDescent="0.25">
      <c r="A6" s="33" t="s">
        <v>77</v>
      </c>
      <c r="B6" s="214">
        <v>13498</v>
      </c>
      <c r="C6" s="214">
        <v>101445512.45</v>
      </c>
      <c r="D6" s="214">
        <v>15663740.420000004</v>
      </c>
      <c r="E6" s="214">
        <v>12305086.35</v>
      </c>
      <c r="F6" s="214">
        <v>5745713.8299999991</v>
      </c>
      <c r="G6" s="214">
        <v>2552926.17</v>
      </c>
      <c r="H6" s="214">
        <f t="shared" si="0"/>
        <v>137712979.22</v>
      </c>
      <c r="K6" s="294"/>
      <c r="L6" s="293"/>
      <c r="M6" s="293"/>
      <c r="N6" s="293"/>
      <c r="O6" s="293"/>
      <c r="P6" s="293"/>
      <c r="Q6" s="293"/>
      <c r="R6" s="271"/>
      <c r="S6" s="272"/>
    </row>
    <row r="7" spans="1:19" ht="15" x14ac:dyDescent="0.25">
      <c r="A7" s="33" t="s">
        <v>78</v>
      </c>
      <c r="B7" s="214">
        <v>13549</v>
      </c>
      <c r="C7" s="214">
        <v>95871882.279999986</v>
      </c>
      <c r="D7" s="214">
        <v>16219651.830000004</v>
      </c>
      <c r="E7" s="214">
        <v>12025178.439999998</v>
      </c>
      <c r="F7" s="214">
        <v>7213641.9800000004</v>
      </c>
      <c r="G7" s="214">
        <v>4975542.1499999994</v>
      </c>
      <c r="H7" s="214">
        <f t="shared" si="0"/>
        <v>136305896.67999998</v>
      </c>
      <c r="K7" s="294"/>
      <c r="L7" s="293"/>
      <c r="M7" s="293"/>
      <c r="N7" s="293"/>
      <c r="O7" s="293"/>
      <c r="P7" s="293"/>
      <c r="Q7" s="293"/>
      <c r="R7" s="271"/>
      <c r="S7" s="272"/>
    </row>
    <row r="8" spans="1:19" ht="15" x14ac:dyDescent="0.25">
      <c r="A8" s="33" t="s">
        <v>79</v>
      </c>
      <c r="B8" s="214">
        <v>4973</v>
      </c>
      <c r="C8" s="214">
        <v>41600518.629999995</v>
      </c>
      <c r="D8" s="214">
        <v>8839014.549999997</v>
      </c>
      <c r="E8" s="214">
        <v>7026569.4500000002</v>
      </c>
      <c r="F8" s="214">
        <v>3444074.9899999993</v>
      </c>
      <c r="G8" s="214">
        <v>710899.61</v>
      </c>
      <c r="H8" s="214">
        <f t="shared" si="0"/>
        <v>61621077.229999997</v>
      </c>
      <c r="K8" s="294"/>
      <c r="L8" s="293"/>
      <c r="M8" s="293"/>
      <c r="N8" s="293"/>
      <c r="O8" s="293"/>
      <c r="P8" s="293"/>
      <c r="Q8" s="293"/>
      <c r="R8" s="271"/>
      <c r="S8" s="272"/>
    </row>
    <row r="9" spans="1:19" ht="15" x14ac:dyDescent="0.25">
      <c r="A9" s="33" t="s">
        <v>80</v>
      </c>
      <c r="B9" s="220">
        <v>1854</v>
      </c>
      <c r="C9" s="220">
        <v>13291987.280000005</v>
      </c>
      <c r="D9" s="220">
        <v>3593679.71</v>
      </c>
      <c r="E9" s="220">
        <v>2850249.3600000003</v>
      </c>
      <c r="F9" s="220">
        <v>696907.73</v>
      </c>
      <c r="G9" s="220">
        <v>152689.75</v>
      </c>
      <c r="H9" s="220">
        <f t="shared" si="0"/>
        <v>20585513.830000006</v>
      </c>
      <c r="K9" s="294"/>
      <c r="L9" s="293"/>
      <c r="M9" s="293"/>
      <c r="N9" s="293"/>
      <c r="O9" s="293"/>
      <c r="P9" s="293"/>
      <c r="Q9" s="293"/>
      <c r="R9" s="271"/>
      <c r="S9" s="272"/>
    </row>
    <row r="10" spans="1:19" ht="15" x14ac:dyDescent="0.25">
      <c r="A10" s="33" t="s">
        <v>103</v>
      </c>
      <c r="B10" s="221">
        <f t="shared" ref="B10:H10" si="1">SUM(B4:B9)</f>
        <v>89939</v>
      </c>
      <c r="C10" s="221">
        <f t="shared" si="1"/>
        <v>650388304.79999995</v>
      </c>
      <c r="D10" s="221">
        <f t="shared" si="1"/>
        <v>98465765.289999992</v>
      </c>
      <c r="E10" s="221">
        <f t="shared" si="1"/>
        <v>62523901.310000002</v>
      </c>
      <c r="F10" s="221">
        <f t="shared" si="1"/>
        <v>29844142.289999999</v>
      </c>
      <c r="G10" s="221">
        <f t="shared" si="1"/>
        <v>23455661.989999995</v>
      </c>
      <c r="H10" s="214">
        <f t="shared" si="1"/>
        <v>864677775.67999995</v>
      </c>
      <c r="R10" s="271"/>
      <c r="S10" s="272"/>
    </row>
    <row r="11" spans="1:19" ht="15" x14ac:dyDescent="0.25">
      <c r="A11" s="33"/>
      <c r="B11" s="182"/>
      <c r="C11" s="221"/>
      <c r="D11" s="221"/>
      <c r="E11" s="221"/>
      <c r="F11" s="221"/>
      <c r="G11" s="221"/>
      <c r="H11" s="214"/>
      <c r="R11" s="271"/>
      <c r="S11" s="272"/>
    </row>
    <row r="12" spans="1:19" ht="15" x14ac:dyDescent="0.25">
      <c r="A12" s="33" t="s">
        <v>81</v>
      </c>
      <c r="B12" s="214">
        <v>21890</v>
      </c>
      <c r="C12" s="214">
        <v>155804132.35000005</v>
      </c>
      <c r="D12" s="214">
        <v>30752719.510000002</v>
      </c>
      <c r="E12" s="214">
        <v>15378218.52</v>
      </c>
      <c r="F12" s="214">
        <v>5638195.9700000007</v>
      </c>
      <c r="G12" s="214">
        <v>8990744.75</v>
      </c>
      <c r="H12" s="214">
        <f>SUM(C12:G12)</f>
        <v>216564011.10000005</v>
      </c>
      <c r="K12" s="294"/>
      <c r="L12" s="293"/>
      <c r="M12" s="293"/>
      <c r="N12" s="293"/>
      <c r="O12" s="293"/>
      <c r="P12" s="293"/>
      <c r="Q12" s="293"/>
      <c r="R12" s="271"/>
      <c r="S12" s="272"/>
    </row>
    <row r="13" spans="1:19" ht="15" x14ac:dyDescent="0.25">
      <c r="A13" s="33" t="s">
        <v>82</v>
      </c>
      <c r="B13" s="214">
        <v>6282</v>
      </c>
      <c r="C13" s="214">
        <v>47817097.380000003</v>
      </c>
      <c r="D13" s="214">
        <v>6304023.79</v>
      </c>
      <c r="E13" s="214">
        <v>5583545.0599999996</v>
      </c>
      <c r="F13" s="214">
        <v>2369902.08</v>
      </c>
      <c r="G13" s="214">
        <v>2946666.37</v>
      </c>
      <c r="H13" s="214">
        <f>SUM(C13:G13)</f>
        <v>65021234.68</v>
      </c>
      <c r="K13" s="294"/>
      <c r="L13" s="293"/>
      <c r="M13" s="293"/>
      <c r="N13" s="293"/>
      <c r="O13" s="293"/>
      <c r="P13" s="293"/>
      <c r="Q13" s="293"/>
      <c r="R13" s="271"/>
      <c r="S13" s="272"/>
    </row>
    <row r="14" spans="1:19" ht="15" x14ac:dyDescent="0.25">
      <c r="A14" s="33" t="s">
        <v>83</v>
      </c>
      <c r="B14" s="214">
        <v>5828</v>
      </c>
      <c r="C14" s="214">
        <v>46926410.250000007</v>
      </c>
      <c r="D14" s="214">
        <v>8838683.9900000002</v>
      </c>
      <c r="E14" s="214">
        <v>7145429.5600000005</v>
      </c>
      <c r="F14" s="214">
        <v>4492734.8899999997</v>
      </c>
      <c r="G14" s="214">
        <v>1950457.55</v>
      </c>
      <c r="H14" s="214">
        <f>SUM(C14:G14)</f>
        <v>69353716.24000001</v>
      </c>
      <c r="K14" s="294"/>
      <c r="L14" s="293"/>
      <c r="M14" s="293"/>
      <c r="N14" s="293"/>
      <c r="O14" s="293"/>
      <c r="P14" s="293"/>
      <c r="Q14" s="293"/>
      <c r="R14" s="271"/>
      <c r="S14" s="272"/>
    </row>
    <row r="15" spans="1:19" ht="15" x14ac:dyDescent="0.25">
      <c r="A15" s="33" t="s">
        <v>84</v>
      </c>
      <c r="B15" s="214">
        <v>5163</v>
      </c>
      <c r="C15" s="214">
        <v>45648577.520000003</v>
      </c>
      <c r="D15" s="214">
        <v>9806443.120000001</v>
      </c>
      <c r="E15" s="214">
        <v>7445022.9799999986</v>
      </c>
      <c r="F15" s="214">
        <v>5898601.3899999987</v>
      </c>
      <c r="G15" s="214">
        <v>1933780.87</v>
      </c>
      <c r="H15" s="214">
        <f>SUM(C15:G15)</f>
        <v>70732425.879999995</v>
      </c>
      <c r="K15" s="294"/>
      <c r="L15" s="293"/>
      <c r="M15" s="293"/>
      <c r="N15" s="293"/>
      <c r="O15" s="293"/>
      <c r="P15" s="293"/>
      <c r="Q15" s="293"/>
      <c r="R15" s="271"/>
      <c r="S15" s="272"/>
    </row>
    <row r="16" spans="1:19" ht="15" x14ac:dyDescent="0.25">
      <c r="A16" s="33" t="s">
        <v>85</v>
      </c>
      <c r="B16" s="220">
        <v>1384</v>
      </c>
      <c r="C16" s="220">
        <v>18748805.630000003</v>
      </c>
      <c r="D16" s="220">
        <v>4533715.71</v>
      </c>
      <c r="E16" s="220">
        <v>3483787.4499999988</v>
      </c>
      <c r="F16" s="220">
        <v>2500621.8200000003</v>
      </c>
      <c r="G16" s="220">
        <v>309679.42000000004</v>
      </c>
      <c r="H16" s="220">
        <f>SUM(C16:G16)</f>
        <v>29576610.030000005</v>
      </c>
      <c r="K16" s="294"/>
      <c r="L16" s="293"/>
      <c r="M16" s="293"/>
      <c r="N16" s="293"/>
      <c r="O16" s="293"/>
      <c r="P16" s="293"/>
      <c r="Q16" s="293"/>
      <c r="R16" s="271"/>
      <c r="S16" s="272"/>
    </row>
    <row r="17" spans="1:19" ht="15" x14ac:dyDescent="0.25">
      <c r="A17" s="33" t="s">
        <v>104</v>
      </c>
      <c r="B17" s="221">
        <f t="shared" ref="B17:H17" si="2">SUM(B12:B16)</f>
        <v>40547</v>
      </c>
      <c r="C17" s="221">
        <f t="shared" si="2"/>
        <v>314945023.13000005</v>
      </c>
      <c r="D17" s="221">
        <f t="shared" si="2"/>
        <v>60235586.120000012</v>
      </c>
      <c r="E17" s="221">
        <f t="shared" si="2"/>
        <v>39036003.569999993</v>
      </c>
      <c r="F17" s="221">
        <f t="shared" si="2"/>
        <v>20900056.149999999</v>
      </c>
      <c r="G17" s="221">
        <f t="shared" si="2"/>
        <v>16131328.960000003</v>
      </c>
      <c r="H17" s="221">
        <f t="shared" si="2"/>
        <v>451247997.93000007</v>
      </c>
      <c r="R17" s="271"/>
      <c r="S17" s="272"/>
    </row>
    <row r="18" spans="1:19" x14ac:dyDescent="0.2">
      <c r="A18" s="33"/>
      <c r="B18" s="182"/>
      <c r="C18" s="221"/>
      <c r="D18" s="221"/>
      <c r="E18" s="221"/>
      <c r="F18" s="221"/>
      <c r="G18" s="221"/>
      <c r="H18" s="214"/>
    </row>
    <row r="19" spans="1:19" ht="15" x14ac:dyDescent="0.25">
      <c r="A19" s="33" t="s">
        <v>86</v>
      </c>
      <c r="B19" s="214">
        <v>10013</v>
      </c>
      <c r="C19" s="214">
        <v>66254868.539999999</v>
      </c>
      <c r="D19" s="214">
        <v>11329339.74</v>
      </c>
      <c r="E19" s="214">
        <v>7318581.2599999988</v>
      </c>
      <c r="F19" s="214">
        <v>4611114.01</v>
      </c>
      <c r="G19" s="214">
        <v>4430551.71</v>
      </c>
      <c r="H19" s="214">
        <f>SUM(C19:G19)</f>
        <v>93944455.260000005</v>
      </c>
      <c r="K19" s="294"/>
      <c r="L19" s="293"/>
      <c r="M19" s="293"/>
      <c r="N19" s="293"/>
      <c r="O19" s="293"/>
      <c r="P19" s="293"/>
      <c r="Q19" s="293"/>
    </row>
    <row r="20" spans="1:19" ht="15" x14ac:dyDescent="0.25">
      <c r="A20" s="33" t="s">
        <v>87</v>
      </c>
      <c r="B20" s="220">
        <v>7466</v>
      </c>
      <c r="C20" s="220">
        <v>73029407.23999998</v>
      </c>
      <c r="D20" s="220">
        <v>13764528.009999998</v>
      </c>
      <c r="E20" s="220">
        <v>11687273.770000001</v>
      </c>
      <c r="F20" s="220">
        <v>8755870.5700000003</v>
      </c>
      <c r="G20" s="220">
        <v>3263418.9699999997</v>
      </c>
      <c r="H20" s="220">
        <f>SUM(C20:G20)</f>
        <v>110500498.55999997</v>
      </c>
      <c r="K20" s="294"/>
      <c r="L20" s="293"/>
      <c r="M20" s="293"/>
      <c r="N20" s="293"/>
      <c r="O20" s="293"/>
      <c r="P20" s="293"/>
      <c r="Q20" s="293"/>
    </row>
    <row r="21" spans="1:19" x14ac:dyDescent="0.2">
      <c r="A21" s="33" t="s">
        <v>105</v>
      </c>
      <c r="B21" s="221">
        <f t="shared" ref="B21:H21" si="3">SUM(B19:B20)</f>
        <v>17479</v>
      </c>
      <c r="C21" s="221">
        <f t="shared" si="3"/>
        <v>139284275.77999997</v>
      </c>
      <c r="D21" s="221">
        <f t="shared" si="3"/>
        <v>25093867.75</v>
      </c>
      <c r="E21" s="221">
        <f t="shared" si="3"/>
        <v>19005855.030000001</v>
      </c>
      <c r="F21" s="221">
        <f t="shared" si="3"/>
        <v>13366984.58</v>
      </c>
      <c r="G21" s="221">
        <f t="shared" si="3"/>
        <v>7693970.6799999997</v>
      </c>
      <c r="H21" s="221">
        <f t="shared" si="3"/>
        <v>204444953.81999999</v>
      </c>
    </row>
    <row r="22" spans="1:19" x14ac:dyDescent="0.2">
      <c r="A22" s="33"/>
      <c r="B22" s="214"/>
      <c r="C22" s="214"/>
      <c r="D22" s="214"/>
      <c r="E22" s="214"/>
      <c r="F22" s="214"/>
      <c r="G22" s="214"/>
      <c r="H22" s="214"/>
    </row>
    <row r="23" spans="1:19" ht="13.5" thickBot="1" x14ac:dyDescent="0.25">
      <c r="A23" s="33" t="s">
        <v>209</v>
      </c>
      <c r="B23" s="222">
        <f t="shared" ref="B23:H23" si="4">B21+B17+B10</f>
        <v>147965</v>
      </c>
      <c r="C23" s="222">
        <f t="shared" si="4"/>
        <v>1104617603.71</v>
      </c>
      <c r="D23" s="222">
        <f t="shared" si="4"/>
        <v>183795219.16</v>
      </c>
      <c r="E23" s="222">
        <f t="shared" si="4"/>
        <v>120565759.91</v>
      </c>
      <c r="F23" s="222">
        <f t="shared" si="4"/>
        <v>64111183.019999996</v>
      </c>
      <c r="G23" s="222">
        <f t="shared" si="4"/>
        <v>47280961.629999995</v>
      </c>
      <c r="H23" s="222">
        <f t="shared" si="4"/>
        <v>1520370727.4299998</v>
      </c>
    </row>
    <row r="24" spans="1:19" ht="13.5" thickTop="1" x14ac:dyDescent="0.2">
      <c r="A24" s="33"/>
      <c r="B24" s="182"/>
      <c r="C24" s="182"/>
      <c r="D24" s="182"/>
      <c r="E24" s="182"/>
      <c r="F24" s="182"/>
      <c r="G24" s="182"/>
      <c r="H24" s="33"/>
    </row>
    <row r="25" spans="1:19" x14ac:dyDescent="0.2">
      <c r="A25" s="36" t="s">
        <v>247</v>
      </c>
      <c r="B25" s="22"/>
      <c r="C25" s="22"/>
      <c r="D25" s="22"/>
      <c r="E25" s="22"/>
      <c r="F25" s="22"/>
      <c r="G25" s="22"/>
      <c r="H25" s="22"/>
    </row>
    <row r="26" spans="1:19" x14ac:dyDescent="0.2">
      <c r="A26" s="36" t="s">
        <v>1081</v>
      </c>
      <c r="B26" s="22"/>
      <c r="C26" s="22"/>
      <c r="D26" s="22"/>
      <c r="E26" s="22"/>
      <c r="F26" s="22"/>
      <c r="G26" s="22"/>
      <c r="H26" s="22"/>
    </row>
    <row r="27" spans="1:19" ht="33.75" x14ac:dyDescent="0.2">
      <c r="A27" s="155" t="s">
        <v>245</v>
      </c>
      <c r="B27" s="172" t="str">
        <f t="shared" ref="B27:H27" si="5">B3</f>
        <v>ANB11</v>
      </c>
      <c r="C27" s="172" t="str">
        <f t="shared" si="5"/>
        <v>11/Pupil Salaries &amp; Benefits</v>
      </c>
      <c r="D27" s="172" t="str">
        <f t="shared" si="5"/>
        <v>11/Pupil Purchased Services</v>
      </c>
      <c r="E27" s="172" t="str">
        <f t="shared" si="5"/>
        <v>11/Pupil Supplies</v>
      </c>
      <c r="F27" s="172" t="str">
        <f t="shared" si="5"/>
        <v>11/Pupil Capital Outlay</v>
      </c>
      <c r="G27" s="172" t="str">
        <f t="shared" si="5"/>
        <v>11/Pupil Other</v>
      </c>
      <c r="H27" s="172" t="str">
        <f t="shared" si="5"/>
        <v>11/Pupil Total Expenditures</v>
      </c>
    </row>
    <row r="28" spans="1:19" x14ac:dyDescent="0.2">
      <c r="A28" s="33" t="s">
        <v>102</v>
      </c>
      <c r="B28" s="214">
        <f t="shared" ref="B28:B34" si="6">B4</f>
        <v>37842</v>
      </c>
      <c r="C28" s="182">
        <f t="shared" ref="C28:H34" si="7">C4/$B28</f>
        <v>6978.1591958670251</v>
      </c>
      <c r="D28" s="182">
        <f t="shared" si="7"/>
        <v>953.5993010411712</v>
      </c>
      <c r="E28" s="182">
        <f t="shared" si="7"/>
        <v>406.3530011627293</v>
      </c>
      <c r="F28" s="182">
        <f t="shared" si="7"/>
        <v>221.71602980814967</v>
      </c>
      <c r="G28" s="182">
        <f t="shared" si="7"/>
        <v>169.64544157285553</v>
      </c>
      <c r="H28" s="182">
        <f t="shared" si="7"/>
        <v>8729.4729694519301</v>
      </c>
    </row>
    <row r="29" spans="1:19" x14ac:dyDescent="0.2">
      <c r="A29" s="33" t="s">
        <v>76</v>
      </c>
      <c r="B29" s="214">
        <f t="shared" si="6"/>
        <v>18223</v>
      </c>
      <c r="C29" s="182">
        <f t="shared" si="7"/>
        <v>7359.4306025352571</v>
      </c>
      <c r="D29" s="182">
        <f t="shared" si="7"/>
        <v>991.25138725786098</v>
      </c>
      <c r="E29" s="182">
        <f t="shared" si="7"/>
        <v>710.07010042254285</v>
      </c>
      <c r="F29" s="182">
        <f t="shared" si="7"/>
        <v>238.9082895242276</v>
      </c>
      <c r="G29" s="182">
        <f t="shared" si="7"/>
        <v>474.33910497722655</v>
      </c>
      <c r="H29" s="182">
        <f t="shared" si="7"/>
        <v>9773.9994847171129</v>
      </c>
    </row>
    <row r="30" spans="1:19" x14ac:dyDescent="0.2">
      <c r="A30" s="33" t="s">
        <v>77</v>
      </c>
      <c r="B30" s="214">
        <f t="shared" si="6"/>
        <v>13498</v>
      </c>
      <c r="C30" s="182">
        <f t="shared" si="7"/>
        <v>7515.5958253074532</v>
      </c>
      <c r="D30" s="182">
        <f t="shared" si="7"/>
        <v>1160.4489865165212</v>
      </c>
      <c r="E30" s="182">
        <f t="shared" si="7"/>
        <v>911.6229330271151</v>
      </c>
      <c r="F30" s="182">
        <f t="shared" si="7"/>
        <v>425.67149429545111</v>
      </c>
      <c r="G30" s="182">
        <f t="shared" si="7"/>
        <v>189.13366202400354</v>
      </c>
      <c r="H30" s="182">
        <f t="shared" si="7"/>
        <v>10202.472901170544</v>
      </c>
    </row>
    <row r="31" spans="1:19" x14ac:dyDescent="0.2">
      <c r="A31" s="33" t="s">
        <v>78</v>
      </c>
      <c r="B31" s="214">
        <f t="shared" si="6"/>
        <v>13549</v>
      </c>
      <c r="C31" s="182">
        <f t="shared" si="7"/>
        <v>7075.937875857996</v>
      </c>
      <c r="D31" s="182">
        <f t="shared" si="7"/>
        <v>1197.1106229242014</v>
      </c>
      <c r="E31" s="182">
        <f t="shared" si="7"/>
        <v>887.53254409919532</v>
      </c>
      <c r="F31" s="182">
        <f t="shared" si="7"/>
        <v>532.41139419883393</v>
      </c>
      <c r="G31" s="182">
        <f t="shared" si="7"/>
        <v>367.22578419071516</v>
      </c>
      <c r="H31" s="182">
        <f t="shared" si="7"/>
        <v>10060.218221270941</v>
      </c>
    </row>
    <row r="32" spans="1:19" x14ac:dyDescent="0.2">
      <c r="A32" s="33" t="s">
        <v>79</v>
      </c>
      <c r="B32" s="214">
        <f t="shared" si="6"/>
        <v>4973</v>
      </c>
      <c r="C32" s="182">
        <f t="shared" si="7"/>
        <v>8365.2762175749031</v>
      </c>
      <c r="D32" s="182">
        <f t="shared" si="7"/>
        <v>1777.4008747235064</v>
      </c>
      <c r="E32" s="182">
        <f t="shared" si="7"/>
        <v>1412.9437864468127</v>
      </c>
      <c r="F32" s="182">
        <f t="shared" si="7"/>
        <v>692.55479388698961</v>
      </c>
      <c r="G32" s="182">
        <f t="shared" si="7"/>
        <v>142.95186205509754</v>
      </c>
      <c r="H32" s="182">
        <f t="shared" si="7"/>
        <v>12391.127534687312</v>
      </c>
    </row>
    <row r="33" spans="1:8" x14ac:dyDescent="0.2">
      <c r="A33" s="33" t="s">
        <v>80</v>
      </c>
      <c r="B33" s="220">
        <f t="shared" si="6"/>
        <v>1854</v>
      </c>
      <c r="C33" s="183">
        <f t="shared" si="7"/>
        <v>7169.3566774541559</v>
      </c>
      <c r="D33" s="183">
        <f t="shared" si="7"/>
        <v>1938.3385706580366</v>
      </c>
      <c r="E33" s="183">
        <f t="shared" si="7"/>
        <v>1537.3513268608417</v>
      </c>
      <c r="F33" s="183">
        <f t="shared" si="7"/>
        <v>375.89413700107872</v>
      </c>
      <c r="G33" s="183">
        <f t="shared" si="7"/>
        <v>82.356930960086302</v>
      </c>
      <c r="H33" s="183">
        <f t="shared" si="7"/>
        <v>11103.2976429342</v>
      </c>
    </row>
    <row r="34" spans="1:8" x14ac:dyDescent="0.2">
      <c r="A34" s="33" t="s">
        <v>103</v>
      </c>
      <c r="B34" s="214">
        <f t="shared" si="6"/>
        <v>89939</v>
      </c>
      <c r="C34" s="182">
        <f t="shared" si="7"/>
        <v>7231.4380279967527</v>
      </c>
      <c r="D34" s="182">
        <f t="shared" si="7"/>
        <v>1094.8060940192797</v>
      </c>
      <c r="E34" s="182">
        <f t="shared" si="7"/>
        <v>695.18119291964558</v>
      </c>
      <c r="F34" s="182">
        <f t="shared" si="7"/>
        <v>331.82648561803001</v>
      </c>
      <c r="G34" s="182">
        <f t="shared" si="7"/>
        <v>260.79522776548544</v>
      </c>
      <c r="H34" s="182">
        <f t="shared" si="7"/>
        <v>9614.0470283191935</v>
      </c>
    </row>
    <row r="35" spans="1:8" x14ac:dyDescent="0.2">
      <c r="A35" s="33"/>
      <c r="B35" s="214"/>
      <c r="C35" s="182"/>
      <c r="D35" s="182"/>
      <c r="E35" s="182"/>
      <c r="F35" s="182"/>
      <c r="G35" s="182"/>
      <c r="H35" s="182"/>
    </row>
    <row r="36" spans="1:8" x14ac:dyDescent="0.2">
      <c r="A36" s="33" t="s">
        <v>81</v>
      </c>
      <c r="B36" s="214">
        <f t="shared" ref="B36:B41" si="8">B12</f>
        <v>21890</v>
      </c>
      <c r="C36" s="182">
        <f t="shared" ref="C36:H41" si="9">C12/$B36</f>
        <v>7117.5939858382844</v>
      </c>
      <c r="D36" s="182">
        <f t="shared" si="9"/>
        <v>1404.8752631338511</v>
      </c>
      <c r="E36" s="182">
        <f t="shared" si="9"/>
        <v>702.52254545454548</v>
      </c>
      <c r="F36" s="182">
        <f t="shared" si="9"/>
        <v>257.56948241206032</v>
      </c>
      <c r="G36" s="182">
        <f t="shared" si="9"/>
        <v>410.7238350845135</v>
      </c>
      <c r="H36" s="182">
        <f t="shared" si="9"/>
        <v>9893.2851119232546</v>
      </c>
    </row>
    <row r="37" spans="1:8" x14ac:dyDescent="0.2">
      <c r="A37" s="33" t="s">
        <v>82</v>
      </c>
      <c r="B37" s="214">
        <f t="shared" si="8"/>
        <v>6282</v>
      </c>
      <c r="C37" s="182">
        <f t="shared" si="9"/>
        <v>7611.7633524355306</v>
      </c>
      <c r="D37" s="182">
        <f t="shared" si="9"/>
        <v>1003.5058564151544</v>
      </c>
      <c r="E37" s="182">
        <f t="shared" si="9"/>
        <v>888.81646927730014</v>
      </c>
      <c r="F37" s="182">
        <f t="shared" si="9"/>
        <v>377.25279847182429</v>
      </c>
      <c r="G37" s="182">
        <f t="shared" si="9"/>
        <v>469.06500636739895</v>
      </c>
      <c r="H37" s="182">
        <f t="shared" si="9"/>
        <v>10350.403482967207</v>
      </c>
    </row>
    <row r="38" spans="1:8" x14ac:dyDescent="0.2">
      <c r="A38" s="33" t="s">
        <v>83</v>
      </c>
      <c r="B38" s="214">
        <f t="shared" si="8"/>
        <v>5828</v>
      </c>
      <c r="C38" s="182">
        <f t="shared" si="9"/>
        <v>8051.8891986959516</v>
      </c>
      <c r="D38" s="182">
        <f t="shared" si="9"/>
        <v>1516.5895658888126</v>
      </c>
      <c r="E38" s="182">
        <f t="shared" si="9"/>
        <v>1226.0517433081675</v>
      </c>
      <c r="F38" s="182">
        <f t="shared" si="9"/>
        <v>770.88793582704182</v>
      </c>
      <c r="G38" s="182">
        <f t="shared" si="9"/>
        <v>334.67013555250514</v>
      </c>
      <c r="H38" s="182">
        <f t="shared" si="9"/>
        <v>11900.088579272478</v>
      </c>
    </row>
    <row r="39" spans="1:8" x14ac:dyDescent="0.2">
      <c r="A39" s="33" t="s">
        <v>84</v>
      </c>
      <c r="B39" s="214">
        <f t="shared" si="8"/>
        <v>5163</v>
      </c>
      <c r="C39" s="182">
        <f t="shared" si="9"/>
        <v>8841.4831532055014</v>
      </c>
      <c r="D39" s="182">
        <f t="shared" si="9"/>
        <v>1899.3691884563241</v>
      </c>
      <c r="E39" s="182">
        <f t="shared" si="9"/>
        <v>1441.9955413519269</v>
      </c>
      <c r="F39" s="182">
        <f t="shared" si="9"/>
        <v>1142.4755742785201</v>
      </c>
      <c r="G39" s="182">
        <f t="shared" si="9"/>
        <v>374.54597520821233</v>
      </c>
      <c r="H39" s="182">
        <f t="shared" si="9"/>
        <v>13699.869432500484</v>
      </c>
    </row>
    <row r="40" spans="1:8" x14ac:dyDescent="0.2">
      <c r="A40" s="33" t="s">
        <v>85</v>
      </c>
      <c r="B40" s="220">
        <f t="shared" si="8"/>
        <v>1384</v>
      </c>
      <c r="C40" s="183">
        <f t="shared" si="9"/>
        <v>13546.824877167632</v>
      </c>
      <c r="D40" s="183">
        <f t="shared" si="9"/>
        <v>3275.8061488439307</v>
      </c>
      <c r="E40" s="183">
        <f t="shared" si="9"/>
        <v>2517.1874638728314</v>
      </c>
      <c r="F40" s="183">
        <f t="shared" si="9"/>
        <v>1806.8076734104047</v>
      </c>
      <c r="G40" s="183">
        <f t="shared" si="9"/>
        <v>223.75680635838154</v>
      </c>
      <c r="H40" s="183">
        <f t="shared" si="9"/>
        <v>21370.382969653183</v>
      </c>
    </row>
    <row r="41" spans="1:8" x14ac:dyDescent="0.2">
      <c r="A41" s="33" t="s">
        <v>104</v>
      </c>
      <c r="B41" s="214">
        <f t="shared" si="8"/>
        <v>40547</v>
      </c>
      <c r="C41" s="182">
        <f t="shared" si="9"/>
        <v>7767.4062971366575</v>
      </c>
      <c r="D41" s="182">
        <f t="shared" si="9"/>
        <v>1485.5744227686391</v>
      </c>
      <c r="E41" s="182">
        <f t="shared" si="9"/>
        <v>962.73469233235483</v>
      </c>
      <c r="F41" s="182">
        <f t="shared" si="9"/>
        <v>515.45258958739237</v>
      </c>
      <c r="G41" s="182">
        <f t="shared" si="9"/>
        <v>397.84272473919162</v>
      </c>
      <c r="H41" s="182">
        <f t="shared" si="9"/>
        <v>11129.010726564236</v>
      </c>
    </row>
    <row r="42" spans="1:8" x14ac:dyDescent="0.2">
      <c r="A42" s="33"/>
      <c r="B42" s="214"/>
      <c r="C42" s="182"/>
      <c r="D42" s="182"/>
      <c r="E42" s="182"/>
      <c r="F42" s="182"/>
      <c r="G42" s="182"/>
      <c r="H42" s="182"/>
    </row>
    <row r="43" spans="1:8" x14ac:dyDescent="0.2">
      <c r="A43" s="33" t="s">
        <v>86</v>
      </c>
      <c r="B43" s="214">
        <f>B19</f>
        <v>10013</v>
      </c>
      <c r="C43" s="182">
        <f t="shared" ref="C43:H45" si="10">C19/$B43</f>
        <v>6616.8849036252868</v>
      </c>
      <c r="D43" s="182">
        <f t="shared" si="10"/>
        <v>1131.4630720063917</v>
      </c>
      <c r="E43" s="182">
        <f t="shared" si="10"/>
        <v>730.90794567062812</v>
      </c>
      <c r="F43" s="182">
        <f t="shared" si="10"/>
        <v>460.51273444522121</v>
      </c>
      <c r="G43" s="182">
        <f t="shared" si="10"/>
        <v>442.47994706881053</v>
      </c>
      <c r="H43" s="182">
        <f t="shared" si="10"/>
        <v>9382.2486028163385</v>
      </c>
    </row>
    <row r="44" spans="1:8" x14ac:dyDescent="0.2">
      <c r="A44" s="33" t="s">
        <v>87</v>
      </c>
      <c r="B44" s="220">
        <f>B20</f>
        <v>7466</v>
      </c>
      <c r="C44" s="183">
        <f t="shared" si="10"/>
        <v>9781.5975408518589</v>
      </c>
      <c r="D44" s="183">
        <f t="shared" si="10"/>
        <v>1843.6281824270022</v>
      </c>
      <c r="E44" s="183">
        <f t="shared" si="10"/>
        <v>1565.3996477364053</v>
      </c>
      <c r="F44" s="183">
        <f t="shared" si="10"/>
        <v>1172.7659482989552</v>
      </c>
      <c r="G44" s="183">
        <f t="shared" si="10"/>
        <v>437.10406777390835</v>
      </c>
      <c r="H44" s="183">
        <f t="shared" si="10"/>
        <v>14800.495387088129</v>
      </c>
    </row>
    <row r="45" spans="1:8" x14ac:dyDescent="0.2">
      <c r="A45" s="33" t="s">
        <v>105</v>
      </c>
      <c r="B45" s="214">
        <f>B21</f>
        <v>17479</v>
      </c>
      <c r="C45" s="182">
        <f t="shared" si="10"/>
        <v>7968.6638697865992</v>
      </c>
      <c r="D45" s="182">
        <f t="shared" si="10"/>
        <v>1435.6580897076492</v>
      </c>
      <c r="E45" s="182">
        <f t="shared" si="10"/>
        <v>1087.3536832770753</v>
      </c>
      <c r="F45" s="182">
        <f t="shared" si="10"/>
        <v>764.74538474741121</v>
      </c>
      <c r="G45" s="182">
        <f t="shared" si="10"/>
        <v>440.18368785399622</v>
      </c>
      <c r="H45" s="182">
        <f t="shared" si="10"/>
        <v>11696.604715372732</v>
      </c>
    </row>
    <row r="46" spans="1:8" x14ac:dyDescent="0.2">
      <c r="A46" s="33"/>
      <c r="B46" s="214"/>
      <c r="C46" s="182"/>
      <c r="D46" s="182"/>
      <c r="E46" s="182"/>
      <c r="F46" s="182"/>
      <c r="G46" s="182"/>
      <c r="H46" s="182"/>
    </row>
    <row r="47" spans="1:8" ht="13.5" thickBot="1" x14ac:dyDescent="0.25">
      <c r="A47" s="33" t="s">
        <v>209</v>
      </c>
      <c r="B47" s="222">
        <f>B23</f>
        <v>147965</v>
      </c>
      <c r="C47" s="192">
        <f t="shared" ref="C47:H47" si="11">C23/$B47</f>
        <v>7465.3979232250877</v>
      </c>
      <c r="D47" s="192">
        <f t="shared" si="11"/>
        <v>1242.1533413983036</v>
      </c>
      <c r="E47" s="192">
        <f t="shared" si="11"/>
        <v>814.82620829250163</v>
      </c>
      <c r="F47" s="192">
        <f t="shared" si="11"/>
        <v>433.28613536985097</v>
      </c>
      <c r="G47" s="192">
        <f t="shared" si="11"/>
        <v>319.5415242118068</v>
      </c>
      <c r="H47" s="192">
        <f t="shared" si="11"/>
        <v>10275.205132497549</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1082</v>
      </c>
      <c r="B52" s="182"/>
      <c r="C52" s="182"/>
      <c r="D52" s="182"/>
      <c r="E52" s="182"/>
      <c r="F52" s="182"/>
      <c r="G52" s="182"/>
      <c r="H52" s="182"/>
    </row>
    <row r="53" spans="1:8" ht="33.75" x14ac:dyDescent="0.2">
      <c r="A53" s="155" t="s">
        <v>245</v>
      </c>
      <c r="B53" s="172" t="str">
        <f t="shared" ref="B53:H53" si="12">B3</f>
        <v>ANB11</v>
      </c>
      <c r="C53" s="172" t="str">
        <f t="shared" si="12"/>
        <v>11/Pupil Salaries &amp; Benefits</v>
      </c>
      <c r="D53" s="172" t="str">
        <f t="shared" si="12"/>
        <v>11/Pupil Purchased Services</v>
      </c>
      <c r="E53" s="172" t="str">
        <f t="shared" si="12"/>
        <v>11/Pupil Supplies</v>
      </c>
      <c r="F53" s="172" t="str">
        <f t="shared" si="12"/>
        <v>11/Pupil Capital Outlay</v>
      </c>
      <c r="G53" s="172" t="str">
        <f t="shared" si="12"/>
        <v>11/Pupil Other</v>
      </c>
      <c r="H53" s="172" t="str">
        <f t="shared" si="12"/>
        <v>11/Pupil Total Expenditures</v>
      </c>
    </row>
    <row r="54" spans="1:8" x14ac:dyDescent="0.2">
      <c r="A54" s="33" t="s">
        <v>102</v>
      </c>
      <c r="B54" s="214">
        <f t="shared" ref="B54:B59" si="13">B4</f>
        <v>37842</v>
      </c>
      <c r="C54" s="191">
        <f t="shared" ref="C54:H60" si="14">C28/$H28</f>
        <v>0.79937920883500269</v>
      </c>
      <c r="D54" s="191">
        <f t="shared" si="14"/>
        <v>0.1092390462033863</v>
      </c>
      <c r="E54" s="191">
        <f t="shared" si="14"/>
        <v>4.6549545726841481E-2</v>
      </c>
      <c r="F54" s="191">
        <f t="shared" si="14"/>
        <v>2.5398558490761884E-2</v>
      </c>
      <c r="G54" s="191">
        <f t="shared" si="14"/>
        <v>1.9433640744007771E-2</v>
      </c>
      <c r="H54" s="191">
        <f t="shared" si="14"/>
        <v>1</v>
      </c>
    </row>
    <row r="55" spans="1:8" x14ac:dyDescent="0.2">
      <c r="A55" s="33" t="s">
        <v>76</v>
      </c>
      <c r="B55" s="214">
        <f t="shared" si="13"/>
        <v>18223</v>
      </c>
      <c r="C55" s="191">
        <f t="shared" si="14"/>
        <v>0.75295999493786137</v>
      </c>
      <c r="D55" s="191">
        <f t="shared" si="14"/>
        <v>0.10141717203973749</v>
      </c>
      <c r="E55" s="191">
        <f t="shared" si="14"/>
        <v>7.2648878438435302E-2</v>
      </c>
      <c r="F55" s="191">
        <f t="shared" si="14"/>
        <v>2.4443247607879557E-2</v>
      </c>
      <c r="G55" s="191">
        <f t="shared" si="14"/>
        <v>4.8530706976086489E-2</v>
      </c>
      <c r="H55" s="191">
        <f t="shared" si="14"/>
        <v>1</v>
      </c>
    </row>
    <row r="56" spans="1:8" x14ac:dyDescent="0.2">
      <c r="A56" s="33" t="s">
        <v>77</v>
      </c>
      <c r="B56" s="214">
        <f t="shared" si="13"/>
        <v>13498</v>
      </c>
      <c r="C56" s="191">
        <f t="shared" si="14"/>
        <v>0.73664452707785955</v>
      </c>
      <c r="D56" s="191">
        <f t="shared" si="14"/>
        <v>0.11374193274097119</v>
      </c>
      <c r="E56" s="191">
        <f t="shared" si="14"/>
        <v>8.9353134466304079E-2</v>
      </c>
      <c r="F56" s="191">
        <f t="shared" si="14"/>
        <v>4.1722384212028951E-2</v>
      </c>
      <c r="G56" s="191">
        <f t="shared" si="14"/>
        <v>1.8538021502836236E-2</v>
      </c>
      <c r="H56" s="191">
        <f t="shared" si="14"/>
        <v>1</v>
      </c>
    </row>
    <row r="57" spans="1:8" x14ac:dyDescent="0.2">
      <c r="A57" s="33" t="s">
        <v>78</v>
      </c>
      <c r="B57" s="214">
        <f t="shared" si="13"/>
        <v>13549</v>
      </c>
      <c r="C57" s="191">
        <f t="shared" si="14"/>
        <v>0.70335828907735853</v>
      </c>
      <c r="D57" s="191">
        <f t="shared" si="14"/>
        <v>0.11899449858782152</v>
      </c>
      <c r="E57" s="191">
        <f t="shared" si="14"/>
        <v>8.822199723487413E-2</v>
      </c>
      <c r="F57" s="191">
        <f t="shared" si="14"/>
        <v>5.292244984041436E-2</v>
      </c>
      <c r="G57" s="191">
        <f t="shared" si="14"/>
        <v>3.6502765259531549E-2</v>
      </c>
      <c r="H57" s="191">
        <f t="shared" si="14"/>
        <v>1</v>
      </c>
    </row>
    <row r="58" spans="1:8" x14ac:dyDescent="0.2">
      <c r="A58" s="33" t="s">
        <v>79</v>
      </c>
      <c r="B58" s="214">
        <f t="shared" si="13"/>
        <v>4973</v>
      </c>
      <c r="C58" s="191">
        <f t="shared" si="14"/>
        <v>0.67510209980144475</v>
      </c>
      <c r="D58" s="191">
        <f t="shared" si="14"/>
        <v>0.14344141562161389</v>
      </c>
      <c r="E58" s="191">
        <f t="shared" si="14"/>
        <v>0.11402866950497158</v>
      </c>
      <c r="F58" s="191">
        <f t="shared" si="14"/>
        <v>5.5891184393694171E-2</v>
      </c>
      <c r="G58" s="191">
        <f t="shared" si="14"/>
        <v>1.153663067827547E-2</v>
      </c>
      <c r="H58" s="191">
        <f t="shared" si="14"/>
        <v>1</v>
      </c>
    </row>
    <row r="59" spans="1:8" x14ac:dyDescent="0.2">
      <c r="A59" s="33" t="s">
        <v>80</v>
      </c>
      <c r="B59" s="220">
        <f t="shared" si="13"/>
        <v>1854</v>
      </c>
      <c r="C59" s="193">
        <f t="shared" si="14"/>
        <v>0.6456961623483557</v>
      </c>
      <c r="D59" s="193">
        <f t="shared" si="14"/>
        <v>0.17457323337554012</v>
      </c>
      <c r="E59" s="193">
        <f t="shared" si="14"/>
        <v>0.13845898545637614</v>
      </c>
      <c r="F59" s="193">
        <f t="shared" si="14"/>
        <v>3.3854279069991992E-2</v>
      </c>
      <c r="G59" s="193">
        <f t="shared" si="14"/>
        <v>7.4173397497360382E-3</v>
      </c>
      <c r="H59" s="193">
        <f t="shared" si="14"/>
        <v>1</v>
      </c>
    </row>
    <row r="60" spans="1:8" x14ac:dyDescent="0.2">
      <c r="A60" s="33" t="s">
        <v>103</v>
      </c>
      <c r="B60" s="214">
        <f>SUM(B54:B59)</f>
        <v>89939</v>
      </c>
      <c r="C60" s="191">
        <f t="shared" si="14"/>
        <v>0.75217418915216316</v>
      </c>
      <c r="D60" s="191">
        <f t="shared" si="14"/>
        <v>0.11387567491550774</v>
      </c>
      <c r="E60" s="191">
        <f t="shared" si="14"/>
        <v>7.2308902886777632E-2</v>
      </c>
      <c r="F60" s="191">
        <f t="shared" si="14"/>
        <v>3.4514755819333935E-2</v>
      </c>
      <c r="G60" s="191">
        <f t="shared" si="14"/>
        <v>2.7126477226217582E-2</v>
      </c>
      <c r="H60" s="191">
        <f t="shared" si="14"/>
        <v>1</v>
      </c>
    </row>
    <row r="61" spans="1:8" x14ac:dyDescent="0.2">
      <c r="A61" s="33"/>
      <c r="B61" s="214"/>
      <c r="C61" s="191"/>
      <c r="D61" s="191"/>
      <c r="E61" s="191"/>
      <c r="F61" s="191"/>
      <c r="G61" s="191"/>
      <c r="H61" s="191"/>
    </row>
    <row r="62" spans="1:8" x14ac:dyDescent="0.2">
      <c r="A62" s="33" t="s">
        <v>81</v>
      </c>
      <c r="B62" s="214">
        <f t="shared" ref="B62:B67" si="15">B12</f>
        <v>21890</v>
      </c>
      <c r="C62" s="191">
        <f t="shared" ref="C62:H67" si="16">C36/$H36</f>
        <v>0.71943686099375181</v>
      </c>
      <c r="D62" s="191">
        <f t="shared" si="16"/>
        <v>0.14200290876492727</v>
      </c>
      <c r="E62" s="191">
        <f t="shared" si="16"/>
        <v>7.1010037364421519E-2</v>
      </c>
      <c r="F62" s="191">
        <f t="shared" si="16"/>
        <v>2.6034778084141237E-2</v>
      </c>
      <c r="G62" s="191">
        <f t="shared" si="16"/>
        <v>4.1515414792758235E-2</v>
      </c>
      <c r="H62" s="191">
        <f t="shared" si="16"/>
        <v>1</v>
      </c>
    </row>
    <row r="63" spans="1:8" x14ac:dyDescent="0.2">
      <c r="A63" s="33" t="s">
        <v>82</v>
      </c>
      <c r="B63" s="214">
        <f t="shared" si="15"/>
        <v>6282</v>
      </c>
      <c r="C63" s="191">
        <f t="shared" si="16"/>
        <v>0.73540740367866553</v>
      </c>
      <c r="D63" s="191">
        <f t="shared" si="16"/>
        <v>9.6953307962007476E-2</v>
      </c>
      <c r="E63" s="191">
        <f t="shared" si="16"/>
        <v>8.5872639722688202E-2</v>
      </c>
      <c r="F63" s="191">
        <f t="shared" si="16"/>
        <v>3.6448124857416199E-2</v>
      </c>
      <c r="G63" s="191">
        <f t="shared" si="16"/>
        <v>4.5318523779222714E-2</v>
      </c>
      <c r="H63" s="191">
        <f t="shared" si="16"/>
        <v>1</v>
      </c>
    </row>
    <row r="64" spans="1:8" x14ac:dyDescent="0.2">
      <c r="A64" s="33" t="s">
        <v>83</v>
      </c>
      <c r="B64" s="214">
        <f t="shared" si="15"/>
        <v>5828</v>
      </c>
      <c r="C64" s="191">
        <f t="shared" si="16"/>
        <v>0.6766243078829427</v>
      </c>
      <c r="D64" s="191">
        <f t="shared" si="16"/>
        <v>0.12744355269173388</v>
      </c>
      <c r="E64" s="191">
        <f t="shared" si="16"/>
        <v>0.10302879135233489</v>
      </c>
      <c r="F64" s="191">
        <f t="shared" si="16"/>
        <v>6.4780016610109195E-2</v>
      </c>
      <c r="G64" s="191">
        <f t="shared" si="16"/>
        <v>2.8123331462879368E-2</v>
      </c>
      <c r="H64" s="191">
        <f t="shared" si="16"/>
        <v>1</v>
      </c>
    </row>
    <row r="65" spans="1:8" x14ac:dyDescent="0.2">
      <c r="A65" s="33" t="s">
        <v>84</v>
      </c>
      <c r="B65" s="214">
        <f t="shared" si="15"/>
        <v>5163</v>
      </c>
      <c r="C65" s="191">
        <f t="shared" si="16"/>
        <v>0.64536988449179433</v>
      </c>
      <c r="D65" s="191">
        <f t="shared" si="16"/>
        <v>0.13864140806702954</v>
      </c>
      <c r="E65" s="191">
        <f t="shared" si="16"/>
        <v>0.10525615214485556</v>
      </c>
      <c r="F65" s="191">
        <f t="shared" si="16"/>
        <v>8.3393172461060219E-2</v>
      </c>
      <c r="G65" s="191">
        <f t="shared" si="16"/>
        <v>2.7339382835260398E-2</v>
      </c>
      <c r="H65" s="191">
        <f t="shared" si="16"/>
        <v>1</v>
      </c>
    </row>
    <row r="66" spans="1:8" x14ac:dyDescent="0.2">
      <c r="A66" s="33" t="s">
        <v>85</v>
      </c>
      <c r="B66" s="220">
        <f t="shared" si="15"/>
        <v>1384</v>
      </c>
      <c r="C66" s="193">
        <f t="shared" si="16"/>
        <v>0.63390650960278416</v>
      </c>
      <c r="D66" s="193">
        <f t="shared" si="16"/>
        <v>0.15328719908743374</v>
      </c>
      <c r="E66" s="193">
        <f t="shared" si="16"/>
        <v>0.11778859870912657</v>
      </c>
      <c r="F66" s="193">
        <f t="shared" si="16"/>
        <v>8.4547276292434512E-2</v>
      </c>
      <c r="G66" s="193">
        <f t="shared" si="16"/>
        <v>1.0470416308220837E-2</v>
      </c>
      <c r="H66" s="193">
        <f t="shared" si="16"/>
        <v>1</v>
      </c>
    </row>
    <row r="67" spans="1:8" x14ac:dyDescent="0.2">
      <c r="A67" s="33" t="s">
        <v>104</v>
      </c>
      <c r="B67" s="214">
        <f t="shared" si="15"/>
        <v>40547</v>
      </c>
      <c r="C67" s="191">
        <f t="shared" si="16"/>
        <v>0.69794220600366175</v>
      </c>
      <c r="D67" s="191">
        <f t="shared" si="16"/>
        <v>0.13348665566676723</v>
      </c>
      <c r="E67" s="191">
        <f t="shared" si="16"/>
        <v>8.6506762908797344E-2</v>
      </c>
      <c r="F67" s="191">
        <f t="shared" si="16"/>
        <v>4.6316119397480676E-2</v>
      </c>
      <c r="G67" s="191">
        <f t="shared" si="16"/>
        <v>3.5748256023292936E-2</v>
      </c>
      <c r="H67" s="191">
        <f t="shared" si="16"/>
        <v>1</v>
      </c>
    </row>
    <row r="68" spans="1:8" x14ac:dyDescent="0.2">
      <c r="A68" s="33"/>
      <c r="B68" s="214"/>
      <c r="C68" s="191"/>
      <c r="D68" s="191"/>
      <c r="E68" s="191"/>
      <c r="F68" s="191"/>
      <c r="G68" s="191"/>
      <c r="H68" s="191"/>
    </row>
    <row r="69" spans="1:8" x14ac:dyDescent="0.2">
      <c r="A69" s="33" t="s">
        <v>86</v>
      </c>
      <c r="B69" s="214">
        <f>B19</f>
        <v>10013</v>
      </c>
      <c r="C69" s="191">
        <f t="shared" ref="C69:H71" si="17">C43/$H43</f>
        <v>0.70525576370242926</v>
      </c>
      <c r="D69" s="191">
        <f t="shared" si="17"/>
        <v>0.12059615129647622</v>
      </c>
      <c r="E69" s="191">
        <f t="shared" si="17"/>
        <v>7.7903280611347908E-2</v>
      </c>
      <c r="F69" s="191">
        <f t="shared" si="17"/>
        <v>4.9083407820486202E-2</v>
      </c>
      <c r="G69" s="191">
        <f t="shared" si="17"/>
        <v>4.716139656926039E-2</v>
      </c>
      <c r="H69" s="191">
        <f t="shared" si="17"/>
        <v>1</v>
      </c>
    </row>
    <row r="70" spans="1:8" x14ac:dyDescent="0.2">
      <c r="A70" s="33" t="s">
        <v>87</v>
      </c>
      <c r="B70" s="220">
        <f>B20</f>
        <v>7466</v>
      </c>
      <c r="C70" s="193">
        <f t="shared" si="17"/>
        <v>0.66089663116176978</v>
      </c>
      <c r="D70" s="193">
        <f t="shared" si="17"/>
        <v>0.12456530232328394</v>
      </c>
      <c r="E70" s="193">
        <f t="shared" si="17"/>
        <v>0.10576670623485018</v>
      </c>
      <c r="F70" s="193">
        <f t="shared" si="17"/>
        <v>7.9238290180615831E-2</v>
      </c>
      <c r="G70" s="193">
        <f t="shared" si="17"/>
        <v>2.9533070099480287E-2</v>
      </c>
      <c r="H70" s="193">
        <f t="shared" si="17"/>
        <v>1</v>
      </c>
    </row>
    <row r="71" spans="1:8" x14ac:dyDescent="0.2">
      <c r="A71" s="33" t="s">
        <v>105</v>
      </c>
      <c r="B71" s="214">
        <f>B21</f>
        <v>17479</v>
      </c>
      <c r="C71" s="191">
        <f t="shared" si="17"/>
        <v>0.68128008628978143</v>
      </c>
      <c r="D71" s="191">
        <f t="shared" si="17"/>
        <v>0.12274143861771937</v>
      </c>
      <c r="E71" s="191">
        <f t="shared" si="17"/>
        <v>9.2963189723593645E-2</v>
      </c>
      <c r="F71" s="191">
        <f t="shared" si="17"/>
        <v>6.5381826893945894E-2</v>
      </c>
      <c r="G71" s="191">
        <f t="shared" si="17"/>
        <v>3.7633458474959587E-2</v>
      </c>
      <c r="H71" s="191">
        <f t="shared" si="17"/>
        <v>1</v>
      </c>
    </row>
    <row r="72" spans="1:8" x14ac:dyDescent="0.2">
      <c r="A72" s="33"/>
      <c r="B72" s="214"/>
      <c r="C72" s="191"/>
      <c r="D72" s="191"/>
      <c r="E72" s="191"/>
      <c r="F72" s="191"/>
      <c r="G72" s="191"/>
      <c r="H72" s="191"/>
    </row>
    <row r="73" spans="1:8" ht="13.5" thickBot="1" x14ac:dyDescent="0.25">
      <c r="A73" s="33" t="s">
        <v>230</v>
      </c>
      <c r="B73" s="222">
        <f>B71+B67+B60</f>
        <v>147965</v>
      </c>
      <c r="C73" s="195">
        <f t="shared" ref="C73:H73" si="18">C47/$H47</f>
        <v>0.72654490367439561</v>
      </c>
      <c r="D73" s="195">
        <f t="shared" si="18"/>
        <v>0.12088842270114163</v>
      </c>
      <c r="E73" s="195">
        <f t="shared" si="18"/>
        <v>7.9300237589947309E-2</v>
      </c>
      <c r="F73" s="195">
        <f t="shared" si="18"/>
        <v>4.2168125091682135E-2</v>
      </c>
      <c r="G73" s="195">
        <f t="shared" si="18"/>
        <v>3.1098310942833433E-2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82"/>
  <sheetViews>
    <sheetView zoomScaleNormal="100" workbookViewId="0">
      <selection activeCell="M12" sqref="M1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1328</v>
      </c>
      <c r="D2" s="22"/>
      <c r="E2" s="22"/>
      <c r="F2" s="22"/>
      <c r="G2" s="22"/>
      <c r="H2" s="22"/>
      <c r="I2" s="22"/>
    </row>
    <row r="3" spans="1:26" ht="22.5" x14ac:dyDescent="0.2">
      <c r="A3" s="20" t="s">
        <v>245</v>
      </c>
      <c r="B3" s="21" t="str">
        <f>"ANB"&amp;RIGHT(C2,2)</f>
        <v>ANB17</v>
      </c>
      <c r="C3" s="202" t="str">
        <f>RIGHT(C2,2)&amp;"/Pupil Property Tax"</f>
        <v>17/Pupil Property Tax</v>
      </c>
      <c r="D3" s="202" t="str">
        <f>RIGHT(C2,2)&amp;"/Pupil Non Levy Revenue"</f>
        <v>17/Pupil Non Levy Revenue</v>
      </c>
      <c r="E3" s="202" t="str">
        <f>RIGHT(C2,2)&amp;"/Pupil County Revenue"</f>
        <v>17/Pupil County Revenue</v>
      </c>
      <c r="F3" s="202" t="str">
        <f>RIGHT(C2,2)&amp;"/Pupil State Revenue"</f>
        <v>17/Pupil State Revenue</v>
      </c>
      <c r="G3" s="202" t="str">
        <f>RIGHT(C2,2)&amp;"/Pupil Federal Revenue"</f>
        <v>17/Pupil Federal Revenue</v>
      </c>
      <c r="H3" s="202" t="str">
        <f>RIGHT(C2,2)&amp;"/Pupil Total Revenue"</f>
        <v>17/Pupil Total Revenue</v>
      </c>
      <c r="I3" s="202" t="str">
        <f>RIGHT(C2,2)&amp;"/Rev Per ANB"</f>
        <v>17/Rev Per ANB</v>
      </c>
      <c r="J3" s="202"/>
      <c r="L3" s="287"/>
      <c r="M3" s="278"/>
      <c r="N3" s="290"/>
      <c r="O3" s="290"/>
      <c r="P3" s="290"/>
      <c r="Q3" s="290"/>
      <c r="R3" s="290"/>
      <c r="S3" s="290"/>
      <c r="T3" s="290"/>
    </row>
    <row r="4" spans="1:26" ht="15" x14ac:dyDescent="0.25">
      <c r="A4" s="33" t="s">
        <v>102</v>
      </c>
      <c r="B4" s="214">
        <v>40904</v>
      </c>
      <c r="C4" s="214">
        <v>120345505.5</v>
      </c>
      <c r="D4" s="214">
        <v>22258266.809999999</v>
      </c>
      <c r="E4" s="214">
        <v>39369806.659999996</v>
      </c>
      <c r="F4" s="214">
        <v>186195312.61000001</v>
      </c>
      <c r="G4" s="214">
        <v>42431831.57</v>
      </c>
      <c r="H4" s="229">
        <f t="shared" ref="H4:H9" si="0">SUM(C4:G4)</f>
        <v>410600723.15000004</v>
      </c>
      <c r="I4" s="321">
        <f t="shared" ref="I4:I10" si="1">H4/B4</f>
        <v>10038.155758605517</v>
      </c>
      <c r="J4" s="221"/>
      <c r="L4" s="283"/>
      <c r="M4" s="289"/>
      <c r="N4" s="289"/>
      <c r="O4" s="289"/>
      <c r="P4" s="289"/>
      <c r="Q4" s="289"/>
      <c r="R4" s="289"/>
      <c r="S4" s="289"/>
      <c r="T4" s="289"/>
      <c r="U4" s="268"/>
      <c r="V4" s="268"/>
      <c r="W4" s="268"/>
      <c r="X4" s="268"/>
      <c r="Y4" s="268"/>
      <c r="Z4" s="268"/>
    </row>
    <row r="5" spans="1:26" ht="15" x14ac:dyDescent="0.25">
      <c r="A5" s="33" t="s">
        <v>76</v>
      </c>
      <c r="B5" s="214">
        <v>20549</v>
      </c>
      <c r="C5" s="214">
        <v>49424693.710000001</v>
      </c>
      <c r="D5" s="214">
        <v>13255850.9</v>
      </c>
      <c r="E5" s="214">
        <v>20357762.41</v>
      </c>
      <c r="F5" s="214">
        <v>99051955.080000013</v>
      </c>
      <c r="G5" s="214">
        <v>40004392.979999997</v>
      </c>
      <c r="H5" s="229">
        <f t="shared" si="0"/>
        <v>222094655.08000001</v>
      </c>
      <c r="I5" s="321">
        <f t="shared" si="1"/>
        <v>10808.051733904327</v>
      </c>
      <c r="J5" s="221"/>
      <c r="L5" s="283"/>
      <c r="M5" s="289"/>
      <c r="N5" s="289"/>
      <c r="O5" s="289"/>
      <c r="P5" s="289"/>
      <c r="Q5" s="289"/>
      <c r="R5" s="289"/>
      <c r="S5" s="289"/>
      <c r="T5" s="289"/>
      <c r="U5" s="268"/>
      <c r="V5" s="268"/>
      <c r="W5" s="268"/>
      <c r="X5" s="268"/>
      <c r="Y5" s="268"/>
      <c r="Z5" s="268"/>
    </row>
    <row r="6" spans="1:26" ht="15" x14ac:dyDescent="0.25">
      <c r="A6" s="33" t="s">
        <v>77</v>
      </c>
      <c r="B6" s="214">
        <v>15272</v>
      </c>
      <c r="C6" s="214">
        <v>36247867.460000001</v>
      </c>
      <c r="D6" s="214">
        <v>14274044.489999998</v>
      </c>
      <c r="E6" s="214">
        <v>14562307.959999999</v>
      </c>
      <c r="F6" s="214">
        <v>73850595.629999995</v>
      </c>
      <c r="G6" s="214">
        <v>26842013.169999998</v>
      </c>
      <c r="H6" s="229">
        <f t="shared" si="0"/>
        <v>165776828.70999998</v>
      </c>
      <c r="I6" s="321">
        <f t="shared" si="1"/>
        <v>10854.952115636457</v>
      </c>
      <c r="J6" s="221"/>
      <c r="L6" s="283"/>
      <c r="M6" s="289"/>
      <c r="N6" s="289"/>
      <c r="O6" s="289"/>
      <c r="P6" s="289"/>
      <c r="Q6" s="289"/>
      <c r="R6" s="289"/>
      <c r="S6" s="289"/>
      <c r="T6" s="289"/>
      <c r="U6" s="268"/>
      <c r="V6" s="268"/>
      <c r="W6" s="268"/>
      <c r="X6" s="268"/>
      <c r="Y6" s="268"/>
      <c r="Z6" s="268"/>
    </row>
    <row r="7" spans="1:26" ht="15" x14ac:dyDescent="0.25">
      <c r="A7" s="33" t="s">
        <v>78</v>
      </c>
      <c r="B7" s="214">
        <v>12245</v>
      </c>
      <c r="C7" s="214">
        <v>32952851.070000004</v>
      </c>
      <c r="D7" s="214">
        <v>12330515.379999997</v>
      </c>
      <c r="E7" s="214">
        <v>11902123.209999999</v>
      </c>
      <c r="F7" s="214">
        <v>59526155.909999989</v>
      </c>
      <c r="G7" s="214">
        <v>22149421.039999999</v>
      </c>
      <c r="H7" s="229">
        <f t="shared" si="0"/>
        <v>138861066.60999998</v>
      </c>
      <c r="I7" s="321">
        <f t="shared" si="1"/>
        <v>11340.225937933848</v>
      </c>
      <c r="J7" s="221"/>
      <c r="L7" s="283"/>
      <c r="M7" s="289"/>
      <c r="N7" s="289"/>
      <c r="O7" s="289"/>
      <c r="P7" s="289"/>
      <c r="Q7" s="289"/>
      <c r="R7" s="289"/>
      <c r="S7" s="289"/>
      <c r="T7" s="289"/>
      <c r="U7" s="268"/>
      <c r="V7" s="268"/>
      <c r="W7" s="268"/>
      <c r="X7" s="268"/>
      <c r="Y7" s="268"/>
      <c r="Z7" s="268"/>
    </row>
    <row r="8" spans="1:26" ht="15" x14ac:dyDescent="0.25">
      <c r="A8" s="33" t="s">
        <v>79</v>
      </c>
      <c r="B8" s="214">
        <v>4891</v>
      </c>
      <c r="C8" s="214">
        <v>16912253.870000005</v>
      </c>
      <c r="D8" s="214">
        <v>7529655.1999999983</v>
      </c>
      <c r="E8" s="214">
        <v>5525955.0800000001</v>
      </c>
      <c r="F8" s="214">
        <v>24647172.16</v>
      </c>
      <c r="G8" s="214">
        <v>9403796.4100000001</v>
      </c>
      <c r="H8" s="229">
        <f t="shared" si="0"/>
        <v>64018832.719999999</v>
      </c>
      <c r="I8" s="321">
        <f t="shared" si="1"/>
        <v>13089.109122878757</v>
      </c>
      <c r="J8" s="221"/>
      <c r="L8" s="283"/>
      <c r="M8" s="289"/>
      <c r="N8" s="289"/>
      <c r="O8" s="289"/>
      <c r="P8" s="289"/>
      <c r="Q8" s="289"/>
      <c r="R8" s="289"/>
      <c r="S8" s="289"/>
      <c r="T8" s="289"/>
      <c r="U8" s="268"/>
      <c r="V8" s="268"/>
      <c r="W8" s="268"/>
      <c r="X8" s="268"/>
      <c r="Y8" s="268"/>
      <c r="Z8" s="268"/>
    </row>
    <row r="9" spans="1:26" ht="15" x14ac:dyDescent="0.25">
      <c r="A9" s="33" t="s">
        <v>80</v>
      </c>
      <c r="B9" s="220">
        <v>1519</v>
      </c>
      <c r="C9" s="220">
        <v>5604447.1699999971</v>
      </c>
      <c r="D9" s="220">
        <v>3669214.54</v>
      </c>
      <c r="E9" s="220">
        <v>1906312.2600000002</v>
      </c>
      <c r="F9" s="220">
        <v>9038582.1899999995</v>
      </c>
      <c r="G9" s="220">
        <v>3389905.7700000005</v>
      </c>
      <c r="H9" s="238">
        <f t="shared" si="0"/>
        <v>23608461.929999996</v>
      </c>
      <c r="I9" s="322">
        <f t="shared" si="1"/>
        <v>15542.107919684</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95380</v>
      </c>
      <c r="C10" s="229">
        <f t="shared" si="2"/>
        <v>261487618.78</v>
      </c>
      <c r="D10" s="229">
        <f t="shared" si="2"/>
        <v>73317547.320000008</v>
      </c>
      <c r="E10" s="229">
        <f t="shared" si="2"/>
        <v>93624267.579999983</v>
      </c>
      <c r="F10" s="229">
        <f t="shared" si="2"/>
        <v>452309773.58000004</v>
      </c>
      <c r="G10" s="229">
        <f t="shared" si="2"/>
        <v>144221360.94</v>
      </c>
      <c r="H10" s="229">
        <f t="shared" si="2"/>
        <v>1024960568.2</v>
      </c>
      <c r="I10" s="321">
        <f t="shared" si="1"/>
        <v>10746.074315370099</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21519</v>
      </c>
      <c r="C13" s="214">
        <v>74326582.189999998</v>
      </c>
      <c r="D13" s="214">
        <v>20216660.5</v>
      </c>
      <c r="E13" s="214">
        <v>24036478.470000003</v>
      </c>
      <c r="F13" s="214">
        <v>107961339.08999999</v>
      </c>
      <c r="G13" s="214">
        <v>13908662.890000001</v>
      </c>
      <c r="H13" s="229">
        <f>SUM(C13:G13)</f>
        <v>240449723.13999999</v>
      </c>
      <c r="I13" s="321">
        <f t="shared" ref="I13:I18" si="3">H13/B13</f>
        <v>11173.833502486174</v>
      </c>
      <c r="J13" s="221"/>
      <c r="L13" s="283"/>
      <c r="M13" s="289"/>
      <c r="N13" s="289"/>
      <c r="O13" s="289"/>
      <c r="P13" s="289"/>
      <c r="Q13" s="289"/>
      <c r="R13" s="289"/>
      <c r="S13" s="289"/>
      <c r="T13" s="289"/>
      <c r="U13" s="268"/>
      <c r="V13" s="268"/>
      <c r="W13" s="268"/>
      <c r="X13" s="268"/>
      <c r="Y13" s="268"/>
      <c r="Z13" s="268"/>
    </row>
    <row r="14" spans="1:26" ht="15" x14ac:dyDescent="0.25">
      <c r="A14" s="33" t="s">
        <v>82</v>
      </c>
      <c r="B14" s="214">
        <v>5945</v>
      </c>
      <c r="C14" s="214">
        <v>23267199.710000001</v>
      </c>
      <c r="D14" s="214">
        <v>6624685.8999999985</v>
      </c>
      <c r="E14" s="214">
        <v>6577509.0700000003</v>
      </c>
      <c r="F14" s="214">
        <v>30939506.07</v>
      </c>
      <c r="G14" s="214">
        <v>8409799.8200000003</v>
      </c>
      <c r="H14" s="229">
        <f>SUM(C14:G14)</f>
        <v>75818700.569999993</v>
      </c>
      <c r="I14" s="321">
        <f t="shared" si="3"/>
        <v>12753.355857022707</v>
      </c>
      <c r="J14" s="221"/>
      <c r="L14" s="283"/>
      <c r="M14" s="289"/>
      <c r="N14" s="289"/>
      <c r="O14" s="289"/>
      <c r="P14" s="289"/>
      <c r="Q14" s="289"/>
      <c r="R14" s="289"/>
      <c r="S14" s="289"/>
      <c r="T14" s="289"/>
      <c r="U14" s="268"/>
      <c r="V14" s="268"/>
      <c r="W14" s="268"/>
      <c r="X14" s="268"/>
      <c r="Y14" s="268"/>
      <c r="Z14" s="268"/>
    </row>
    <row r="15" spans="1:26" ht="15" x14ac:dyDescent="0.25">
      <c r="A15" s="33" t="s">
        <v>83</v>
      </c>
      <c r="B15" s="214">
        <v>4371</v>
      </c>
      <c r="C15" s="214">
        <v>14741625.120000001</v>
      </c>
      <c r="D15" s="214">
        <v>6394821.3400000008</v>
      </c>
      <c r="E15" s="214">
        <v>5216853.54</v>
      </c>
      <c r="F15" s="214">
        <v>24838558.029999997</v>
      </c>
      <c r="G15" s="214">
        <v>5202592.4099999992</v>
      </c>
      <c r="H15" s="229">
        <f>SUM(C15:G15)</f>
        <v>56394450.439999998</v>
      </c>
      <c r="I15" s="321">
        <f t="shared" si="3"/>
        <v>12901.956174788378</v>
      </c>
      <c r="J15" s="221"/>
      <c r="L15" s="283"/>
      <c r="M15" s="289"/>
      <c r="N15" s="289"/>
      <c r="O15" s="289"/>
      <c r="P15" s="289"/>
      <c r="Q15" s="289"/>
      <c r="R15" s="289"/>
      <c r="S15" s="289"/>
      <c r="T15" s="289"/>
      <c r="U15" s="268"/>
      <c r="V15" s="268"/>
      <c r="W15" s="268"/>
      <c r="X15" s="268"/>
      <c r="Y15" s="268"/>
      <c r="Z15" s="268"/>
    </row>
    <row r="16" spans="1:26" ht="15" x14ac:dyDescent="0.25">
      <c r="A16" s="33" t="s">
        <v>84</v>
      </c>
      <c r="B16" s="214">
        <v>4839</v>
      </c>
      <c r="C16" s="214">
        <v>22049509.260000002</v>
      </c>
      <c r="D16" s="214">
        <v>9604579.3999999966</v>
      </c>
      <c r="E16" s="214">
        <v>6867860.8599999994</v>
      </c>
      <c r="F16" s="214">
        <v>31405796.77</v>
      </c>
      <c r="G16" s="214">
        <v>9206450.9300000016</v>
      </c>
      <c r="H16" s="229">
        <f>SUM(C16:G16)</f>
        <v>79134197.219999999</v>
      </c>
      <c r="I16" s="321">
        <f t="shared" si="3"/>
        <v>16353.419553626782</v>
      </c>
      <c r="J16" s="221"/>
      <c r="L16" s="283"/>
      <c r="M16" s="289"/>
      <c r="N16" s="289"/>
      <c r="O16" s="289"/>
      <c r="P16" s="289"/>
      <c r="Q16" s="289"/>
      <c r="R16" s="289"/>
      <c r="S16" s="289"/>
      <c r="T16" s="289"/>
      <c r="U16" s="268"/>
      <c r="V16" s="268"/>
      <c r="W16" s="268"/>
      <c r="X16" s="268"/>
      <c r="Y16" s="268"/>
      <c r="Z16" s="268"/>
    </row>
    <row r="17" spans="1:26" ht="15" x14ac:dyDescent="0.25">
      <c r="A17" s="33" t="s">
        <v>85</v>
      </c>
      <c r="B17" s="220">
        <v>1571</v>
      </c>
      <c r="C17" s="220">
        <v>11243468.959999999</v>
      </c>
      <c r="D17" s="220">
        <v>5174104.1899999995</v>
      </c>
      <c r="E17" s="220">
        <v>3315163.2500000005</v>
      </c>
      <c r="F17" s="220">
        <v>14459449.99</v>
      </c>
      <c r="G17" s="220">
        <v>2825182.2999999993</v>
      </c>
      <c r="H17" s="238">
        <f>SUM(C17:G17)</f>
        <v>37017368.689999998</v>
      </c>
      <c r="I17" s="322">
        <f t="shared" si="3"/>
        <v>23562.933602800764</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38245</v>
      </c>
      <c r="C18" s="229">
        <f t="shared" si="4"/>
        <v>145628385.24000001</v>
      </c>
      <c r="D18" s="229">
        <f t="shared" si="4"/>
        <v>48014851.329999991</v>
      </c>
      <c r="E18" s="229">
        <f t="shared" si="4"/>
        <v>46013865.190000005</v>
      </c>
      <c r="F18" s="229">
        <f t="shared" si="4"/>
        <v>209604649.95000002</v>
      </c>
      <c r="G18" s="229">
        <f t="shared" si="4"/>
        <v>39552688.350000001</v>
      </c>
      <c r="H18" s="229">
        <f t="shared" si="4"/>
        <v>488814440.06</v>
      </c>
      <c r="I18" s="321">
        <f t="shared" si="3"/>
        <v>12781.133221597594</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10156</v>
      </c>
      <c r="C21" s="214">
        <v>26847773.039999999</v>
      </c>
      <c r="D21" s="214">
        <v>10708215.979999999</v>
      </c>
      <c r="E21" s="214">
        <v>10287450.130000001</v>
      </c>
      <c r="F21" s="214">
        <v>51584975.339999996</v>
      </c>
      <c r="G21" s="214">
        <v>11074406.600000001</v>
      </c>
      <c r="H21" s="221">
        <f>SUM(C21:G21)</f>
        <v>110502821.09</v>
      </c>
      <c r="I21" s="321">
        <f>H21/B21</f>
        <v>10880.545597676251</v>
      </c>
      <c r="J21" s="221"/>
      <c r="L21" s="283"/>
      <c r="M21" s="289"/>
      <c r="N21" s="289"/>
      <c r="O21" s="289"/>
      <c r="P21" s="289"/>
      <c r="Q21" s="289"/>
      <c r="R21" s="289"/>
      <c r="S21" s="289"/>
      <c r="T21" s="289"/>
      <c r="U21" s="268"/>
      <c r="V21" s="268"/>
      <c r="W21" s="268"/>
      <c r="X21" s="268"/>
      <c r="Y21" s="268"/>
      <c r="Z21" s="268"/>
    </row>
    <row r="22" spans="1:26" ht="15" x14ac:dyDescent="0.25">
      <c r="A22" s="33" t="s">
        <v>87</v>
      </c>
      <c r="B22" s="220">
        <v>7652</v>
      </c>
      <c r="C22" s="220">
        <v>37250222.280000001</v>
      </c>
      <c r="D22" s="220">
        <v>14618544.230000002</v>
      </c>
      <c r="E22" s="220">
        <v>10767284.560000002</v>
      </c>
      <c r="F22" s="220">
        <v>46204182.5</v>
      </c>
      <c r="G22" s="220">
        <v>12142697.489999998</v>
      </c>
      <c r="H22" s="220">
        <f>SUM(C22:G22)</f>
        <v>120982931.06</v>
      </c>
      <c r="I22" s="322">
        <f>H22/B22</f>
        <v>15810.628732357554</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17808</v>
      </c>
      <c r="C23" s="221">
        <f t="shared" si="5"/>
        <v>64097995.32</v>
      </c>
      <c r="D23" s="221">
        <f t="shared" si="5"/>
        <v>25326760.210000001</v>
      </c>
      <c r="E23" s="221">
        <f t="shared" si="5"/>
        <v>21054734.690000005</v>
      </c>
      <c r="F23" s="221">
        <f t="shared" si="5"/>
        <v>97789157.840000004</v>
      </c>
      <c r="G23" s="221">
        <f t="shared" si="5"/>
        <v>23217104.09</v>
      </c>
      <c r="H23" s="221">
        <f t="shared" si="5"/>
        <v>231485752.15000001</v>
      </c>
      <c r="I23" s="323">
        <f>H23/B23</f>
        <v>12998.975300426775</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151433</v>
      </c>
      <c r="C25" s="192">
        <f t="shared" ref="C25:H25" si="6">C10+C18+C23</f>
        <v>471213999.33999997</v>
      </c>
      <c r="D25" s="192">
        <f t="shared" si="6"/>
        <v>146659158.86000001</v>
      </c>
      <c r="E25" s="192">
        <f t="shared" si="6"/>
        <v>160692867.45999998</v>
      </c>
      <c r="F25" s="192">
        <f t="shared" si="6"/>
        <v>759703581.37000012</v>
      </c>
      <c r="G25" s="192">
        <f t="shared" si="6"/>
        <v>206991153.38</v>
      </c>
      <c r="H25" s="192">
        <f t="shared" si="6"/>
        <v>1745260760.4100001</v>
      </c>
      <c r="I25" s="222">
        <f>H25/B25</f>
        <v>11524.969857362663</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FY17</v>
      </c>
      <c r="C29" s="223"/>
      <c r="D29" s="223"/>
      <c r="E29" s="223"/>
      <c r="F29" s="223"/>
      <c r="G29" s="223"/>
      <c r="H29" s="223"/>
      <c r="I29" s="182"/>
    </row>
    <row r="30" spans="1:26" ht="22.5" x14ac:dyDescent="0.2">
      <c r="A30" s="20" t="s">
        <v>245</v>
      </c>
      <c r="B30" s="202" t="str">
        <f>B3</f>
        <v>ANB17</v>
      </c>
      <c r="C30" s="202" t="str">
        <f t="shared" ref="C30:G30" si="7">C3</f>
        <v>17/Pupil Property Tax</v>
      </c>
      <c r="D30" s="202" t="str">
        <f t="shared" si="7"/>
        <v>17/Pupil Non Levy Revenue</v>
      </c>
      <c r="E30" s="202" t="str">
        <f t="shared" si="7"/>
        <v>17/Pupil County Revenue</v>
      </c>
      <c r="F30" s="202" t="str">
        <f t="shared" si="7"/>
        <v>17/Pupil State Revenue</v>
      </c>
      <c r="G30" s="202" t="str">
        <f t="shared" si="7"/>
        <v>17/Pupil Federal Revenue</v>
      </c>
      <c r="H30" s="202" t="str">
        <f>I3</f>
        <v>17/Rev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40904</v>
      </c>
      <c r="C32" s="182">
        <f t="shared" ref="C32:H38" si="9">C4/$B32</f>
        <v>2942.1451569528654</v>
      </c>
      <c r="D32" s="182">
        <f t="shared" si="9"/>
        <v>544.15868399178567</v>
      </c>
      <c r="E32" s="182">
        <f t="shared" si="9"/>
        <v>962.49282857422247</v>
      </c>
      <c r="F32" s="182">
        <f t="shared" si="9"/>
        <v>4552.0074469489537</v>
      </c>
      <c r="G32" s="182">
        <f t="shared" si="9"/>
        <v>1037.3516421376883</v>
      </c>
      <c r="H32" s="182">
        <f t="shared" si="9"/>
        <v>10038.155758605517</v>
      </c>
      <c r="I32" s="182"/>
      <c r="J32" s="182"/>
    </row>
    <row r="33" spans="1:10" x14ac:dyDescent="0.2">
      <c r="A33" s="33" t="s">
        <v>76</v>
      </c>
      <c r="B33" s="221">
        <f t="shared" si="8"/>
        <v>20549</v>
      </c>
      <c r="C33" s="182">
        <f t="shared" si="9"/>
        <v>2405.2116263565135</v>
      </c>
      <c r="D33" s="182">
        <f t="shared" si="9"/>
        <v>645.08496277191102</v>
      </c>
      <c r="E33" s="182">
        <f t="shared" si="9"/>
        <v>990.69358168280701</v>
      </c>
      <c r="F33" s="182">
        <f t="shared" si="9"/>
        <v>4820.2810394666412</v>
      </c>
      <c r="G33" s="182">
        <f t="shared" si="9"/>
        <v>1946.7805236264537</v>
      </c>
      <c r="H33" s="182">
        <f t="shared" si="9"/>
        <v>10808.051733904327</v>
      </c>
      <c r="I33" s="182"/>
      <c r="J33" s="182"/>
    </row>
    <row r="34" spans="1:10" x14ac:dyDescent="0.2">
      <c r="A34" s="33" t="s">
        <v>77</v>
      </c>
      <c r="B34" s="221">
        <f t="shared" si="8"/>
        <v>15272</v>
      </c>
      <c r="C34" s="182">
        <f t="shared" si="9"/>
        <v>2373.4852972760609</v>
      </c>
      <c r="D34" s="182">
        <f t="shared" si="9"/>
        <v>934.65456325301193</v>
      </c>
      <c r="E34" s="182">
        <f t="shared" si="9"/>
        <v>953.52985594552115</v>
      </c>
      <c r="F34" s="182">
        <f t="shared" si="9"/>
        <v>4835.6859370089051</v>
      </c>
      <c r="G34" s="182">
        <f t="shared" si="9"/>
        <v>1757.5964621529595</v>
      </c>
      <c r="H34" s="182">
        <f t="shared" si="9"/>
        <v>10854.952115636457</v>
      </c>
      <c r="I34" s="182"/>
      <c r="J34" s="182"/>
    </row>
    <row r="35" spans="1:10" x14ac:dyDescent="0.2">
      <c r="A35" s="33" t="s">
        <v>78</v>
      </c>
      <c r="B35" s="221">
        <f t="shared" si="8"/>
        <v>12245</v>
      </c>
      <c r="C35" s="182">
        <f t="shared" si="9"/>
        <v>2691.1270779910169</v>
      </c>
      <c r="D35" s="182">
        <f t="shared" si="9"/>
        <v>1006.9836978358511</v>
      </c>
      <c r="E35" s="182">
        <f t="shared" si="9"/>
        <v>971.99862882809305</v>
      </c>
      <c r="F35" s="182">
        <f t="shared" si="9"/>
        <v>4861.2622221314814</v>
      </c>
      <c r="G35" s="182">
        <f t="shared" si="9"/>
        <v>1808.8543111474071</v>
      </c>
      <c r="H35" s="182">
        <f t="shared" si="9"/>
        <v>11340.225937933848</v>
      </c>
      <c r="I35" s="182"/>
      <c r="J35" s="182"/>
    </row>
    <row r="36" spans="1:10" x14ac:dyDescent="0.2">
      <c r="A36" s="33" t="s">
        <v>79</v>
      </c>
      <c r="B36" s="221">
        <f t="shared" si="8"/>
        <v>4891</v>
      </c>
      <c r="C36" s="182">
        <f t="shared" si="9"/>
        <v>3457.8315007156011</v>
      </c>
      <c r="D36" s="182">
        <f t="shared" si="9"/>
        <v>1539.4919648333671</v>
      </c>
      <c r="E36" s="182">
        <f t="shared" si="9"/>
        <v>1129.8211163361275</v>
      </c>
      <c r="F36" s="182">
        <f t="shared" si="9"/>
        <v>5039.2909752606829</v>
      </c>
      <c r="G36" s="182">
        <f t="shared" si="9"/>
        <v>1922.6735657329789</v>
      </c>
      <c r="H36" s="182">
        <f t="shared" si="9"/>
        <v>13089.109122878757</v>
      </c>
      <c r="I36" s="182"/>
      <c r="J36" s="182"/>
    </row>
    <row r="37" spans="1:10" x14ac:dyDescent="0.2">
      <c r="A37" s="33" t="s">
        <v>80</v>
      </c>
      <c r="B37" s="220">
        <f t="shared" si="8"/>
        <v>1519</v>
      </c>
      <c r="C37" s="183">
        <f t="shared" si="9"/>
        <v>3689.5636405529935</v>
      </c>
      <c r="D37" s="183">
        <f t="shared" si="9"/>
        <v>2415.5461092824225</v>
      </c>
      <c r="E37" s="183">
        <f t="shared" si="9"/>
        <v>1254.9784463462806</v>
      </c>
      <c r="F37" s="183">
        <f t="shared" si="9"/>
        <v>5950.3503554970375</v>
      </c>
      <c r="G37" s="183">
        <f t="shared" si="9"/>
        <v>2231.6693680052667</v>
      </c>
      <c r="H37" s="183">
        <f t="shared" si="9"/>
        <v>15542.107919684</v>
      </c>
      <c r="I37" s="182"/>
      <c r="J37" s="182"/>
    </row>
    <row r="38" spans="1:10" x14ac:dyDescent="0.2">
      <c r="A38" s="33" t="s">
        <v>171</v>
      </c>
      <c r="B38" s="221">
        <f>SUM(B32:B37)</f>
        <v>95380</v>
      </c>
      <c r="C38" s="182">
        <f t="shared" si="9"/>
        <v>2741.5351098762844</v>
      </c>
      <c r="D38" s="182">
        <f t="shared" si="9"/>
        <v>768.68890039840642</v>
      </c>
      <c r="E38" s="182">
        <f t="shared" si="9"/>
        <v>981.59223715663643</v>
      </c>
      <c r="F38" s="182">
        <f t="shared" si="9"/>
        <v>4742.1867643111764</v>
      </c>
      <c r="G38" s="182">
        <f t="shared" si="9"/>
        <v>1512.0713036275949</v>
      </c>
      <c r="H38" s="182">
        <f t="shared" si="9"/>
        <v>10746.074315370099</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21519</v>
      </c>
      <c r="C41" s="182">
        <f t="shared" ref="C41:H46" si="10">C13/$B41</f>
        <v>3453.9979641247269</v>
      </c>
      <c r="D41" s="182">
        <f t="shared" si="10"/>
        <v>939.47955295320412</v>
      </c>
      <c r="E41" s="182">
        <f t="shared" si="10"/>
        <v>1116.9886365537434</v>
      </c>
      <c r="F41" s="182">
        <f t="shared" si="10"/>
        <v>5017.0239829917746</v>
      </c>
      <c r="G41" s="182">
        <f t="shared" si="10"/>
        <v>646.34336586272605</v>
      </c>
      <c r="H41" s="182">
        <f t="shared" si="10"/>
        <v>11173.833502486174</v>
      </c>
      <c r="I41" s="182"/>
      <c r="J41" s="182"/>
    </row>
    <row r="42" spans="1:10" x14ac:dyDescent="0.2">
      <c r="A42" s="33" t="s">
        <v>82</v>
      </c>
      <c r="B42" s="221">
        <f>B14</f>
        <v>5945</v>
      </c>
      <c r="C42" s="182">
        <f t="shared" si="10"/>
        <v>3913.7425920941969</v>
      </c>
      <c r="D42" s="182">
        <f t="shared" si="10"/>
        <v>1114.3289991589568</v>
      </c>
      <c r="E42" s="182">
        <f t="shared" si="10"/>
        <v>1106.3934516400336</v>
      </c>
      <c r="F42" s="182">
        <f t="shared" si="10"/>
        <v>5204.2903397813288</v>
      </c>
      <c r="G42" s="182">
        <f t="shared" si="10"/>
        <v>1414.6004743481917</v>
      </c>
      <c r="H42" s="182">
        <f t="shared" si="10"/>
        <v>12753.355857022707</v>
      </c>
      <c r="I42" s="182"/>
      <c r="J42" s="182"/>
    </row>
    <row r="43" spans="1:10" x14ac:dyDescent="0.2">
      <c r="A43" s="33" t="s">
        <v>83</v>
      </c>
      <c r="B43" s="221">
        <f>B15</f>
        <v>4371</v>
      </c>
      <c r="C43" s="182">
        <f t="shared" si="10"/>
        <v>3372.5978311599179</v>
      </c>
      <c r="D43" s="182">
        <f t="shared" si="10"/>
        <v>1463.0110592541755</v>
      </c>
      <c r="E43" s="182">
        <f t="shared" si="10"/>
        <v>1193.5148798901853</v>
      </c>
      <c r="F43" s="182">
        <f t="shared" si="10"/>
        <v>5682.5801944635086</v>
      </c>
      <c r="G43" s="182">
        <f t="shared" si="10"/>
        <v>1190.2522100205902</v>
      </c>
      <c r="H43" s="182">
        <f t="shared" si="10"/>
        <v>12901.956174788378</v>
      </c>
      <c r="I43" s="182"/>
      <c r="J43" s="182"/>
    </row>
    <row r="44" spans="1:10" x14ac:dyDescent="0.2">
      <c r="A44" s="33" t="s">
        <v>84</v>
      </c>
      <c r="B44" s="221">
        <f>B16</f>
        <v>4839</v>
      </c>
      <c r="C44" s="182">
        <f t="shared" si="10"/>
        <v>4556.6251828890272</v>
      </c>
      <c r="D44" s="182">
        <f t="shared" si="10"/>
        <v>1984.8273196941509</v>
      </c>
      <c r="E44" s="182">
        <f t="shared" si="10"/>
        <v>1419.2727547013844</v>
      </c>
      <c r="F44" s="182">
        <f t="shared" si="10"/>
        <v>6490.1419239512297</v>
      </c>
      <c r="G44" s="182">
        <f t="shared" si="10"/>
        <v>1902.5523723909903</v>
      </c>
      <c r="H44" s="182">
        <f t="shared" si="10"/>
        <v>16353.419553626782</v>
      </c>
      <c r="I44" s="182"/>
      <c r="J44" s="182"/>
    </row>
    <row r="45" spans="1:10" x14ac:dyDescent="0.2">
      <c r="A45" s="33" t="s">
        <v>85</v>
      </c>
      <c r="B45" s="220">
        <f>B17</f>
        <v>1571</v>
      </c>
      <c r="C45" s="183">
        <f t="shared" si="10"/>
        <v>7156.8866709102476</v>
      </c>
      <c r="D45" s="183">
        <f t="shared" si="10"/>
        <v>3293.5099872692549</v>
      </c>
      <c r="E45" s="183">
        <f t="shared" si="10"/>
        <v>2110.2248567791221</v>
      </c>
      <c r="F45" s="183">
        <f t="shared" si="10"/>
        <v>9203.9783513685561</v>
      </c>
      <c r="G45" s="183">
        <f t="shared" si="10"/>
        <v>1798.3337364735833</v>
      </c>
      <c r="H45" s="183">
        <f t="shared" si="10"/>
        <v>23562.933602800764</v>
      </c>
      <c r="I45" s="182"/>
      <c r="J45" s="182"/>
    </row>
    <row r="46" spans="1:10" x14ac:dyDescent="0.2">
      <c r="A46" s="33" t="s">
        <v>172</v>
      </c>
      <c r="B46" s="221">
        <f>SUM(B41:B45)</f>
        <v>38245</v>
      </c>
      <c r="C46" s="182">
        <f t="shared" si="10"/>
        <v>3807.7757939599951</v>
      </c>
      <c r="D46" s="182">
        <f t="shared" si="10"/>
        <v>1255.4543425284348</v>
      </c>
      <c r="E46" s="182">
        <f t="shared" si="10"/>
        <v>1203.1341401490392</v>
      </c>
      <c r="F46" s="182">
        <f t="shared" si="10"/>
        <v>5480.5765446463593</v>
      </c>
      <c r="G46" s="182">
        <f t="shared" si="10"/>
        <v>1034.1924003137665</v>
      </c>
      <c r="H46" s="182">
        <f t="shared" si="10"/>
        <v>12781.133221597594</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10156</v>
      </c>
      <c r="C49" s="182">
        <f t="shared" ref="C49:G51" si="11">C21/$B49</f>
        <v>2643.5381094919258</v>
      </c>
      <c r="D49" s="182">
        <f t="shared" si="11"/>
        <v>1054.3733733753445</v>
      </c>
      <c r="E49" s="182">
        <f t="shared" si="11"/>
        <v>1012.9431006301694</v>
      </c>
      <c r="F49" s="182">
        <f t="shared" si="11"/>
        <v>5079.2610614415116</v>
      </c>
      <c r="G49" s="182">
        <f t="shared" si="11"/>
        <v>1090.4299527372982</v>
      </c>
      <c r="H49" s="182">
        <f>H21/$B49</f>
        <v>10880.545597676251</v>
      </c>
      <c r="I49" s="182"/>
      <c r="J49" s="182"/>
    </row>
    <row r="50" spans="1:10" x14ac:dyDescent="0.2">
      <c r="A50" s="33" t="s">
        <v>87</v>
      </c>
      <c r="B50" s="220">
        <f>B22</f>
        <v>7652</v>
      </c>
      <c r="C50" s="183">
        <f t="shared" si="11"/>
        <v>4868.0374124411919</v>
      </c>
      <c r="D50" s="183">
        <f t="shared" si="11"/>
        <v>1910.4213578149506</v>
      </c>
      <c r="E50" s="183">
        <f t="shared" si="11"/>
        <v>1407.1203031887092</v>
      </c>
      <c r="F50" s="183">
        <f t="shared" si="11"/>
        <v>6038.1838081547312</v>
      </c>
      <c r="G50" s="183">
        <f t="shared" si="11"/>
        <v>1586.8658507579717</v>
      </c>
      <c r="H50" s="183">
        <f>H22/$B50</f>
        <v>15810.628732357554</v>
      </c>
      <c r="I50" s="182"/>
      <c r="J50" s="182"/>
    </row>
    <row r="51" spans="1:10" x14ac:dyDescent="0.2">
      <c r="A51" s="33" t="s">
        <v>173</v>
      </c>
      <c r="B51" s="221">
        <f>SUM(B49:B50)</f>
        <v>17808</v>
      </c>
      <c r="C51" s="182">
        <f t="shared" si="11"/>
        <v>3599.3932681940701</v>
      </c>
      <c r="D51" s="182">
        <f t="shared" si="11"/>
        <v>1422.2125005615453</v>
      </c>
      <c r="E51" s="182">
        <f t="shared" si="11"/>
        <v>1182.3188842093443</v>
      </c>
      <c r="F51" s="182">
        <f t="shared" si="11"/>
        <v>5491.3049101527404</v>
      </c>
      <c r="G51" s="182">
        <f t="shared" si="11"/>
        <v>1303.7457373090745</v>
      </c>
      <c r="H51" s="182">
        <f>H23/$B51</f>
        <v>12998.975300426775</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151433</v>
      </c>
      <c r="C53" s="192">
        <f t="shared" ref="C53:G53" si="12">C25/$B53</f>
        <v>3111.6995591449681</v>
      </c>
      <c r="D53" s="192">
        <f t="shared" si="12"/>
        <v>968.47555592242122</v>
      </c>
      <c r="E53" s="192">
        <f t="shared" si="12"/>
        <v>1061.1482798333254</v>
      </c>
      <c r="F53" s="192">
        <f t="shared" si="12"/>
        <v>5016.7637263344195</v>
      </c>
      <c r="G53" s="192">
        <f t="shared" si="12"/>
        <v>1366.8827361275282</v>
      </c>
      <c r="H53" s="192">
        <f>H25/$B53</f>
        <v>11524.969857362663</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FY17</v>
      </c>
      <c r="I57" s="202"/>
      <c r="J57" s="182"/>
    </row>
    <row r="58" spans="1:10" ht="22.5" x14ac:dyDescent="0.2">
      <c r="A58" s="20" t="s">
        <v>245</v>
      </c>
      <c r="B58" s="21"/>
      <c r="C58" s="202" t="str">
        <f t="shared" ref="C58:G58" si="13">C3</f>
        <v>17/Pupil Property Tax</v>
      </c>
      <c r="D58" s="202" t="str">
        <f t="shared" si="13"/>
        <v>17/Pupil Non Levy Revenue</v>
      </c>
      <c r="E58" s="202" t="str">
        <f t="shared" si="13"/>
        <v>17/Pupil County Revenue</v>
      </c>
      <c r="F58" s="202" t="str">
        <f t="shared" si="13"/>
        <v>17/Pupil State Revenue</v>
      </c>
      <c r="G58" s="202" t="str">
        <f t="shared" si="13"/>
        <v>17/Pupil Federal Revenue</v>
      </c>
      <c r="H58" s="202"/>
      <c r="I58" s="202"/>
    </row>
    <row r="59" spans="1:10" x14ac:dyDescent="0.2">
      <c r="A59" s="33" t="s">
        <v>102</v>
      </c>
      <c r="B59" s="221"/>
      <c r="C59" s="224">
        <f t="shared" ref="C59:G65" si="14">C32/$H32</f>
        <v>0.29309618496710627</v>
      </c>
      <c r="D59" s="224">
        <f t="shared" si="14"/>
        <v>5.4209029733901959E-2</v>
      </c>
      <c r="E59" s="224">
        <f t="shared" si="14"/>
        <v>9.5883432347530176E-2</v>
      </c>
      <c r="F59" s="224">
        <f t="shared" si="14"/>
        <v>0.45347049362594377</v>
      </c>
      <c r="G59" s="224">
        <f t="shared" si="14"/>
        <v>0.10334085932551772</v>
      </c>
      <c r="H59" s="313"/>
      <c r="I59" s="182"/>
    </row>
    <row r="60" spans="1:10" x14ac:dyDescent="0.2">
      <c r="A60" s="33" t="s">
        <v>76</v>
      </c>
      <c r="B60" s="221"/>
      <c r="C60" s="224">
        <f t="shared" si="14"/>
        <v>0.22253887060990676</v>
      </c>
      <c r="D60" s="224">
        <f t="shared" si="14"/>
        <v>5.9685591691637743E-2</v>
      </c>
      <c r="E60" s="224">
        <f t="shared" si="14"/>
        <v>9.1662549927943995E-2</v>
      </c>
      <c r="F60" s="224">
        <f t="shared" si="14"/>
        <v>0.44598981927017028</v>
      </c>
      <c r="G60" s="224">
        <f t="shared" si="14"/>
        <v>0.18012316850034119</v>
      </c>
      <c r="H60" s="313"/>
      <c r="I60" s="182"/>
    </row>
    <row r="61" spans="1:10" x14ac:dyDescent="0.2">
      <c r="A61" s="33" t="s">
        <v>77</v>
      </c>
      <c r="B61" s="221"/>
      <c r="C61" s="224">
        <f t="shared" si="14"/>
        <v>0.21865460777639706</v>
      </c>
      <c r="D61" s="224">
        <f t="shared" si="14"/>
        <v>8.6103978469573419E-2</v>
      </c>
      <c r="E61" s="224">
        <f t="shared" si="14"/>
        <v>8.7842843136264989E-2</v>
      </c>
      <c r="F61" s="224">
        <f t="shared" si="14"/>
        <v>0.44548201461369363</v>
      </c>
      <c r="G61" s="224">
        <f t="shared" si="14"/>
        <v>0.16191655600407101</v>
      </c>
      <c r="H61" s="313"/>
      <c r="I61" s="182"/>
    </row>
    <row r="62" spans="1:10" x14ac:dyDescent="0.2">
      <c r="A62" s="33" t="s">
        <v>78</v>
      </c>
      <c r="B62" s="221"/>
      <c r="C62" s="224">
        <f t="shared" si="14"/>
        <v>0.23730806535247315</v>
      </c>
      <c r="D62" s="224">
        <f t="shared" si="14"/>
        <v>8.8797498687166382E-2</v>
      </c>
      <c r="E62" s="224">
        <f t="shared" si="14"/>
        <v>8.5712457066370235E-2</v>
      </c>
      <c r="F62" s="224">
        <f t="shared" si="14"/>
        <v>0.42867419474158969</v>
      </c>
      <c r="G62" s="224">
        <f t="shared" si="14"/>
        <v>0.15950778415240061</v>
      </c>
      <c r="H62" s="313"/>
      <c r="I62" s="182"/>
    </row>
    <row r="63" spans="1:10" x14ac:dyDescent="0.2">
      <c r="A63" s="33" t="s">
        <v>79</v>
      </c>
      <c r="B63" s="221"/>
      <c r="C63" s="224">
        <f t="shared" si="14"/>
        <v>0.26417622989112205</v>
      </c>
      <c r="D63" s="224">
        <f t="shared" si="14"/>
        <v>0.1176162525944912</v>
      </c>
      <c r="E63" s="224">
        <f t="shared" si="14"/>
        <v>8.631764818594774E-2</v>
      </c>
      <c r="F63" s="224">
        <f t="shared" si="14"/>
        <v>0.38499877477928496</v>
      </c>
      <c r="G63" s="224">
        <f t="shared" si="14"/>
        <v>0.14689109454915408</v>
      </c>
      <c r="H63" s="313"/>
      <c r="I63" s="182"/>
    </row>
    <row r="64" spans="1:10" x14ac:dyDescent="0.2">
      <c r="A64" s="33" t="s">
        <v>80</v>
      </c>
      <c r="B64" s="221"/>
      <c r="C64" s="225">
        <f t="shared" si="14"/>
        <v>0.23739145678432588</v>
      </c>
      <c r="D64" s="225">
        <f t="shared" si="14"/>
        <v>0.15541946573560628</v>
      </c>
      <c r="E64" s="225">
        <f t="shared" si="14"/>
        <v>8.0746990873538899E-2</v>
      </c>
      <c r="F64" s="225">
        <f t="shared" si="14"/>
        <v>0.38285349620825559</v>
      </c>
      <c r="G64" s="225">
        <f t="shared" si="14"/>
        <v>0.14358859039827337</v>
      </c>
      <c r="H64" s="313"/>
      <c r="I64" s="182"/>
    </row>
    <row r="65" spans="1:9" x14ac:dyDescent="0.2">
      <c r="A65" s="33" t="s">
        <v>171</v>
      </c>
      <c r="B65" s="221"/>
      <c r="C65" s="224">
        <f t="shared" si="14"/>
        <v>0.25511968644727029</v>
      </c>
      <c r="D65" s="224">
        <f t="shared" si="14"/>
        <v>7.1532066300616537E-2</v>
      </c>
      <c r="E65" s="224">
        <f t="shared" si="14"/>
        <v>9.1344262876785251E-2</v>
      </c>
      <c r="F65" s="224">
        <f t="shared" si="14"/>
        <v>0.44129480451558312</v>
      </c>
      <c r="G65" s="224">
        <f t="shared" si="14"/>
        <v>0.14070917985974477</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0.30911485868804234</v>
      </c>
      <c r="D68" s="224">
        <f t="shared" si="15"/>
        <v>8.4078535154848186E-2</v>
      </c>
      <c r="E68" s="224">
        <f t="shared" si="15"/>
        <v>9.9964675176627063E-2</v>
      </c>
      <c r="F68" s="224">
        <f t="shared" si="15"/>
        <v>0.44899756040534244</v>
      </c>
      <c r="G68" s="224">
        <f t="shared" si="15"/>
        <v>5.7844370575140115E-2</v>
      </c>
      <c r="H68" s="313"/>
      <c r="I68" s="182"/>
    </row>
    <row r="69" spans="1:9" x14ac:dyDescent="0.2">
      <c r="A69" s="33" t="s">
        <v>82</v>
      </c>
      <c r="B69" s="221"/>
      <c r="C69" s="224">
        <f t="shared" si="15"/>
        <v>0.30687943126271916</v>
      </c>
      <c r="D69" s="224">
        <f t="shared" si="15"/>
        <v>8.7375355290924883E-2</v>
      </c>
      <c r="E69" s="224">
        <f t="shared" si="15"/>
        <v>8.6753123181361858E-2</v>
      </c>
      <c r="F69" s="224">
        <f t="shared" si="15"/>
        <v>0.40807222805717897</v>
      </c>
      <c r="G69" s="224">
        <f t="shared" si="15"/>
        <v>0.1109198622078152</v>
      </c>
      <c r="H69" s="313"/>
      <c r="I69" s="182"/>
    </row>
    <row r="70" spans="1:9" x14ac:dyDescent="0.2">
      <c r="A70" s="33" t="s">
        <v>83</v>
      </c>
      <c r="B70" s="221"/>
      <c r="C70" s="224">
        <f t="shared" si="15"/>
        <v>0.26140205294994628</v>
      </c>
      <c r="D70" s="224">
        <f t="shared" si="15"/>
        <v>0.11339451471033789</v>
      </c>
      <c r="E70" s="224">
        <f t="shared" si="15"/>
        <v>9.2506505503593656E-2</v>
      </c>
      <c r="F70" s="224">
        <f t="shared" si="15"/>
        <v>0.44044330313009422</v>
      </c>
      <c r="G70" s="224">
        <f t="shared" si="15"/>
        <v>9.2253623706027896E-2</v>
      </c>
      <c r="H70" s="313"/>
      <c r="I70" s="182"/>
    </row>
    <row r="71" spans="1:9" x14ac:dyDescent="0.2">
      <c r="A71" s="33" t="s">
        <v>84</v>
      </c>
      <c r="B71" s="221"/>
      <c r="C71" s="224">
        <f t="shared" si="15"/>
        <v>0.27863439618526031</v>
      </c>
      <c r="D71" s="224">
        <f t="shared" si="15"/>
        <v>0.12137078200589342</v>
      </c>
      <c r="E71" s="224">
        <f t="shared" si="15"/>
        <v>8.6787521719677588E-2</v>
      </c>
      <c r="F71" s="224">
        <f t="shared" si="15"/>
        <v>0.39686757272193129</v>
      </c>
      <c r="G71" s="224">
        <f t="shared" si="15"/>
        <v>0.11633972736723748</v>
      </c>
      <c r="H71" s="313"/>
      <c r="I71" s="182"/>
    </row>
    <row r="72" spans="1:9" x14ac:dyDescent="0.2">
      <c r="A72" s="33" t="s">
        <v>85</v>
      </c>
      <c r="B72" s="221"/>
      <c r="C72" s="225">
        <f t="shared" si="15"/>
        <v>0.30373495896366476</v>
      </c>
      <c r="D72" s="225">
        <f t="shared" si="15"/>
        <v>0.13977504001784302</v>
      </c>
      <c r="E72" s="225">
        <f t="shared" si="15"/>
        <v>8.955696656244426E-2</v>
      </c>
      <c r="F72" s="225">
        <f t="shared" si="15"/>
        <v>0.39061258273352445</v>
      </c>
      <c r="G72" s="225">
        <f t="shared" si="15"/>
        <v>7.6320451722523538E-2</v>
      </c>
      <c r="H72" s="313"/>
      <c r="I72" s="182"/>
    </row>
    <row r="73" spans="1:9" x14ac:dyDescent="0.2">
      <c r="A73" s="33" t="s">
        <v>172</v>
      </c>
      <c r="B73" s="221"/>
      <c r="C73" s="224">
        <f t="shared" si="15"/>
        <v>0.29792161054432992</v>
      </c>
      <c r="D73" s="224">
        <f t="shared" si="15"/>
        <v>9.8227154099838704E-2</v>
      </c>
      <c r="E73" s="224">
        <f t="shared" si="15"/>
        <v>9.4133604531715528E-2</v>
      </c>
      <c r="F73" s="224">
        <f t="shared" si="15"/>
        <v>0.42880208269680387</v>
      </c>
      <c r="G73" s="224">
        <f t="shared" si="15"/>
        <v>8.0915548127311998E-2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0.2429600690296729</v>
      </c>
      <c r="D76" s="224">
        <f t="shared" si="16"/>
        <v>9.690445795296572E-2</v>
      </c>
      <c r="E76" s="224">
        <f t="shared" si="16"/>
        <v>9.3096719418785653E-2</v>
      </c>
      <c r="F76" s="224">
        <f t="shared" si="16"/>
        <v>0.46682043798670214</v>
      </c>
      <c r="G76" s="224">
        <f t="shared" si="16"/>
        <v>0.1002183156118734</v>
      </c>
      <c r="H76" s="313"/>
      <c r="I76" s="182"/>
    </row>
    <row r="77" spans="1:9" x14ac:dyDescent="0.2">
      <c r="A77" s="33" t="s">
        <v>87</v>
      </c>
      <c r="B77" s="221"/>
      <c r="C77" s="225">
        <f t="shared" si="16"/>
        <v>0.30789651030628618</v>
      </c>
      <c r="D77" s="225">
        <f t="shared" si="16"/>
        <v>0.12083146028880813</v>
      </c>
      <c r="E77" s="225">
        <f t="shared" si="16"/>
        <v>8.899837742119257E-2</v>
      </c>
      <c r="F77" s="225">
        <f t="shared" si="16"/>
        <v>0.3819066218282115</v>
      </c>
      <c r="G77" s="225">
        <f t="shared" si="16"/>
        <v>0.10036703015550166</v>
      </c>
      <c r="H77" s="313"/>
      <c r="I77" s="182"/>
    </row>
    <row r="78" spans="1:9" x14ac:dyDescent="0.2">
      <c r="A78" s="33" t="s">
        <v>173</v>
      </c>
      <c r="B78" s="221"/>
      <c r="C78" s="224">
        <f t="shared" si="16"/>
        <v>0.27689823120718576</v>
      </c>
      <c r="D78" s="224">
        <f t="shared" si="16"/>
        <v>0.10940958557824569</v>
      </c>
      <c r="E78" s="224">
        <f t="shared" si="16"/>
        <v>9.0954775809946126E-2</v>
      </c>
      <c r="F78" s="224">
        <f t="shared" si="16"/>
        <v>0.42244136812633631</v>
      </c>
      <c r="G78" s="224">
        <f t="shared" si="16"/>
        <v>0.10029603927828608</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0.26999632950511154</v>
      </c>
      <c r="D80" s="226">
        <f>D53/$H53</f>
        <v>8.4032805977684699E-2</v>
      </c>
      <c r="E80" s="226">
        <f>E53/$H53</f>
        <v>9.2073844267403157E-2</v>
      </c>
      <c r="F80" s="226">
        <f>F53/$H53</f>
        <v>0.43529517113049004</v>
      </c>
      <c r="G80" s="226">
        <f>G53/$H53</f>
        <v>0.11860184911931052</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62"/>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c r="D1" s="22"/>
      <c r="E1" s="22"/>
      <c r="F1" s="22"/>
      <c r="G1" s="22"/>
      <c r="H1" s="22"/>
    </row>
    <row r="2" spans="1:17" x14ac:dyDescent="0.2">
      <c r="A2" s="22" t="s">
        <v>1073</v>
      </c>
    </row>
    <row r="3" spans="1:17" ht="34.5" x14ac:dyDescent="0.25">
      <c r="A3" s="22" t="s">
        <v>245</v>
      </c>
      <c r="B3" s="202" t="s">
        <v>1074</v>
      </c>
      <c r="C3" s="172" t="s">
        <v>1075</v>
      </c>
      <c r="D3" s="172" t="s">
        <v>1076</v>
      </c>
      <c r="E3" s="172" t="s">
        <v>1077</v>
      </c>
      <c r="F3" s="172" t="s">
        <v>1078</v>
      </c>
      <c r="G3" s="172" t="s">
        <v>1079</v>
      </c>
      <c r="H3" s="172" t="s">
        <v>1080</v>
      </c>
      <c r="K3" s="247"/>
      <c r="L3" s="247"/>
      <c r="M3" s="247"/>
      <c r="N3" s="247"/>
      <c r="O3" s="247"/>
      <c r="P3" s="247"/>
      <c r="Q3" s="247"/>
    </row>
    <row r="4" spans="1:17" ht="15" x14ac:dyDescent="0.25">
      <c r="A4" s="182" t="s">
        <v>102</v>
      </c>
      <c r="B4" s="214">
        <v>37842</v>
      </c>
      <c r="C4" s="214">
        <v>270775023.54999995</v>
      </c>
      <c r="D4" s="214">
        <v>36739867.759999998</v>
      </c>
      <c r="E4" s="214">
        <v>16423488.080000002</v>
      </c>
      <c r="F4" s="214">
        <v>8610700.1699999999</v>
      </c>
      <c r="G4" s="214">
        <v>6419722.7999999989</v>
      </c>
      <c r="H4" s="214">
        <f t="shared" ref="H4:H9" si="0">SUM(C4:G4)</f>
        <v>338968802.35999995</v>
      </c>
      <c r="K4" s="294"/>
      <c r="L4" s="293"/>
      <c r="M4" s="293"/>
      <c r="N4" s="293"/>
      <c r="O4" s="293"/>
      <c r="P4" s="293"/>
      <c r="Q4" s="293"/>
    </row>
    <row r="5" spans="1:17" ht="15" x14ac:dyDescent="0.25">
      <c r="A5" s="33" t="s">
        <v>76</v>
      </c>
      <c r="B5" s="214">
        <v>18223</v>
      </c>
      <c r="C5" s="214">
        <v>137860286.11000001</v>
      </c>
      <c r="D5" s="214">
        <v>18692068.359999996</v>
      </c>
      <c r="E5" s="214">
        <v>13536014.33</v>
      </c>
      <c r="F5" s="214">
        <v>5491362.1500000004</v>
      </c>
      <c r="G5" s="214">
        <v>8643881.5099999998</v>
      </c>
      <c r="H5" s="214">
        <f t="shared" si="0"/>
        <v>184223612.46000001</v>
      </c>
      <c r="K5" s="294"/>
      <c r="L5" s="293"/>
      <c r="M5" s="293"/>
      <c r="N5" s="293"/>
      <c r="O5" s="293"/>
      <c r="P5" s="293"/>
      <c r="Q5" s="293"/>
    </row>
    <row r="6" spans="1:17" ht="15" x14ac:dyDescent="0.25">
      <c r="A6" s="33" t="s">
        <v>77</v>
      </c>
      <c r="B6" s="214">
        <v>13498</v>
      </c>
      <c r="C6" s="214">
        <v>102965068.61000001</v>
      </c>
      <c r="D6" s="214">
        <v>15936947</v>
      </c>
      <c r="E6" s="214">
        <v>12728818.140000004</v>
      </c>
      <c r="F6" s="214">
        <v>6050615.7800000003</v>
      </c>
      <c r="G6" s="214">
        <v>2552926.17</v>
      </c>
      <c r="H6" s="214">
        <f t="shared" si="0"/>
        <v>140234375.69999999</v>
      </c>
      <c r="K6" s="294"/>
      <c r="L6" s="293"/>
      <c r="M6" s="293"/>
      <c r="N6" s="293"/>
      <c r="O6" s="293"/>
      <c r="P6" s="293"/>
      <c r="Q6" s="293"/>
    </row>
    <row r="7" spans="1:17" ht="15" x14ac:dyDescent="0.25">
      <c r="A7" s="33" t="s">
        <v>78</v>
      </c>
      <c r="B7" s="214">
        <v>13549</v>
      </c>
      <c r="C7" s="214">
        <v>97712317.589999989</v>
      </c>
      <c r="D7" s="214">
        <v>16627286.620000001</v>
      </c>
      <c r="E7" s="214">
        <v>12589451.059999999</v>
      </c>
      <c r="F7" s="214">
        <v>7349550.6000000015</v>
      </c>
      <c r="G7" s="214">
        <v>4975542.1499999994</v>
      </c>
      <c r="H7" s="214">
        <f t="shared" si="0"/>
        <v>139254148.02000001</v>
      </c>
      <c r="K7" s="294"/>
      <c r="L7" s="293"/>
      <c r="M7" s="293"/>
      <c r="N7" s="293"/>
      <c r="O7" s="293"/>
      <c r="P7" s="293"/>
      <c r="Q7" s="293"/>
    </row>
    <row r="8" spans="1:17" ht="15" x14ac:dyDescent="0.25">
      <c r="A8" s="33" t="s">
        <v>79</v>
      </c>
      <c r="B8" s="214">
        <v>4973</v>
      </c>
      <c r="C8" s="214">
        <v>42418314.949999996</v>
      </c>
      <c r="D8" s="214">
        <v>8935697.9499999974</v>
      </c>
      <c r="E8" s="214">
        <v>7396400.8200000003</v>
      </c>
      <c r="F8" s="214">
        <v>3547651.9899999993</v>
      </c>
      <c r="G8" s="214">
        <v>710899.61</v>
      </c>
      <c r="H8" s="214">
        <f t="shared" si="0"/>
        <v>63008965.319999993</v>
      </c>
      <c r="K8" s="294"/>
      <c r="L8" s="293"/>
      <c r="M8" s="293"/>
      <c r="N8" s="293"/>
      <c r="O8" s="293"/>
      <c r="P8" s="293"/>
      <c r="Q8" s="293"/>
    </row>
    <row r="9" spans="1:17" ht="15" x14ac:dyDescent="0.25">
      <c r="A9" s="33" t="s">
        <v>80</v>
      </c>
      <c r="B9" s="220">
        <v>1854</v>
      </c>
      <c r="C9" s="220">
        <v>13376517.590000002</v>
      </c>
      <c r="D9" s="220">
        <v>3607473.41</v>
      </c>
      <c r="E9" s="220">
        <v>2903306.8699999996</v>
      </c>
      <c r="F9" s="220">
        <v>696965.73</v>
      </c>
      <c r="G9" s="220">
        <v>152689.75</v>
      </c>
      <c r="H9" s="220">
        <f t="shared" si="0"/>
        <v>20736953.350000001</v>
      </c>
      <c r="K9" s="294"/>
      <c r="L9" s="293"/>
      <c r="M9" s="293"/>
      <c r="N9" s="293"/>
      <c r="O9" s="293"/>
      <c r="P9" s="293"/>
      <c r="Q9" s="293"/>
    </row>
    <row r="10" spans="1:17" x14ac:dyDescent="0.2">
      <c r="A10" s="33" t="s">
        <v>103</v>
      </c>
      <c r="B10" s="221">
        <f t="shared" ref="B10:H10" si="1">SUM(B4:B9)</f>
        <v>89939</v>
      </c>
      <c r="C10" s="221">
        <f t="shared" si="1"/>
        <v>665107528.4000001</v>
      </c>
      <c r="D10" s="221">
        <f t="shared" si="1"/>
        <v>100539341.09999999</v>
      </c>
      <c r="E10" s="221">
        <f t="shared" si="1"/>
        <v>65577479.300000012</v>
      </c>
      <c r="F10" s="221">
        <f t="shared" si="1"/>
        <v>31746846.420000002</v>
      </c>
      <c r="G10" s="221">
        <f t="shared" si="1"/>
        <v>23455661.989999995</v>
      </c>
      <c r="H10" s="214">
        <f t="shared" si="1"/>
        <v>886426857.20999992</v>
      </c>
    </row>
    <row r="11" spans="1:17" x14ac:dyDescent="0.2">
      <c r="A11" s="33"/>
      <c r="B11" s="182"/>
      <c r="C11" s="221"/>
      <c r="D11" s="221"/>
      <c r="E11" s="221"/>
      <c r="F11" s="221"/>
      <c r="G11" s="221"/>
      <c r="H11" s="214"/>
    </row>
    <row r="12" spans="1:17" ht="15" x14ac:dyDescent="0.25">
      <c r="A12" s="33" t="s">
        <v>81</v>
      </c>
      <c r="B12" s="214">
        <v>21890</v>
      </c>
      <c r="C12" s="214">
        <v>158758109.69000003</v>
      </c>
      <c r="D12" s="214">
        <v>31067826.109999999</v>
      </c>
      <c r="E12" s="214">
        <v>15654708.610000003</v>
      </c>
      <c r="F12" s="214">
        <v>5695830.9700000007</v>
      </c>
      <c r="G12" s="214">
        <v>8990744.75</v>
      </c>
      <c r="H12" s="214">
        <f>SUM(C12:G12)</f>
        <v>220167220.13000003</v>
      </c>
      <c r="K12" s="294"/>
      <c r="L12" s="293"/>
      <c r="M12" s="293"/>
      <c r="N12" s="293"/>
      <c r="O12" s="293"/>
      <c r="P12" s="293"/>
      <c r="Q12" s="293"/>
    </row>
    <row r="13" spans="1:17" ht="15" x14ac:dyDescent="0.25">
      <c r="A13" s="33" t="s">
        <v>82</v>
      </c>
      <c r="B13" s="214">
        <v>6282</v>
      </c>
      <c r="C13" s="214">
        <v>47858660.010000005</v>
      </c>
      <c r="D13" s="214">
        <v>6305289.79</v>
      </c>
      <c r="E13" s="214">
        <v>5583545.0599999996</v>
      </c>
      <c r="F13" s="214">
        <v>2412618.42</v>
      </c>
      <c r="G13" s="214">
        <v>2946666.37</v>
      </c>
      <c r="H13" s="214">
        <f>SUM(C13:G13)</f>
        <v>65106779.650000006</v>
      </c>
      <c r="K13" s="294"/>
      <c r="L13" s="293"/>
      <c r="M13" s="293"/>
      <c r="N13" s="293"/>
      <c r="O13" s="293"/>
      <c r="P13" s="293"/>
      <c r="Q13" s="293"/>
    </row>
    <row r="14" spans="1:17" ht="15" x14ac:dyDescent="0.25">
      <c r="A14" s="33" t="s">
        <v>83</v>
      </c>
      <c r="B14" s="214">
        <v>5828</v>
      </c>
      <c r="C14" s="214">
        <v>47623776.510000013</v>
      </c>
      <c r="D14" s="214">
        <v>9089626.5200000014</v>
      </c>
      <c r="E14" s="214">
        <v>7464160.1199999992</v>
      </c>
      <c r="F14" s="214">
        <v>4492734.8899999997</v>
      </c>
      <c r="G14" s="214">
        <v>1950837.8</v>
      </c>
      <c r="H14" s="214">
        <f>SUM(C14:G14)</f>
        <v>70621135.840000004</v>
      </c>
      <c r="K14" s="294"/>
      <c r="L14" s="293"/>
      <c r="M14" s="293"/>
      <c r="N14" s="293"/>
      <c r="O14" s="293"/>
      <c r="P14" s="293"/>
      <c r="Q14" s="293"/>
    </row>
    <row r="15" spans="1:17" ht="15" x14ac:dyDescent="0.25">
      <c r="A15" s="33" t="s">
        <v>84</v>
      </c>
      <c r="B15" s="214">
        <v>5163</v>
      </c>
      <c r="C15" s="214">
        <v>45855922.109999999</v>
      </c>
      <c r="D15" s="214">
        <v>9812145.4000000004</v>
      </c>
      <c r="E15" s="214">
        <v>7491000.3999999994</v>
      </c>
      <c r="F15" s="214">
        <v>5980263.7599999979</v>
      </c>
      <c r="G15" s="214">
        <v>1933780.87</v>
      </c>
      <c r="H15" s="214">
        <f>SUM(C15:G15)</f>
        <v>71073112.539999992</v>
      </c>
      <c r="K15" s="294"/>
      <c r="L15" s="293"/>
      <c r="M15" s="293"/>
      <c r="N15" s="293"/>
      <c r="O15" s="293"/>
      <c r="P15" s="293"/>
      <c r="Q15" s="293"/>
    </row>
    <row r="16" spans="1:17" ht="15" x14ac:dyDescent="0.25">
      <c r="A16" s="33" t="s">
        <v>85</v>
      </c>
      <c r="B16" s="220">
        <v>1384</v>
      </c>
      <c r="C16" s="220">
        <v>18876864.750000004</v>
      </c>
      <c r="D16" s="220">
        <v>4634177.17</v>
      </c>
      <c r="E16" s="220">
        <v>3528661.9199999995</v>
      </c>
      <c r="F16" s="220">
        <v>2552571.8200000003</v>
      </c>
      <c r="G16" s="220">
        <v>309679.42000000004</v>
      </c>
      <c r="H16" s="220">
        <f>SUM(C16:G16)</f>
        <v>29901955.080000002</v>
      </c>
      <c r="K16" s="294"/>
      <c r="L16" s="293"/>
      <c r="M16" s="293"/>
      <c r="N16" s="293"/>
      <c r="O16" s="293"/>
      <c r="P16" s="293"/>
      <c r="Q16" s="293"/>
    </row>
    <row r="17" spans="1:17" x14ac:dyDescent="0.2">
      <c r="A17" s="33" t="s">
        <v>104</v>
      </c>
      <c r="B17" s="221">
        <f t="shared" ref="B17:H17" si="2">SUM(B12:B16)</f>
        <v>40547</v>
      </c>
      <c r="C17" s="221">
        <f t="shared" si="2"/>
        <v>318973333.07000005</v>
      </c>
      <c r="D17" s="221">
        <f t="shared" si="2"/>
        <v>60909064.990000002</v>
      </c>
      <c r="E17" s="221">
        <f t="shared" si="2"/>
        <v>39722076.109999999</v>
      </c>
      <c r="F17" s="221">
        <f t="shared" si="2"/>
        <v>21134019.859999999</v>
      </c>
      <c r="G17" s="221">
        <f t="shared" si="2"/>
        <v>16131709.210000003</v>
      </c>
      <c r="H17" s="221">
        <f t="shared" si="2"/>
        <v>456870203.23999995</v>
      </c>
    </row>
    <row r="18" spans="1:17" x14ac:dyDescent="0.2">
      <c r="A18" s="33"/>
      <c r="B18" s="182"/>
      <c r="C18" s="221"/>
      <c r="D18" s="221"/>
      <c r="E18" s="221"/>
      <c r="F18" s="221"/>
      <c r="G18" s="221"/>
      <c r="H18" s="214"/>
    </row>
    <row r="19" spans="1:17" ht="15" x14ac:dyDescent="0.25">
      <c r="A19" s="33" t="s">
        <v>86</v>
      </c>
      <c r="B19" s="214">
        <v>10013</v>
      </c>
      <c r="C19" s="214">
        <v>67677714.230000004</v>
      </c>
      <c r="D19" s="214">
        <v>11503416.459999999</v>
      </c>
      <c r="E19" s="214">
        <v>7957138.1400000006</v>
      </c>
      <c r="F19" s="214">
        <v>4911965.8899999997</v>
      </c>
      <c r="G19" s="214">
        <v>4430551.71</v>
      </c>
      <c r="H19" s="214">
        <f>SUM(C19:G19)</f>
        <v>96480786.429999992</v>
      </c>
      <c r="K19" s="294"/>
      <c r="L19" s="293"/>
      <c r="M19" s="293"/>
      <c r="N19" s="293"/>
      <c r="O19" s="293"/>
      <c r="P19" s="293"/>
      <c r="Q19" s="293"/>
    </row>
    <row r="20" spans="1:17" ht="15" x14ac:dyDescent="0.25">
      <c r="A20" s="33" t="s">
        <v>87</v>
      </c>
      <c r="B20" s="220">
        <v>7466</v>
      </c>
      <c r="C20" s="220">
        <v>73765309.61999999</v>
      </c>
      <c r="D20" s="220">
        <v>14098273.179999998</v>
      </c>
      <c r="E20" s="220">
        <v>12184409.150000004</v>
      </c>
      <c r="F20" s="220">
        <v>8829566.6999999993</v>
      </c>
      <c r="G20" s="220">
        <v>3263418.9699999997</v>
      </c>
      <c r="H20" s="220">
        <f>SUM(C20:G20)</f>
        <v>112140977.61999999</v>
      </c>
      <c r="K20" s="294"/>
      <c r="L20" s="293"/>
      <c r="M20" s="293"/>
      <c r="N20" s="293"/>
      <c r="O20" s="293"/>
      <c r="P20" s="293"/>
      <c r="Q20" s="293"/>
    </row>
    <row r="21" spans="1:17" ht="15" x14ac:dyDescent="0.25">
      <c r="A21" s="33" t="s">
        <v>105</v>
      </c>
      <c r="B21" s="221">
        <f t="shared" ref="B21:H21" si="3">SUM(B19:B20)</f>
        <v>17479</v>
      </c>
      <c r="C21" s="221">
        <f t="shared" si="3"/>
        <v>141443023.84999999</v>
      </c>
      <c r="D21" s="221">
        <f t="shared" si="3"/>
        <v>25601689.639999997</v>
      </c>
      <c r="E21" s="221">
        <f t="shared" si="3"/>
        <v>20141547.290000007</v>
      </c>
      <c r="F21" s="221">
        <f t="shared" si="3"/>
        <v>13741532.59</v>
      </c>
      <c r="G21" s="221">
        <f t="shared" si="3"/>
        <v>7693970.6799999997</v>
      </c>
      <c r="H21" s="221">
        <f t="shared" si="3"/>
        <v>208621764.04999998</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147965</v>
      </c>
      <c r="C23" s="222">
        <f t="shared" si="4"/>
        <v>1125523885.3200002</v>
      </c>
      <c r="D23" s="222">
        <f t="shared" si="4"/>
        <v>187050095.72999999</v>
      </c>
      <c r="E23" s="222">
        <f t="shared" si="4"/>
        <v>125441102.70000002</v>
      </c>
      <c r="F23" s="222">
        <f t="shared" si="4"/>
        <v>66622398.870000005</v>
      </c>
      <c r="G23" s="222">
        <f t="shared" si="4"/>
        <v>47281341.879999995</v>
      </c>
      <c r="H23" s="222">
        <f t="shared" si="4"/>
        <v>1551918824.5</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1081</v>
      </c>
      <c r="B26" s="22"/>
      <c r="C26" s="22"/>
      <c r="D26" s="22"/>
      <c r="E26" s="22"/>
      <c r="F26" s="22"/>
      <c r="G26" s="22"/>
      <c r="H26" s="22"/>
    </row>
    <row r="27" spans="1:17" ht="33.75" x14ac:dyDescent="0.2">
      <c r="A27" s="155" t="s">
        <v>245</v>
      </c>
      <c r="B27" s="172" t="str">
        <f t="shared" ref="B27:H27" si="5">B3</f>
        <v>ANB11</v>
      </c>
      <c r="C27" s="172" t="str">
        <f t="shared" si="5"/>
        <v>11/Pupil Salaries &amp; Benefits</v>
      </c>
      <c r="D27" s="172" t="str">
        <f t="shared" si="5"/>
        <v>11/Pupil Purchased Services</v>
      </c>
      <c r="E27" s="172" t="str">
        <f t="shared" si="5"/>
        <v>11/Pupil Supplies</v>
      </c>
      <c r="F27" s="172" t="str">
        <f t="shared" si="5"/>
        <v>11/Pupil Capital Outlay</v>
      </c>
      <c r="G27" s="172" t="str">
        <f t="shared" si="5"/>
        <v>11/Pupil Other</v>
      </c>
      <c r="H27" s="172" t="str">
        <f t="shared" si="5"/>
        <v>11/Pupil Total Expenditures</v>
      </c>
    </row>
    <row r="28" spans="1:17" x14ac:dyDescent="0.2">
      <c r="A28" s="33" t="s">
        <v>102</v>
      </c>
      <c r="B28" s="214">
        <f t="shared" ref="B28:B34" si="6">B4</f>
        <v>37842</v>
      </c>
      <c r="C28" s="182">
        <f t="shared" ref="C28:H34" si="7">C4/$B28</f>
        <v>7155.4099558691387</v>
      </c>
      <c r="D28" s="182">
        <f t="shared" si="7"/>
        <v>970.87542307489025</v>
      </c>
      <c r="E28" s="182">
        <f t="shared" si="7"/>
        <v>434.00158765392956</v>
      </c>
      <c r="F28" s="182">
        <f t="shared" si="7"/>
        <v>227.54347471063898</v>
      </c>
      <c r="G28" s="182">
        <f t="shared" si="7"/>
        <v>169.64544157285553</v>
      </c>
      <c r="H28" s="182">
        <f t="shared" si="7"/>
        <v>8957.4758828814538</v>
      </c>
    </row>
    <row r="29" spans="1:17" x14ac:dyDescent="0.2">
      <c r="A29" s="33" t="s">
        <v>76</v>
      </c>
      <c r="B29" s="214">
        <f t="shared" si="6"/>
        <v>18223</v>
      </c>
      <c r="C29" s="182">
        <f t="shared" si="7"/>
        <v>7565.1806019865016</v>
      </c>
      <c r="D29" s="182">
        <f t="shared" si="7"/>
        <v>1025.7404576633921</v>
      </c>
      <c r="E29" s="182">
        <f t="shared" si="7"/>
        <v>742.79834988750486</v>
      </c>
      <c r="F29" s="182">
        <f t="shared" si="7"/>
        <v>301.34237776436373</v>
      </c>
      <c r="G29" s="182">
        <f t="shared" si="7"/>
        <v>474.33910497722655</v>
      </c>
      <c r="H29" s="182">
        <f t="shared" si="7"/>
        <v>10109.400892278989</v>
      </c>
    </row>
    <row r="30" spans="1:17" x14ac:dyDescent="0.2">
      <c r="A30" s="33" t="s">
        <v>77</v>
      </c>
      <c r="B30" s="214">
        <f t="shared" si="6"/>
        <v>13498</v>
      </c>
      <c r="C30" s="182">
        <f t="shared" si="7"/>
        <v>7628.1722188472377</v>
      </c>
      <c r="D30" s="182">
        <f t="shared" si="7"/>
        <v>1180.6895095569714</v>
      </c>
      <c r="E30" s="182">
        <f t="shared" si="7"/>
        <v>943.0151237220332</v>
      </c>
      <c r="F30" s="182">
        <f t="shared" si="7"/>
        <v>448.26017039561418</v>
      </c>
      <c r="G30" s="182">
        <f t="shared" si="7"/>
        <v>189.13366202400354</v>
      </c>
      <c r="H30" s="182">
        <f t="shared" si="7"/>
        <v>10389.270684545858</v>
      </c>
    </row>
    <row r="31" spans="1:17" x14ac:dyDescent="0.2">
      <c r="A31" s="33" t="s">
        <v>78</v>
      </c>
      <c r="B31" s="214">
        <f t="shared" si="6"/>
        <v>13549</v>
      </c>
      <c r="C31" s="182">
        <f t="shared" si="7"/>
        <v>7211.7733847516411</v>
      </c>
      <c r="D31" s="182">
        <f t="shared" si="7"/>
        <v>1227.1965916303786</v>
      </c>
      <c r="E31" s="182">
        <f t="shared" si="7"/>
        <v>929.17935345781962</v>
      </c>
      <c r="F31" s="182">
        <f t="shared" si="7"/>
        <v>542.44229094398122</v>
      </c>
      <c r="G31" s="182">
        <f t="shared" si="7"/>
        <v>367.22578419071516</v>
      </c>
      <c r="H31" s="182">
        <f t="shared" si="7"/>
        <v>10277.817404974538</v>
      </c>
    </row>
    <row r="32" spans="1:17" x14ac:dyDescent="0.2">
      <c r="A32" s="33" t="s">
        <v>79</v>
      </c>
      <c r="B32" s="214">
        <f t="shared" si="6"/>
        <v>4973</v>
      </c>
      <c r="C32" s="182">
        <f t="shared" si="7"/>
        <v>8529.723496883169</v>
      </c>
      <c r="D32" s="182">
        <f t="shared" si="7"/>
        <v>1796.8425397144576</v>
      </c>
      <c r="E32" s="182">
        <f t="shared" si="7"/>
        <v>1487.3116468932235</v>
      </c>
      <c r="F32" s="182">
        <f t="shared" si="7"/>
        <v>713.38266438769335</v>
      </c>
      <c r="G32" s="182">
        <f t="shared" si="7"/>
        <v>142.95186205509754</v>
      </c>
      <c r="H32" s="182">
        <f t="shared" si="7"/>
        <v>12670.212209933641</v>
      </c>
    </row>
    <row r="33" spans="1:8" x14ac:dyDescent="0.2">
      <c r="A33" s="33" t="s">
        <v>80</v>
      </c>
      <c r="B33" s="220">
        <f t="shared" si="6"/>
        <v>1854</v>
      </c>
      <c r="C33" s="183">
        <f t="shared" si="7"/>
        <v>7214.9501564185557</v>
      </c>
      <c r="D33" s="183">
        <f t="shared" si="7"/>
        <v>1945.7785382955772</v>
      </c>
      <c r="E33" s="183">
        <f t="shared" si="7"/>
        <v>1565.9691855447679</v>
      </c>
      <c r="F33" s="183">
        <f t="shared" si="7"/>
        <v>375.92542071197408</v>
      </c>
      <c r="G33" s="183">
        <f t="shared" si="7"/>
        <v>82.356930960086302</v>
      </c>
      <c r="H33" s="183">
        <f t="shared" si="7"/>
        <v>11184.98023193096</v>
      </c>
    </row>
    <row r="34" spans="1:8" x14ac:dyDescent="0.2">
      <c r="A34" s="33" t="s">
        <v>103</v>
      </c>
      <c r="B34" s="214">
        <f t="shared" si="6"/>
        <v>89939</v>
      </c>
      <c r="C34" s="182">
        <f t="shared" si="7"/>
        <v>7395.0958805412565</v>
      </c>
      <c r="D34" s="182">
        <f t="shared" si="7"/>
        <v>1117.8614516505631</v>
      </c>
      <c r="E34" s="182">
        <f t="shared" si="7"/>
        <v>729.13284893094226</v>
      </c>
      <c r="F34" s="182">
        <f t="shared" si="7"/>
        <v>352.98198134291022</v>
      </c>
      <c r="G34" s="182">
        <f t="shared" si="7"/>
        <v>260.79522776548544</v>
      </c>
      <c r="H34" s="182">
        <f t="shared" si="7"/>
        <v>9855.8673902311566</v>
      </c>
    </row>
    <row r="35" spans="1:8" x14ac:dyDescent="0.2">
      <c r="A35" s="33"/>
      <c r="B35" s="214"/>
      <c r="C35" s="182"/>
      <c r="D35" s="182"/>
      <c r="E35" s="182"/>
      <c r="F35" s="182"/>
      <c r="G35" s="182"/>
      <c r="H35" s="182"/>
    </row>
    <row r="36" spans="1:8" x14ac:dyDescent="0.2">
      <c r="A36" s="33" t="s">
        <v>81</v>
      </c>
      <c r="B36" s="214">
        <f t="shared" ref="B36:B41" si="8">B12</f>
        <v>21890</v>
      </c>
      <c r="C36" s="182">
        <f t="shared" ref="C36:H41" si="9">C12/$B36</f>
        <v>7252.5404152581095</v>
      </c>
      <c r="D36" s="182">
        <f t="shared" si="9"/>
        <v>1419.2702654179991</v>
      </c>
      <c r="E36" s="182">
        <f t="shared" si="9"/>
        <v>715.15343124714491</v>
      </c>
      <c r="F36" s="182">
        <f t="shared" si="9"/>
        <v>260.20241982640476</v>
      </c>
      <c r="G36" s="182">
        <f t="shared" si="9"/>
        <v>410.7238350845135</v>
      </c>
      <c r="H36" s="182">
        <f t="shared" si="9"/>
        <v>10057.890366834172</v>
      </c>
    </row>
    <row r="37" spans="1:8" x14ac:dyDescent="0.2">
      <c r="A37" s="33" t="s">
        <v>82</v>
      </c>
      <c r="B37" s="214">
        <f t="shared" si="8"/>
        <v>6282</v>
      </c>
      <c r="C37" s="182">
        <f t="shared" si="9"/>
        <v>7618.3794985673358</v>
      </c>
      <c r="D37" s="182">
        <f t="shared" si="9"/>
        <v>1003.7073845908947</v>
      </c>
      <c r="E37" s="182">
        <f t="shared" si="9"/>
        <v>888.81646927730014</v>
      </c>
      <c r="F37" s="182">
        <f t="shared" si="9"/>
        <v>384.05259789875834</v>
      </c>
      <c r="G37" s="182">
        <f t="shared" si="9"/>
        <v>469.06500636739895</v>
      </c>
      <c r="H37" s="182">
        <f t="shared" si="9"/>
        <v>10364.020956701688</v>
      </c>
    </row>
    <row r="38" spans="1:8" x14ac:dyDescent="0.2">
      <c r="A38" s="33" t="s">
        <v>83</v>
      </c>
      <c r="B38" s="214">
        <f t="shared" si="8"/>
        <v>5828</v>
      </c>
      <c r="C38" s="182">
        <f t="shared" si="9"/>
        <v>8171.5471019217593</v>
      </c>
      <c r="D38" s="182">
        <f t="shared" si="9"/>
        <v>1559.6476527110503</v>
      </c>
      <c r="E38" s="182">
        <f t="shared" si="9"/>
        <v>1280.7412697323266</v>
      </c>
      <c r="F38" s="182">
        <f t="shared" si="9"/>
        <v>770.88793582704182</v>
      </c>
      <c r="G38" s="182">
        <f t="shared" si="9"/>
        <v>334.735380919698</v>
      </c>
      <c r="H38" s="182">
        <f t="shared" si="9"/>
        <v>12117.559341111873</v>
      </c>
    </row>
    <row r="39" spans="1:8" x14ac:dyDescent="0.2">
      <c r="A39" s="33" t="s">
        <v>84</v>
      </c>
      <c r="B39" s="214">
        <f t="shared" si="8"/>
        <v>5163</v>
      </c>
      <c r="C39" s="182">
        <f t="shared" si="9"/>
        <v>8881.6428646135973</v>
      </c>
      <c r="D39" s="182">
        <f t="shared" si="9"/>
        <v>1900.4736393569631</v>
      </c>
      <c r="E39" s="182">
        <f t="shared" si="9"/>
        <v>1450.9007166376136</v>
      </c>
      <c r="F39" s="182">
        <f t="shared" si="9"/>
        <v>1158.2924191361608</v>
      </c>
      <c r="G39" s="182">
        <f t="shared" si="9"/>
        <v>374.54597520821233</v>
      </c>
      <c r="H39" s="182">
        <f t="shared" si="9"/>
        <v>13765.855614952545</v>
      </c>
    </row>
    <row r="40" spans="1:8" x14ac:dyDescent="0.2">
      <c r="A40" s="33" t="s">
        <v>85</v>
      </c>
      <c r="B40" s="220">
        <f t="shared" si="8"/>
        <v>1384</v>
      </c>
      <c r="C40" s="183">
        <f t="shared" si="9"/>
        <v>13639.353143063587</v>
      </c>
      <c r="D40" s="183">
        <f t="shared" si="9"/>
        <v>3348.3939089595374</v>
      </c>
      <c r="E40" s="183">
        <f t="shared" si="9"/>
        <v>2549.6112138728322</v>
      </c>
      <c r="F40" s="183">
        <f t="shared" si="9"/>
        <v>1844.3438005780349</v>
      </c>
      <c r="G40" s="183">
        <f t="shared" si="9"/>
        <v>223.75680635838154</v>
      </c>
      <c r="H40" s="183">
        <f t="shared" si="9"/>
        <v>21605.458872832372</v>
      </c>
    </row>
    <row r="41" spans="1:8" x14ac:dyDescent="0.2">
      <c r="A41" s="33" t="s">
        <v>104</v>
      </c>
      <c r="B41" s="214">
        <f t="shared" si="8"/>
        <v>40547</v>
      </c>
      <c r="C41" s="182">
        <f t="shared" si="9"/>
        <v>7866.7554460256015</v>
      </c>
      <c r="D41" s="182">
        <f t="shared" si="9"/>
        <v>1502.1842550620268</v>
      </c>
      <c r="E41" s="182">
        <f t="shared" si="9"/>
        <v>979.65511899770638</v>
      </c>
      <c r="F41" s="182">
        <f t="shared" si="9"/>
        <v>521.22277505117518</v>
      </c>
      <c r="G41" s="182">
        <f t="shared" si="9"/>
        <v>397.85210274496268</v>
      </c>
      <c r="H41" s="182">
        <f t="shared" si="9"/>
        <v>11267.669697881469</v>
      </c>
    </row>
    <row r="42" spans="1:8" x14ac:dyDescent="0.2">
      <c r="A42" s="33"/>
      <c r="B42" s="214"/>
      <c r="C42" s="182"/>
      <c r="D42" s="182"/>
      <c r="E42" s="182"/>
      <c r="F42" s="182"/>
      <c r="G42" s="182"/>
      <c r="H42" s="182"/>
    </row>
    <row r="43" spans="1:8" x14ac:dyDescent="0.2">
      <c r="A43" s="33" t="s">
        <v>86</v>
      </c>
      <c r="B43" s="214">
        <f>B19</f>
        <v>10013</v>
      </c>
      <c r="C43" s="182">
        <f t="shared" ref="C43:H45" si="10">C19/$B43</f>
        <v>6758.9847428343155</v>
      </c>
      <c r="D43" s="182">
        <f t="shared" si="10"/>
        <v>1148.8481434135622</v>
      </c>
      <c r="E43" s="182">
        <f t="shared" si="10"/>
        <v>794.68072905223221</v>
      </c>
      <c r="F43" s="182">
        <f t="shared" si="10"/>
        <v>490.55886247877754</v>
      </c>
      <c r="G43" s="182">
        <f t="shared" si="10"/>
        <v>442.47994706881053</v>
      </c>
      <c r="H43" s="182">
        <f t="shared" si="10"/>
        <v>9635.5524248476977</v>
      </c>
    </row>
    <row r="44" spans="1:8" x14ac:dyDescent="0.2">
      <c r="A44" s="33" t="s">
        <v>87</v>
      </c>
      <c r="B44" s="220">
        <f>B20</f>
        <v>7466</v>
      </c>
      <c r="C44" s="183">
        <f t="shared" si="10"/>
        <v>9880.1646959549944</v>
      </c>
      <c r="D44" s="183">
        <f t="shared" si="10"/>
        <v>1888.3301875167422</v>
      </c>
      <c r="E44" s="183">
        <f t="shared" si="10"/>
        <v>1631.9862242164484</v>
      </c>
      <c r="F44" s="183">
        <f t="shared" si="10"/>
        <v>1182.6368470399141</v>
      </c>
      <c r="G44" s="183">
        <f t="shared" si="10"/>
        <v>437.10406777390835</v>
      </c>
      <c r="H44" s="183">
        <f t="shared" si="10"/>
        <v>15020.222022502008</v>
      </c>
    </row>
    <row r="45" spans="1:8" x14ac:dyDescent="0.2">
      <c r="A45" s="33" t="s">
        <v>105</v>
      </c>
      <c r="B45" s="214">
        <f>B21</f>
        <v>17479</v>
      </c>
      <c r="C45" s="182">
        <f t="shared" si="10"/>
        <v>8092.169108644659</v>
      </c>
      <c r="D45" s="182">
        <f t="shared" si="10"/>
        <v>1464.7113473310828</v>
      </c>
      <c r="E45" s="182">
        <f t="shared" si="10"/>
        <v>1152.328353452715</v>
      </c>
      <c r="F45" s="182">
        <f t="shared" si="10"/>
        <v>786.17384232507584</v>
      </c>
      <c r="G45" s="182">
        <f t="shared" si="10"/>
        <v>440.18368785399622</v>
      </c>
      <c r="H45" s="182">
        <f t="shared" si="10"/>
        <v>11935.566339607529</v>
      </c>
    </row>
    <row r="46" spans="1:8" x14ac:dyDescent="0.2">
      <c r="A46" s="33"/>
      <c r="B46" s="214"/>
      <c r="C46" s="182"/>
      <c r="D46" s="182"/>
      <c r="E46" s="182"/>
      <c r="F46" s="182"/>
      <c r="G46" s="182"/>
      <c r="H46" s="182"/>
    </row>
    <row r="47" spans="1:8" ht="13.5" thickBot="1" x14ac:dyDescent="0.25">
      <c r="A47" s="33" t="s">
        <v>209</v>
      </c>
      <c r="B47" s="222">
        <f>B23</f>
        <v>147965</v>
      </c>
      <c r="C47" s="192">
        <f t="shared" ref="C47:H47" si="11">C23/$B47</f>
        <v>7606.689996418073</v>
      </c>
      <c r="D47" s="192">
        <f t="shared" si="11"/>
        <v>1264.1509527928902</v>
      </c>
      <c r="E47" s="192">
        <f t="shared" si="11"/>
        <v>847.77550569391417</v>
      </c>
      <c r="F47" s="192">
        <f t="shared" si="11"/>
        <v>450.2578236069341</v>
      </c>
      <c r="G47" s="192">
        <f t="shared" si="11"/>
        <v>319.5440940763018</v>
      </c>
      <c r="H47" s="192">
        <f t="shared" si="11"/>
        <v>10488.418372588112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1082</v>
      </c>
      <c r="B52" s="182"/>
      <c r="C52" s="182"/>
      <c r="D52" s="182"/>
      <c r="E52" s="182"/>
      <c r="F52" s="182"/>
      <c r="G52" s="182"/>
      <c r="H52" s="182"/>
    </row>
    <row r="53" spans="1:8" ht="33.75" x14ac:dyDescent="0.2">
      <c r="A53" s="155" t="s">
        <v>245</v>
      </c>
      <c r="B53" s="172" t="str">
        <f t="shared" ref="B53:H53" si="12">B3</f>
        <v>ANB11</v>
      </c>
      <c r="C53" s="172" t="str">
        <f t="shared" si="12"/>
        <v>11/Pupil Salaries &amp; Benefits</v>
      </c>
      <c r="D53" s="172" t="str">
        <f t="shared" si="12"/>
        <v>11/Pupil Purchased Services</v>
      </c>
      <c r="E53" s="172" t="str">
        <f t="shared" si="12"/>
        <v>11/Pupil Supplies</v>
      </c>
      <c r="F53" s="172" t="str">
        <f t="shared" si="12"/>
        <v>11/Pupil Capital Outlay</v>
      </c>
      <c r="G53" s="172" t="str">
        <f t="shared" si="12"/>
        <v>11/Pupil Other</v>
      </c>
      <c r="H53" s="172" t="str">
        <f t="shared" si="12"/>
        <v>11/Pupil Total Expenditures</v>
      </c>
    </row>
    <row r="54" spans="1:8" x14ac:dyDescent="0.2">
      <c r="A54" s="33" t="s">
        <v>102</v>
      </c>
      <c r="B54" s="214">
        <f t="shared" ref="B54:B59" si="13">B4</f>
        <v>37842</v>
      </c>
      <c r="C54" s="191">
        <f t="shared" ref="C54:H60" si="14">C28/$H28</f>
        <v>0.79881989629955619</v>
      </c>
      <c r="D54" s="191">
        <f t="shared" si="14"/>
        <v>0.108387165733856</v>
      </c>
      <c r="E54" s="191">
        <f t="shared" si="14"/>
        <v>4.8451326392443414E-2</v>
      </c>
      <c r="F54" s="191">
        <f t="shared" si="14"/>
        <v>2.5402633251348755E-2</v>
      </c>
      <c r="G54" s="191">
        <f t="shared" si="14"/>
        <v>1.8938978322795522E-2</v>
      </c>
      <c r="H54" s="191">
        <f t="shared" si="14"/>
        <v>1</v>
      </c>
    </row>
    <row r="55" spans="1:8" x14ac:dyDescent="0.2">
      <c r="A55" s="33" t="s">
        <v>76</v>
      </c>
      <c r="B55" s="214">
        <f t="shared" si="13"/>
        <v>18223</v>
      </c>
      <c r="C55" s="191">
        <f t="shared" si="14"/>
        <v>0.74833124955647723</v>
      </c>
      <c r="D55" s="191">
        <f t="shared" si="14"/>
        <v>0.10146402033050217</v>
      </c>
      <c r="E55" s="191">
        <f t="shared" si="14"/>
        <v>7.3476000981899325E-2</v>
      </c>
      <c r="F55" s="191">
        <f t="shared" si="14"/>
        <v>2.9808134129344171E-2</v>
      </c>
      <c r="G55" s="191">
        <f t="shared" si="14"/>
        <v>4.6920595001777109E-2</v>
      </c>
      <c r="H55" s="191">
        <f t="shared" si="14"/>
        <v>1</v>
      </c>
    </row>
    <row r="56" spans="1:8" x14ac:dyDescent="0.2">
      <c r="A56" s="33" t="s">
        <v>77</v>
      </c>
      <c r="B56" s="214">
        <f t="shared" si="13"/>
        <v>13498</v>
      </c>
      <c r="C56" s="191">
        <f t="shared" si="14"/>
        <v>0.73423558308036185</v>
      </c>
      <c r="D56" s="191">
        <f t="shared" si="14"/>
        <v>0.11364508110403347</v>
      </c>
      <c r="E56" s="191">
        <f t="shared" si="14"/>
        <v>9.0768173470037447E-2</v>
      </c>
      <c r="F56" s="191">
        <f t="shared" si="14"/>
        <v>4.3146452143402673E-2</v>
      </c>
      <c r="G56" s="191">
        <f t="shared" si="14"/>
        <v>1.8204710202164791E-2</v>
      </c>
      <c r="H56" s="191">
        <f t="shared" si="14"/>
        <v>1</v>
      </c>
    </row>
    <row r="57" spans="1:8" x14ac:dyDescent="0.2">
      <c r="A57" s="33" t="s">
        <v>78</v>
      </c>
      <c r="B57" s="214">
        <f t="shared" si="13"/>
        <v>13549</v>
      </c>
      <c r="C57" s="191">
        <f t="shared" si="14"/>
        <v>0.70168335363314505</v>
      </c>
      <c r="D57" s="191">
        <f t="shared" si="14"/>
        <v>0.11940245124771399</v>
      </c>
      <c r="E57" s="191">
        <f t="shared" si="14"/>
        <v>9.0406291223668764E-2</v>
      </c>
      <c r="F57" s="191">
        <f t="shared" si="14"/>
        <v>5.2777965356869953E-2</v>
      </c>
      <c r="G57" s="191">
        <f t="shared" si="14"/>
        <v>3.5729938538602103E-2</v>
      </c>
      <c r="H57" s="191">
        <f t="shared" si="14"/>
        <v>1</v>
      </c>
    </row>
    <row r="58" spans="1:8" x14ac:dyDescent="0.2">
      <c r="A58" s="33" t="s">
        <v>79</v>
      </c>
      <c r="B58" s="214">
        <f t="shared" si="13"/>
        <v>4973</v>
      </c>
      <c r="C58" s="191">
        <f t="shared" si="14"/>
        <v>0.67321078412528357</v>
      </c>
      <c r="D58" s="191">
        <f t="shared" si="14"/>
        <v>0.14181629399274825</v>
      </c>
      <c r="E58" s="191">
        <f t="shared" si="14"/>
        <v>0.11738648273997718</v>
      </c>
      <c r="F58" s="191">
        <f t="shared" si="14"/>
        <v>5.6303923925472246E-2</v>
      </c>
      <c r="G58" s="191">
        <f t="shared" si="14"/>
        <v>1.1282515216518716E-2</v>
      </c>
      <c r="H58" s="191">
        <f t="shared" si="14"/>
        <v>1</v>
      </c>
    </row>
    <row r="59" spans="1:8" x14ac:dyDescent="0.2">
      <c r="A59" s="33" t="s">
        <v>80</v>
      </c>
      <c r="B59" s="220">
        <f t="shared" si="13"/>
        <v>1854</v>
      </c>
      <c r="C59" s="193">
        <f t="shared" si="14"/>
        <v>0.64505703244975487</v>
      </c>
      <c r="D59" s="193">
        <f t="shared" si="14"/>
        <v>0.17396352053808328</v>
      </c>
      <c r="E59" s="193">
        <f t="shared" si="14"/>
        <v>0.14000643300863672</v>
      </c>
      <c r="F59" s="193">
        <f t="shared" si="14"/>
        <v>3.3609842209535563E-2</v>
      </c>
      <c r="G59" s="193">
        <f t="shared" si="14"/>
        <v>7.3631717939896899E-3</v>
      </c>
      <c r="H59" s="193">
        <f t="shared" si="14"/>
        <v>1</v>
      </c>
    </row>
    <row r="60" spans="1:8" x14ac:dyDescent="0.2">
      <c r="A60" s="33" t="s">
        <v>103</v>
      </c>
      <c r="B60" s="214">
        <f>SUM(B54:B59)</f>
        <v>89939</v>
      </c>
      <c r="C60" s="191">
        <f t="shared" si="14"/>
        <v>0.75032420666201904</v>
      </c>
      <c r="D60" s="191">
        <f t="shared" si="14"/>
        <v>0.11342091034611061</v>
      </c>
      <c r="E60" s="191">
        <f t="shared" si="14"/>
        <v>7.3979571767943744E-2</v>
      </c>
      <c r="F60" s="191">
        <f t="shared" si="14"/>
        <v>3.5814400434483876E-2</v>
      </c>
      <c r="G60" s="191">
        <f t="shared" si="14"/>
        <v>2.6460910789442838E-2</v>
      </c>
      <c r="H60" s="191">
        <f t="shared" si="14"/>
        <v>1</v>
      </c>
    </row>
    <row r="61" spans="1:8" x14ac:dyDescent="0.2">
      <c r="A61" s="33"/>
      <c r="B61" s="214"/>
      <c r="C61" s="191"/>
      <c r="D61" s="191"/>
      <c r="E61" s="191"/>
      <c r="F61" s="191"/>
      <c r="G61" s="191"/>
      <c r="H61" s="191"/>
    </row>
    <row r="62" spans="1:8" x14ac:dyDescent="0.2">
      <c r="A62" s="33" t="s">
        <v>81</v>
      </c>
      <c r="B62" s="214">
        <f t="shared" ref="B62:B67" si="15">B12</f>
        <v>21890</v>
      </c>
      <c r="C62" s="191">
        <f t="shared" ref="C62:H67" si="16">C36/$H36</f>
        <v>0.72107968477895867</v>
      </c>
      <c r="D62" s="191">
        <f t="shared" si="16"/>
        <v>0.14111013479506931</v>
      </c>
      <c r="E62" s="191">
        <f t="shared" si="16"/>
        <v>7.1103721075083365E-2</v>
      </c>
      <c r="F62" s="191">
        <f t="shared" si="16"/>
        <v>2.5870476843177826E-2</v>
      </c>
      <c r="G62" s="191">
        <f t="shared" si="16"/>
        <v>4.0835982507710832E-2</v>
      </c>
      <c r="H62" s="191">
        <f t="shared" si="16"/>
        <v>1</v>
      </c>
    </row>
    <row r="63" spans="1:8" x14ac:dyDescent="0.2">
      <c r="A63" s="33" t="s">
        <v>82</v>
      </c>
      <c r="B63" s="214">
        <f t="shared" si="15"/>
        <v>6282</v>
      </c>
      <c r="C63" s="191">
        <f t="shared" si="16"/>
        <v>0.73507951502559077</v>
      </c>
      <c r="D63" s="191">
        <f t="shared" si="16"/>
        <v>9.68453642446436E-2</v>
      </c>
      <c r="E63" s="191">
        <f t="shared" si="16"/>
        <v>8.575981011525885E-2</v>
      </c>
      <c r="F63" s="191">
        <f t="shared" si="16"/>
        <v>3.7056331659616949E-2</v>
      </c>
      <c r="G63" s="191">
        <f t="shared" si="16"/>
        <v>4.5258978954889839E-2</v>
      </c>
      <c r="H63" s="191">
        <f t="shared" si="16"/>
        <v>1</v>
      </c>
    </row>
    <row r="64" spans="1:8" x14ac:dyDescent="0.2">
      <c r="A64" s="33" t="s">
        <v>83</v>
      </c>
      <c r="B64" s="214">
        <f t="shared" si="15"/>
        <v>5828</v>
      </c>
      <c r="C64" s="191">
        <f t="shared" si="16"/>
        <v>0.67435585598477132</v>
      </c>
      <c r="D64" s="191">
        <f t="shared" si="16"/>
        <v>0.12870971858330849</v>
      </c>
      <c r="E64" s="191">
        <f t="shared" si="16"/>
        <v>0.10569300580085374</v>
      </c>
      <c r="F64" s="191">
        <f t="shared" si="16"/>
        <v>6.3617426094346424E-2</v>
      </c>
      <c r="G64" s="191">
        <f t="shared" si="16"/>
        <v>2.7623993536720209E-2</v>
      </c>
      <c r="H64" s="191">
        <f t="shared" si="16"/>
        <v>1</v>
      </c>
    </row>
    <row r="65" spans="1:8" x14ac:dyDescent="0.2">
      <c r="A65" s="33" t="s">
        <v>84</v>
      </c>
      <c r="B65" s="214">
        <f t="shared" si="15"/>
        <v>5163</v>
      </c>
      <c r="C65" s="191">
        <f t="shared" si="16"/>
        <v>0.64519366707335724</v>
      </c>
      <c r="D65" s="191">
        <f t="shared" si="16"/>
        <v>0.13805706615814411</v>
      </c>
      <c r="E65" s="191">
        <f t="shared" si="16"/>
        <v>0.10539851333771347</v>
      </c>
      <c r="F65" s="191">
        <f t="shared" si="16"/>
        <v>8.4142421040506732E-2</v>
      </c>
      <c r="G65" s="191">
        <f t="shared" si="16"/>
        <v>2.7208332390278634E-2</v>
      </c>
      <c r="H65" s="191">
        <f t="shared" si="16"/>
        <v>1</v>
      </c>
    </row>
    <row r="66" spans="1:8" x14ac:dyDescent="0.2">
      <c r="A66" s="33" t="s">
        <v>85</v>
      </c>
      <c r="B66" s="220">
        <f t="shared" si="15"/>
        <v>1384</v>
      </c>
      <c r="C66" s="193">
        <f t="shared" si="16"/>
        <v>0.63129199075768261</v>
      </c>
      <c r="D66" s="193">
        <f t="shared" si="16"/>
        <v>0.15497906934853167</v>
      </c>
      <c r="E66" s="193">
        <f t="shared" si="16"/>
        <v>0.11800773262348167</v>
      </c>
      <c r="F66" s="193">
        <f t="shared" si="16"/>
        <v>8.5364713215935986E-2</v>
      </c>
      <c r="G66" s="193">
        <f t="shared" si="16"/>
        <v>1.0356494054368033E-2</v>
      </c>
      <c r="H66" s="193">
        <f t="shared" si="16"/>
        <v>1</v>
      </c>
    </row>
    <row r="67" spans="1:8" x14ac:dyDescent="0.2">
      <c r="A67" s="33" t="s">
        <v>104</v>
      </c>
      <c r="B67" s="214">
        <f t="shared" si="15"/>
        <v>40547</v>
      </c>
      <c r="C67" s="191">
        <f t="shared" si="16"/>
        <v>0.69817057625541667</v>
      </c>
      <c r="D67" s="191">
        <f t="shared" si="16"/>
        <v>0.13331809463179997</v>
      </c>
      <c r="E67" s="191">
        <f t="shared" si="16"/>
        <v>8.6943897475260545E-2</v>
      </c>
      <c r="F67" s="191">
        <f t="shared" si="16"/>
        <v>4.6258258275814985E-2</v>
      </c>
      <c r="G67" s="191">
        <f t="shared" si="16"/>
        <v>3.530917336170817E-2</v>
      </c>
      <c r="H67" s="191">
        <f t="shared" si="16"/>
        <v>1</v>
      </c>
    </row>
    <row r="68" spans="1:8" x14ac:dyDescent="0.2">
      <c r="A68" s="33"/>
      <c r="B68" s="214"/>
      <c r="C68" s="191"/>
      <c r="D68" s="191"/>
      <c r="E68" s="191"/>
      <c r="F68" s="191"/>
      <c r="G68" s="191"/>
      <c r="H68" s="191"/>
    </row>
    <row r="69" spans="1:8" x14ac:dyDescent="0.2">
      <c r="A69" s="33" t="s">
        <v>86</v>
      </c>
      <c r="B69" s="214">
        <f>B19</f>
        <v>10013</v>
      </c>
      <c r="C69" s="191">
        <f t="shared" ref="C69:H71" si="17">C43/$H43</f>
        <v>0.70146312788507814</v>
      </c>
      <c r="D69" s="191">
        <f t="shared" si="17"/>
        <v>0.11923012742382762</v>
      </c>
      <c r="E69" s="191">
        <f t="shared" si="17"/>
        <v>8.247381094652631E-2</v>
      </c>
      <c r="F69" s="191">
        <f t="shared" si="17"/>
        <v>5.0911337601541977E-2</v>
      </c>
      <c r="G69" s="191">
        <f t="shared" si="17"/>
        <v>4.5921596143025968E-2</v>
      </c>
      <c r="H69" s="191">
        <f t="shared" si="17"/>
        <v>1</v>
      </c>
    </row>
    <row r="70" spans="1:8" x14ac:dyDescent="0.2">
      <c r="A70" s="33" t="s">
        <v>87</v>
      </c>
      <c r="B70" s="220">
        <f>B20</f>
        <v>7466</v>
      </c>
      <c r="C70" s="193">
        <f t="shared" si="17"/>
        <v>0.65779085563138673</v>
      </c>
      <c r="D70" s="193">
        <f t="shared" si="17"/>
        <v>0.12571919274480817</v>
      </c>
      <c r="E70" s="193">
        <f t="shared" si="17"/>
        <v>0.10865260325523461</v>
      </c>
      <c r="F70" s="193">
        <f t="shared" si="17"/>
        <v>7.8736309308090724E-2</v>
      </c>
      <c r="G70" s="193">
        <f t="shared" si="17"/>
        <v>2.91010390604797E-2</v>
      </c>
      <c r="H70" s="193">
        <f t="shared" si="17"/>
        <v>1</v>
      </c>
    </row>
    <row r="71" spans="1:8" x14ac:dyDescent="0.2">
      <c r="A71" s="33" t="s">
        <v>105</v>
      </c>
      <c r="B71" s="214">
        <f>B21</f>
        <v>17479</v>
      </c>
      <c r="C71" s="191">
        <f t="shared" si="17"/>
        <v>0.67798786235984754</v>
      </c>
      <c r="D71" s="191">
        <f t="shared" si="17"/>
        <v>0.12271821090470737</v>
      </c>
      <c r="E71" s="191">
        <f t="shared" si="17"/>
        <v>9.6545762527310994E-2</v>
      </c>
      <c r="F71" s="191">
        <f t="shared" si="17"/>
        <v>6.5868164103466173E-2</v>
      </c>
      <c r="G71" s="191">
        <f t="shared" si="17"/>
        <v>3.6880000104667889E-2</v>
      </c>
      <c r="H71" s="191">
        <f t="shared" si="17"/>
        <v>1</v>
      </c>
    </row>
    <row r="72" spans="1:8" x14ac:dyDescent="0.2">
      <c r="A72" s="33"/>
      <c r="B72" s="214"/>
      <c r="C72" s="191"/>
      <c r="D72" s="191"/>
      <c r="E72" s="191"/>
      <c r="F72" s="191"/>
      <c r="G72" s="191"/>
      <c r="H72" s="191"/>
    </row>
    <row r="73" spans="1:8" ht="13.5" thickBot="1" x14ac:dyDescent="0.25">
      <c r="A73" s="33" t="s">
        <v>230</v>
      </c>
      <c r="B73" s="222">
        <f>B71+B67+B60</f>
        <v>147965</v>
      </c>
      <c r="C73" s="195">
        <f t="shared" ref="C73:H73" si="18">C47/$H47</f>
        <v>0.7252466221502426</v>
      </c>
      <c r="D73" s="195">
        <f t="shared" si="18"/>
        <v>0.12052827298506681</v>
      </c>
      <c r="E73" s="195">
        <f t="shared" si="18"/>
        <v>8.0829680470184934E-2</v>
      </c>
      <c r="F73" s="195">
        <f t="shared" si="18"/>
        <v>4.2929048748064851E-2</v>
      </c>
      <c r="G73" s="195">
        <f t="shared" si="18"/>
        <v>3.0466375646440905E-2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63"/>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6" t="s">
        <v>247</v>
      </c>
      <c r="B1" s="22"/>
      <c r="C1" s="22"/>
      <c r="D1" s="22"/>
      <c r="E1" s="22"/>
      <c r="F1" s="22"/>
      <c r="G1" s="22"/>
      <c r="H1" s="22"/>
    </row>
    <row r="2" spans="1:8" x14ac:dyDescent="0.2">
      <c r="A2" s="22" t="s">
        <v>1050</v>
      </c>
    </row>
    <row r="3" spans="1:8" ht="33.75" x14ac:dyDescent="0.2">
      <c r="A3" s="22" t="s">
        <v>245</v>
      </c>
      <c r="B3" s="202" t="s">
        <v>1026</v>
      </c>
      <c r="C3" s="172" t="s">
        <v>1044</v>
      </c>
      <c r="D3" s="172" t="s">
        <v>1045</v>
      </c>
      <c r="E3" s="172" t="s">
        <v>1046</v>
      </c>
      <c r="F3" s="172" t="s">
        <v>1047</v>
      </c>
      <c r="G3" s="172" t="s">
        <v>1048</v>
      </c>
      <c r="H3" s="172" t="s">
        <v>1049</v>
      </c>
    </row>
    <row r="4" spans="1:8" x14ac:dyDescent="0.2">
      <c r="A4" s="182" t="s">
        <v>102</v>
      </c>
      <c r="B4" s="214">
        <v>37450</v>
      </c>
      <c r="C4" s="214">
        <v>243455663.45999998</v>
      </c>
      <c r="D4" s="214">
        <v>32842171.039999999</v>
      </c>
      <c r="E4" s="214">
        <v>16391600.609999999</v>
      </c>
      <c r="F4" s="214">
        <v>6331047.7400000012</v>
      </c>
      <c r="G4" s="214">
        <v>3094059.55</v>
      </c>
      <c r="H4" s="214">
        <f t="shared" ref="H4:H9" si="0">SUM(C4:G4)</f>
        <v>302114542.40000004</v>
      </c>
    </row>
    <row r="5" spans="1:8" x14ac:dyDescent="0.2">
      <c r="A5" s="33" t="s">
        <v>76</v>
      </c>
      <c r="B5" s="214">
        <v>18051</v>
      </c>
      <c r="C5" s="214">
        <v>128840086.53000002</v>
      </c>
      <c r="D5" s="214">
        <v>16487575.629999999</v>
      </c>
      <c r="E5" s="214">
        <v>12165620.52</v>
      </c>
      <c r="F5" s="214">
        <v>9046862.0399999991</v>
      </c>
      <c r="G5" s="214">
        <v>8254722.3700000001</v>
      </c>
      <c r="H5" s="214">
        <f t="shared" si="0"/>
        <v>174794867.09000003</v>
      </c>
    </row>
    <row r="6" spans="1:8" x14ac:dyDescent="0.2">
      <c r="A6" s="33" t="s">
        <v>77</v>
      </c>
      <c r="B6" s="214">
        <v>13477</v>
      </c>
      <c r="C6" s="214">
        <v>96724261.850000009</v>
      </c>
      <c r="D6" s="214">
        <v>14209766.48</v>
      </c>
      <c r="E6" s="214">
        <v>11826041.93</v>
      </c>
      <c r="F6" s="214">
        <v>4573423.2</v>
      </c>
      <c r="G6" s="214">
        <v>3210481.01</v>
      </c>
      <c r="H6" s="214">
        <f t="shared" si="0"/>
        <v>130543974.47000003</v>
      </c>
    </row>
    <row r="7" spans="1:8" x14ac:dyDescent="0.2">
      <c r="A7" s="33" t="s">
        <v>78</v>
      </c>
      <c r="B7" s="214">
        <v>13204</v>
      </c>
      <c r="C7" s="214">
        <v>89347620.939999998</v>
      </c>
      <c r="D7" s="214">
        <v>15726071.539999997</v>
      </c>
      <c r="E7" s="214">
        <v>12239905.470000003</v>
      </c>
      <c r="F7" s="214">
        <v>5895504.7500000009</v>
      </c>
      <c r="G7" s="214">
        <v>4660173.62</v>
      </c>
      <c r="H7" s="214">
        <f t="shared" si="0"/>
        <v>127869276.31999999</v>
      </c>
    </row>
    <row r="8" spans="1:8" x14ac:dyDescent="0.2">
      <c r="A8" s="33" t="s">
        <v>79</v>
      </c>
      <c r="B8" s="214">
        <v>5654</v>
      </c>
      <c r="C8" s="214">
        <v>43895847.959999986</v>
      </c>
      <c r="D8" s="214">
        <v>9564746.3899999987</v>
      </c>
      <c r="E8" s="214">
        <v>7809517.799999997</v>
      </c>
      <c r="F8" s="214">
        <v>7572373.6799999997</v>
      </c>
      <c r="G8" s="214">
        <v>1030953.2100000001</v>
      </c>
      <c r="H8" s="214">
        <f t="shared" si="0"/>
        <v>69873439.039999977</v>
      </c>
    </row>
    <row r="9" spans="1:8" x14ac:dyDescent="0.2">
      <c r="A9" s="33" t="s">
        <v>80</v>
      </c>
      <c r="B9" s="220">
        <v>1790</v>
      </c>
      <c r="C9" s="220">
        <v>11983398.869999999</v>
      </c>
      <c r="D9" s="220">
        <v>3884780.7299999995</v>
      </c>
      <c r="E9" s="220">
        <v>2762102.27</v>
      </c>
      <c r="F9" s="220">
        <v>791897.05000000016</v>
      </c>
      <c r="G9" s="220">
        <v>98261.19</v>
      </c>
      <c r="H9" s="220">
        <f t="shared" si="0"/>
        <v>19520440.109999999</v>
      </c>
    </row>
    <row r="10" spans="1:8" x14ac:dyDescent="0.2">
      <c r="A10" s="33" t="s">
        <v>103</v>
      </c>
      <c r="B10" s="221">
        <f t="shared" ref="B10:H10" si="1">SUM(B4:B9)</f>
        <v>89626</v>
      </c>
      <c r="C10" s="221">
        <f t="shared" si="1"/>
        <v>614246879.61000001</v>
      </c>
      <c r="D10" s="221">
        <f t="shared" si="1"/>
        <v>92715111.810000002</v>
      </c>
      <c r="E10" s="221">
        <f t="shared" si="1"/>
        <v>63194788.600000001</v>
      </c>
      <c r="F10" s="221">
        <f t="shared" si="1"/>
        <v>34211108.460000001</v>
      </c>
      <c r="G10" s="221">
        <f t="shared" si="1"/>
        <v>20348650.950000003</v>
      </c>
      <c r="H10" s="214">
        <f t="shared" si="1"/>
        <v>824716539.42999995</v>
      </c>
    </row>
    <row r="11" spans="1:8" x14ac:dyDescent="0.2">
      <c r="A11" s="33"/>
      <c r="B11" s="182"/>
      <c r="C11" s="221"/>
      <c r="D11" s="221"/>
      <c r="E11" s="221"/>
      <c r="F11" s="221"/>
      <c r="G11" s="221"/>
      <c r="H11" s="214"/>
    </row>
    <row r="12" spans="1:8" x14ac:dyDescent="0.2">
      <c r="A12" s="33" t="s">
        <v>81</v>
      </c>
      <c r="B12" s="182">
        <v>22224</v>
      </c>
      <c r="C12" s="182">
        <v>156056347.60000002</v>
      </c>
      <c r="D12" s="182">
        <v>30657635.419999994</v>
      </c>
      <c r="E12" s="182">
        <v>14663751.600000003</v>
      </c>
      <c r="F12" s="182">
        <v>5134889.43</v>
      </c>
      <c r="G12" s="182">
        <v>8897360.0500000007</v>
      </c>
      <c r="H12" s="214">
        <f>SUM(C12:G12)</f>
        <v>215409984.10000002</v>
      </c>
    </row>
    <row r="13" spans="1:8" x14ac:dyDescent="0.2">
      <c r="A13" s="33" t="s">
        <v>82</v>
      </c>
      <c r="B13" s="182">
        <v>6925</v>
      </c>
      <c r="C13" s="182">
        <v>49900921.099999994</v>
      </c>
      <c r="D13" s="182">
        <v>6569956.7499999991</v>
      </c>
      <c r="E13" s="182">
        <v>6014755.3499999996</v>
      </c>
      <c r="F13" s="182">
        <v>3874240.6500000004</v>
      </c>
      <c r="G13" s="182">
        <v>1831080.9899999998</v>
      </c>
      <c r="H13" s="214">
        <f>SUM(C13:G13)</f>
        <v>68190954.839999989</v>
      </c>
    </row>
    <row r="14" spans="1:8" x14ac:dyDescent="0.2">
      <c r="A14" s="33" t="s">
        <v>83</v>
      </c>
      <c r="B14" s="182">
        <v>5426</v>
      </c>
      <c r="C14" s="182">
        <v>40938639.63000001</v>
      </c>
      <c r="D14" s="182">
        <v>8063800.7500000009</v>
      </c>
      <c r="E14" s="182">
        <v>6779193.25</v>
      </c>
      <c r="F14" s="182">
        <v>7964441.1900000004</v>
      </c>
      <c r="G14" s="182">
        <v>1148652.81</v>
      </c>
      <c r="H14" s="214">
        <f>SUM(C14:G14)</f>
        <v>64894727.63000001</v>
      </c>
    </row>
    <row r="15" spans="1:8" x14ac:dyDescent="0.2">
      <c r="A15" s="33" t="s">
        <v>84</v>
      </c>
      <c r="B15" s="182">
        <v>5335</v>
      </c>
      <c r="C15" s="182">
        <v>44349567.549999997</v>
      </c>
      <c r="D15" s="182">
        <v>10076384.170000002</v>
      </c>
      <c r="E15" s="182">
        <v>7396894.6999999993</v>
      </c>
      <c r="F15" s="182">
        <v>4875770.21</v>
      </c>
      <c r="G15" s="182">
        <v>2441747.9799999995</v>
      </c>
      <c r="H15" s="214">
        <f>SUM(C15:G15)</f>
        <v>69140364.609999999</v>
      </c>
    </row>
    <row r="16" spans="1:8" x14ac:dyDescent="0.2">
      <c r="A16" s="33" t="s">
        <v>85</v>
      </c>
      <c r="B16" s="183">
        <v>1736</v>
      </c>
      <c r="C16" s="183">
        <v>20214850.039999995</v>
      </c>
      <c r="D16" s="183">
        <v>5641171.8099999996</v>
      </c>
      <c r="E16" s="183">
        <v>4322948.82</v>
      </c>
      <c r="F16" s="183">
        <v>5604589.8200000003</v>
      </c>
      <c r="G16" s="183">
        <v>515458.13999999996</v>
      </c>
      <c r="H16" s="220">
        <f>SUM(C16:G16)</f>
        <v>36299018.629999995</v>
      </c>
    </row>
    <row r="17" spans="1:8" x14ac:dyDescent="0.2">
      <c r="A17" s="33" t="s">
        <v>104</v>
      </c>
      <c r="B17" s="221">
        <f t="shared" ref="B17:H17" si="2">SUM(B12:B16)</f>
        <v>41646</v>
      </c>
      <c r="C17" s="221">
        <f t="shared" si="2"/>
        <v>311460325.92000008</v>
      </c>
      <c r="D17" s="221">
        <f t="shared" si="2"/>
        <v>61008948.899999999</v>
      </c>
      <c r="E17" s="221">
        <f t="shared" si="2"/>
        <v>39177543.720000006</v>
      </c>
      <c r="F17" s="221">
        <f t="shared" si="2"/>
        <v>27453931.300000001</v>
      </c>
      <c r="G17" s="221">
        <f t="shared" si="2"/>
        <v>14834299.970000003</v>
      </c>
      <c r="H17" s="221">
        <f t="shared" si="2"/>
        <v>453935049.81</v>
      </c>
    </row>
    <row r="18" spans="1:8" x14ac:dyDescent="0.2">
      <c r="A18" s="33"/>
      <c r="B18" s="182"/>
      <c r="C18" s="221"/>
      <c r="D18" s="221"/>
      <c r="E18" s="221"/>
      <c r="F18" s="221"/>
      <c r="G18" s="221"/>
      <c r="H18" s="214"/>
    </row>
    <row r="19" spans="1:8" x14ac:dyDescent="0.2">
      <c r="A19" s="33" t="s">
        <v>86</v>
      </c>
      <c r="B19" s="182">
        <v>10113</v>
      </c>
      <c r="C19" s="182">
        <v>63391082.039999999</v>
      </c>
      <c r="D19" s="182">
        <v>11057884.619999999</v>
      </c>
      <c r="E19" s="182">
        <v>7775012.3499999996</v>
      </c>
      <c r="F19" s="182">
        <v>3670195.91</v>
      </c>
      <c r="G19" s="182">
        <v>4261749.53</v>
      </c>
      <c r="H19" s="182">
        <f>SUM(C19:G19)</f>
        <v>90155924.449999988</v>
      </c>
    </row>
    <row r="20" spans="1:8" x14ac:dyDescent="0.2">
      <c r="A20" s="33" t="s">
        <v>87</v>
      </c>
      <c r="B20" s="183">
        <v>7480</v>
      </c>
      <c r="C20" s="183">
        <v>67994167.419999987</v>
      </c>
      <c r="D20" s="183">
        <v>12985886.050000001</v>
      </c>
      <c r="E20" s="183">
        <v>10992637.720000001</v>
      </c>
      <c r="F20" s="183">
        <v>5154704.6400000006</v>
      </c>
      <c r="G20" s="183">
        <v>3257171.4899999998</v>
      </c>
      <c r="H20" s="183">
        <f>SUM(C20:G20)</f>
        <v>100384567.31999998</v>
      </c>
    </row>
    <row r="21" spans="1:8" x14ac:dyDescent="0.2">
      <c r="A21" s="33" t="s">
        <v>105</v>
      </c>
      <c r="B21" s="221">
        <f t="shared" ref="B21:H21" si="3">SUM(B19:B20)</f>
        <v>17593</v>
      </c>
      <c r="C21" s="221">
        <f t="shared" si="3"/>
        <v>131385249.45999998</v>
      </c>
      <c r="D21" s="221">
        <f t="shared" si="3"/>
        <v>24043770.670000002</v>
      </c>
      <c r="E21" s="221">
        <f t="shared" si="3"/>
        <v>18767650.07</v>
      </c>
      <c r="F21" s="221">
        <f t="shared" si="3"/>
        <v>8824900.5500000007</v>
      </c>
      <c r="G21" s="221">
        <f t="shared" si="3"/>
        <v>7518921.0199999996</v>
      </c>
      <c r="H21" s="221">
        <f t="shared" si="3"/>
        <v>190540491.76999998</v>
      </c>
    </row>
    <row r="22" spans="1:8" x14ac:dyDescent="0.2">
      <c r="A22" s="33"/>
      <c r="B22" s="214"/>
      <c r="C22" s="214"/>
      <c r="D22" s="214"/>
      <c r="E22" s="214"/>
      <c r="F22" s="214"/>
      <c r="G22" s="214"/>
      <c r="H22" s="214"/>
    </row>
    <row r="23" spans="1:8" ht="13.5" thickBot="1" x14ac:dyDescent="0.25">
      <c r="A23" s="33" t="s">
        <v>209</v>
      </c>
      <c r="B23" s="222">
        <f t="shared" ref="B23:H23" si="4">B21+B17+B10</f>
        <v>148865</v>
      </c>
      <c r="C23" s="222">
        <f t="shared" si="4"/>
        <v>1057092454.99</v>
      </c>
      <c r="D23" s="222">
        <f t="shared" si="4"/>
        <v>177767831.38</v>
      </c>
      <c r="E23" s="222">
        <f t="shared" si="4"/>
        <v>121139982.39000002</v>
      </c>
      <c r="F23" s="222">
        <f t="shared" si="4"/>
        <v>70489940.310000002</v>
      </c>
      <c r="G23" s="222">
        <f t="shared" si="4"/>
        <v>42701871.940000005</v>
      </c>
      <c r="H23" s="222">
        <f t="shared" si="4"/>
        <v>1469192081.0099998</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1051</v>
      </c>
      <c r="B26" s="22"/>
      <c r="C26" s="22"/>
      <c r="D26" s="22"/>
      <c r="E26" s="22"/>
      <c r="F26" s="22"/>
      <c r="G26" s="22"/>
      <c r="H26" s="22"/>
    </row>
    <row r="27" spans="1:8" ht="33.75" x14ac:dyDescent="0.2">
      <c r="A27" s="155" t="s">
        <v>245</v>
      </c>
      <c r="B27" s="172" t="str">
        <f t="shared" ref="B27:H27" si="5">B3</f>
        <v>ANB10</v>
      </c>
      <c r="C27" s="172" t="str">
        <f t="shared" si="5"/>
        <v>10/Pupil Salaries &amp; Benefits</v>
      </c>
      <c r="D27" s="172" t="str">
        <f t="shared" si="5"/>
        <v>10/Pupil Purchased Services</v>
      </c>
      <c r="E27" s="172" t="str">
        <f t="shared" si="5"/>
        <v>10/Pupil Supplies</v>
      </c>
      <c r="F27" s="172" t="str">
        <f t="shared" si="5"/>
        <v>10/Pupil Capital Outlay</v>
      </c>
      <c r="G27" s="172" t="str">
        <f t="shared" si="5"/>
        <v>10/Pupil Other</v>
      </c>
      <c r="H27" s="172" t="str">
        <f t="shared" si="5"/>
        <v>10/Pupil Total Expenditures</v>
      </c>
    </row>
    <row r="28" spans="1:8" x14ac:dyDescent="0.2">
      <c r="A28" s="33" t="s">
        <v>102</v>
      </c>
      <c r="B28" s="214">
        <f t="shared" ref="B28:B34" si="6">B4</f>
        <v>37450</v>
      </c>
      <c r="C28" s="182">
        <f t="shared" ref="C28:H34" si="7">C4/$B28</f>
        <v>6500.8187839786378</v>
      </c>
      <c r="D28" s="182">
        <f t="shared" si="7"/>
        <v>876.96050841121496</v>
      </c>
      <c r="E28" s="182">
        <f t="shared" si="7"/>
        <v>437.69294018691585</v>
      </c>
      <c r="F28" s="182">
        <f t="shared" si="7"/>
        <v>169.05334419225636</v>
      </c>
      <c r="G28" s="182">
        <f t="shared" si="7"/>
        <v>82.618412550066751</v>
      </c>
      <c r="H28" s="182">
        <f t="shared" si="7"/>
        <v>8067.1439893190927</v>
      </c>
    </row>
    <row r="29" spans="1:8" x14ac:dyDescent="0.2">
      <c r="A29" s="33" t="s">
        <v>76</v>
      </c>
      <c r="B29" s="214">
        <f t="shared" si="6"/>
        <v>18051</v>
      </c>
      <c r="C29" s="182">
        <f t="shared" si="7"/>
        <v>7137.5594997507069</v>
      </c>
      <c r="D29" s="182">
        <f t="shared" si="7"/>
        <v>913.3884898343581</v>
      </c>
      <c r="E29" s="182">
        <f t="shared" si="7"/>
        <v>673.95825826824</v>
      </c>
      <c r="F29" s="182">
        <f t="shared" si="7"/>
        <v>501.18342695695526</v>
      </c>
      <c r="G29" s="182">
        <f t="shared" si="7"/>
        <v>457.30000387790153</v>
      </c>
      <c r="H29" s="182">
        <f t="shared" si="7"/>
        <v>9683.3896786881633</v>
      </c>
    </row>
    <row r="30" spans="1:8" x14ac:dyDescent="0.2">
      <c r="A30" s="33" t="s">
        <v>77</v>
      </c>
      <c r="B30" s="214">
        <f t="shared" si="6"/>
        <v>13477</v>
      </c>
      <c r="C30" s="182">
        <f t="shared" si="7"/>
        <v>7176.9875973881435</v>
      </c>
      <c r="D30" s="182">
        <f t="shared" si="7"/>
        <v>1054.3716316687689</v>
      </c>
      <c r="E30" s="182">
        <f t="shared" si="7"/>
        <v>877.49810269347779</v>
      </c>
      <c r="F30" s="182">
        <f t="shared" si="7"/>
        <v>339.3502411515916</v>
      </c>
      <c r="G30" s="182">
        <f t="shared" si="7"/>
        <v>238.21926318913702</v>
      </c>
      <c r="H30" s="182">
        <f t="shared" si="7"/>
        <v>9686.426836091121</v>
      </c>
    </row>
    <row r="31" spans="1:8" x14ac:dyDescent="0.2">
      <c r="A31" s="33" t="s">
        <v>78</v>
      </c>
      <c r="B31" s="214">
        <f t="shared" si="6"/>
        <v>13204</v>
      </c>
      <c r="C31" s="182">
        <f t="shared" si="7"/>
        <v>6766.7086443501967</v>
      </c>
      <c r="D31" s="182">
        <f t="shared" si="7"/>
        <v>1191.008144501666</v>
      </c>
      <c r="E31" s="182">
        <f t="shared" si="7"/>
        <v>926.98466146622252</v>
      </c>
      <c r="F31" s="182">
        <f t="shared" si="7"/>
        <v>446.49384656164807</v>
      </c>
      <c r="G31" s="182">
        <f t="shared" si="7"/>
        <v>352.93650560436231</v>
      </c>
      <c r="H31" s="182">
        <f t="shared" si="7"/>
        <v>9684.1318024840948</v>
      </c>
    </row>
    <row r="32" spans="1:8" x14ac:dyDescent="0.2">
      <c r="A32" s="33" t="s">
        <v>79</v>
      </c>
      <c r="B32" s="214">
        <f t="shared" si="6"/>
        <v>5654</v>
      </c>
      <c r="C32" s="182">
        <f t="shared" si="7"/>
        <v>7763.6802193137573</v>
      </c>
      <c r="D32" s="182">
        <f t="shared" si="7"/>
        <v>1691.6778192430136</v>
      </c>
      <c r="E32" s="182">
        <f t="shared" si="7"/>
        <v>1381.2376724442868</v>
      </c>
      <c r="F32" s="182">
        <f t="shared" si="7"/>
        <v>1339.2949557835161</v>
      </c>
      <c r="G32" s="182">
        <f t="shared" si="7"/>
        <v>182.34050406791653</v>
      </c>
      <c r="H32" s="182">
        <f t="shared" si="7"/>
        <v>12358.23117085249</v>
      </c>
    </row>
    <row r="33" spans="1:8" x14ac:dyDescent="0.2">
      <c r="A33" s="33" t="s">
        <v>80</v>
      </c>
      <c r="B33" s="220">
        <f t="shared" si="6"/>
        <v>1790</v>
      </c>
      <c r="C33" s="183">
        <f t="shared" si="7"/>
        <v>6694.6362402234636</v>
      </c>
      <c r="D33" s="183">
        <f t="shared" si="7"/>
        <v>2170.26856424581</v>
      </c>
      <c r="E33" s="183">
        <f t="shared" si="7"/>
        <v>1543.0738938547486</v>
      </c>
      <c r="F33" s="183">
        <f t="shared" si="7"/>
        <v>442.40058659217885</v>
      </c>
      <c r="G33" s="183">
        <f t="shared" si="7"/>
        <v>54.894519553072627</v>
      </c>
      <c r="H33" s="183">
        <f t="shared" si="7"/>
        <v>10905.273804469274</v>
      </c>
    </row>
    <row r="34" spans="1:8" x14ac:dyDescent="0.2">
      <c r="A34" s="33" t="s">
        <v>103</v>
      </c>
      <c r="B34" s="214">
        <f t="shared" si="6"/>
        <v>89626</v>
      </c>
      <c r="C34" s="182">
        <f t="shared" si="7"/>
        <v>6853.4452012808788</v>
      </c>
      <c r="D34" s="182">
        <f t="shared" si="7"/>
        <v>1034.4666928123536</v>
      </c>
      <c r="E34" s="182">
        <f t="shared" si="7"/>
        <v>705.09437663178096</v>
      </c>
      <c r="F34" s="182">
        <f t="shared" si="7"/>
        <v>381.709642960748</v>
      </c>
      <c r="G34" s="182">
        <f t="shared" si="7"/>
        <v>227.03959732666863</v>
      </c>
      <c r="H34" s="182">
        <f t="shared" si="7"/>
        <v>9201.7555110124285</v>
      </c>
    </row>
    <row r="35" spans="1:8" x14ac:dyDescent="0.2">
      <c r="A35" s="33"/>
      <c r="B35" s="214"/>
      <c r="C35" s="182"/>
      <c r="D35" s="182"/>
      <c r="E35" s="182"/>
      <c r="F35" s="182"/>
      <c r="G35" s="182"/>
      <c r="H35" s="182"/>
    </row>
    <row r="36" spans="1:8" x14ac:dyDescent="0.2">
      <c r="A36" s="33" t="s">
        <v>81</v>
      </c>
      <c r="B36" s="214">
        <f t="shared" ref="B36:B41" si="8">B12</f>
        <v>22224</v>
      </c>
      <c r="C36" s="182">
        <f t="shared" ref="C36:H41" si="9">C12/$B36</f>
        <v>7021.9738840892742</v>
      </c>
      <c r="D36" s="182">
        <f t="shared" si="9"/>
        <v>1379.4832352411804</v>
      </c>
      <c r="E36" s="182">
        <f t="shared" si="9"/>
        <v>659.81603671706273</v>
      </c>
      <c r="F36" s="182">
        <f t="shared" si="9"/>
        <v>231.05154022678184</v>
      </c>
      <c r="G36" s="182">
        <f t="shared" si="9"/>
        <v>400.34917431605476</v>
      </c>
      <c r="H36" s="182">
        <f t="shared" si="9"/>
        <v>9692.6738705903535</v>
      </c>
    </row>
    <row r="37" spans="1:8" x14ac:dyDescent="0.2">
      <c r="A37" s="33" t="s">
        <v>82</v>
      </c>
      <c r="B37" s="214">
        <f t="shared" si="8"/>
        <v>6925</v>
      </c>
      <c r="C37" s="182">
        <f t="shared" si="9"/>
        <v>7205.9091841155223</v>
      </c>
      <c r="D37" s="182">
        <f t="shared" si="9"/>
        <v>948.73021660649806</v>
      </c>
      <c r="E37" s="182">
        <f t="shared" si="9"/>
        <v>868.55672924187718</v>
      </c>
      <c r="F37" s="182">
        <f t="shared" si="9"/>
        <v>559.45713357400723</v>
      </c>
      <c r="G37" s="182">
        <f t="shared" si="9"/>
        <v>264.41602743682307</v>
      </c>
      <c r="H37" s="182">
        <f t="shared" si="9"/>
        <v>9847.0692909747268</v>
      </c>
    </row>
    <row r="38" spans="1:8" x14ac:dyDescent="0.2">
      <c r="A38" s="33" t="s">
        <v>83</v>
      </c>
      <c r="B38" s="214">
        <f t="shared" si="8"/>
        <v>5426</v>
      </c>
      <c r="C38" s="182">
        <f t="shared" si="9"/>
        <v>7544.9022539624048</v>
      </c>
      <c r="D38" s="182">
        <f t="shared" si="9"/>
        <v>1486.1409417618875</v>
      </c>
      <c r="E38" s="182">
        <f t="shared" si="9"/>
        <v>1249.3905731662367</v>
      </c>
      <c r="F38" s="182">
        <f t="shared" si="9"/>
        <v>1467.8291909325471</v>
      </c>
      <c r="G38" s="182">
        <f t="shared" si="9"/>
        <v>211.69421489126429</v>
      </c>
      <c r="H38" s="182">
        <f t="shared" si="9"/>
        <v>11959.95717471434</v>
      </c>
    </row>
    <row r="39" spans="1:8" x14ac:dyDescent="0.2">
      <c r="A39" s="33" t="s">
        <v>84</v>
      </c>
      <c r="B39" s="214">
        <f t="shared" si="8"/>
        <v>5335</v>
      </c>
      <c r="C39" s="182">
        <f t="shared" si="9"/>
        <v>8312.9461199625111</v>
      </c>
      <c r="D39" s="182">
        <f t="shared" si="9"/>
        <v>1888.7318031865045</v>
      </c>
      <c r="E39" s="182">
        <f t="shared" si="9"/>
        <v>1386.4844798500467</v>
      </c>
      <c r="F39" s="182">
        <f t="shared" si="9"/>
        <v>913.92131396438617</v>
      </c>
      <c r="G39" s="182">
        <f t="shared" si="9"/>
        <v>457.68471977507022</v>
      </c>
      <c r="H39" s="182">
        <f t="shared" si="9"/>
        <v>12959.768436738519</v>
      </c>
    </row>
    <row r="40" spans="1:8" x14ac:dyDescent="0.2">
      <c r="A40" s="33" t="s">
        <v>85</v>
      </c>
      <c r="B40" s="220">
        <f t="shared" si="8"/>
        <v>1736</v>
      </c>
      <c r="C40" s="183">
        <f t="shared" si="9"/>
        <v>11644.49887096774</v>
      </c>
      <c r="D40" s="183">
        <f t="shared" si="9"/>
        <v>3249.5229320276494</v>
      </c>
      <c r="E40" s="183">
        <f t="shared" si="9"/>
        <v>2490.1778917050692</v>
      </c>
      <c r="F40" s="183">
        <f t="shared" si="9"/>
        <v>3228.4503571428572</v>
      </c>
      <c r="G40" s="183">
        <f t="shared" si="9"/>
        <v>296.92289170506911</v>
      </c>
      <c r="H40" s="183">
        <f t="shared" si="9"/>
        <v>20909.572943548385</v>
      </c>
    </row>
    <row r="41" spans="1:8" x14ac:dyDescent="0.2">
      <c r="A41" s="33" t="s">
        <v>104</v>
      </c>
      <c r="B41" s="214">
        <f t="shared" si="8"/>
        <v>41646</v>
      </c>
      <c r="C41" s="182">
        <f t="shared" si="9"/>
        <v>7478.7572856937059</v>
      </c>
      <c r="D41" s="182">
        <f t="shared" si="9"/>
        <v>1464.9413845267252</v>
      </c>
      <c r="E41" s="182">
        <f t="shared" si="9"/>
        <v>940.72765019449662</v>
      </c>
      <c r="F41" s="182">
        <f t="shared" si="9"/>
        <v>659.22132497718871</v>
      </c>
      <c r="G41" s="182">
        <f t="shared" si="9"/>
        <v>356.19987441771127</v>
      </c>
      <c r="H41" s="182">
        <f t="shared" si="9"/>
        <v>10899.847519809826</v>
      </c>
    </row>
    <row r="42" spans="1:8" x14ac:dyDescent="0.2">
      <c r="A42" s="33"/>
      <c r="B42" s="214"/>
      <c r="C42" s="182"/>
      <c r="D42" s="182"/>
      <c r="E42" s="182"/>
      <c r="F42" s="182"/>
      <c r="G42" s="182"/>
      <c r="H42" s="182"/>
    </row>
    <row r="43" spans="1:8" x14ac:dyDescent="0.2">
      <c r="A43" s="33" t="s">
        <v>86</v>
      </c>
      <c r="B43" s="214">
        <f>B19</f>
        <v>10113</v>
      </c>
      <c r="C43" s="182">
        <f t="shared" ref="C43:H45" si="10">C19/$B43</f>
        <v>6268.2766775437558</v>
      </c>
      <c r="D43" s="182">
        <f t="shared" si="10"/>
        <v>1093.4326727973894</v>
      </c>
      <c r="E43" s="182">
        <f t="shared" si="10"/>
        <v>768.81364085830114</v>
      </c>
      <c r="F43" s="182">
        <f t="shared" si="10"/>
        <v>362.91861069910016</v>
      </c>
      <c r="G43" s="182">
        <f t="shared" si="10"/>
        <v>421.41298625531499</v>
      </c>
      <c r="H43" s="182">
        <f t="shared" si="10"/>
        <v>8914.8545881538594</v>
      </c>
    </row>
    <row r="44" spans="1:8" x14ac:dyDescent="0.2">
      <c r="A44" s="33" t="s">
        <v>87</v>
      </c>
      <c r="B44" s="220">
        <f>B20</f>
        <v>7480</v>
      </c>
      <c r="C44" s="183">
        <f t="shared" si="10"/>
        <v>9090.1293342245972</v>
      </c>
      <c r="D44" s="183">
        <f t="shared" si="10"/>
        <v>1736.0810227272727</v>
      </c>
      <c r="E44" s="183">
        <f t="shared" si="10"/>
        <v>1469.6039732620322</v>
      </c>
      <c r="F44" s="183">
        <f t="shared" si="10"/>
        <v>689.1316363636364</v>
      </c>
      <c r="G44" s="183">
        <f t="shared" si="10"/>
        <v>435.4507339572192</v>
      </c>
      <c r="H44" s="183">
        <f t="shared" si="10"/>
        <v>13420.396700534757</v>
      </c>
    </row>
    <row r="45" spans="1:8" x14ac:dyDescent="0.2">
      <c r="A45" s="33" t="s">
        <v>105</v>
      </c>
      <c r="B45" s="214">
        <f>B21</f>
        <v>17593</v>
      </c>
      <c r="C45" s="182">
        <f t="shared" si="10"/>
        <v>7468.0412357187506</v>
      </c>
      <c r="D45" s="182">
        <f t="shared" si="10"/>
        <v>1366.6668942192919</v>
      </c>
      <c r="E45" s="182">
        <f t="shared" si="10"/>
        <v>1066.7680367191497</v>
      </c>
      <c r="F45" s="182">
        <f t="shared" si="10"/>
        <v>501.61430966861826</v>
      </c>
      <c r="G45" s="182">
        <f t="shared" si="10"/>
        <v>427.38140283067128</v>
      </c>
      <c r="H45" s="182">
        <f t="shared" si="10"/>
        <v>10830.471879156481</v>
      </c>
    </row>
    <row r="46" spans="1:8" x14ac:dyDescent="0.2">
      <c r="A46" s="33"/>
      <c r="B46" s="214"/>
      <c r="C46" s="182"/>
      <c r="D46" s="182"/>
      <c r="E46" s="182"/>
      <c r="F46" s="182"/>
      <c r="G46" s="182"/>
      <c r="H46" s="182"/>
    </row>
    <row r="47" spans="1:8" ht="13.5" thickBot="1" x14ac:dyDescent="0.25">
      <c r="A47" s="33" t="s">
        <v>209</v>
      </c>
      <c r="B47" s="222">
        <f>B23</f>
        <v>148865</v>
      </c>
      <c r="C47" s="192">
        <f t="shared" ref="C47:H47" si="11">C23/$B47</f>
        <v>7101.0140394988748</v>
      </c>
      <c r="D47" s="192">
        <f t="shared" si="11"/>
        <v>1194.1546460215632</v>
      </c>
      <c r="E47" s="192">
        <f t="shared" si="11"/>
        <v>813.75731293453816</v>
      </c>
      <c r="F47" s="192">
        <f t="shared" si="11"/>
        <v>473.51587216605651</v>
      </c>
      <c r="G47" s="192">
        <f t="shared" si="11"/>
        <v>286.8496418903033</v>
      </c>
      <c r="H47" s="192">
        <f t="shared" si="11"/>
        <v>9869.2915125113341</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1052</v>
      </c>
      <c r="B52" s="182"/>
      <c r="C52" s="182"/>
      <c r="D52" s="182"/>
      <c r="E52" s="182"/>
      <c r="F52" s="182"/>
      <c r="G52" s="182"/>
      <c r="H52" s="182"/>
    </row>
    <row r="53" spans="1:8" ht="33.75" x14ac:dyDescent="0.2">
      <c r="A53" s="155" t="s">
        <v>245</v>
      </c>
      <c r="B53" s="172" t="str">
        <f t="shared" ref="B53:H53" si="12">B3</f>
        <v>ANB10</v>
      </c>
      <c r="C53" s="172" t="str">
        <f t="shared" si="12"/>
        <v>10/Pupil Salaries &amp; Benefits</v>
      </c>
      <c r="D53" s="172" t="str">
        <f t="shared" si="12"/>
        <v>10/Pupil Purchased Services</v>
      </c>
      <c r="E53" s="172" t="str">
        <f t="shared" si="12"/>
        <v>10/Pupil Supplies</v>
      </c>
      <c r="F53" s="172" t="str">
        <f t="shared" si="12"/>
        <v>10/Pupil Capital Outlay</v>
      </c>
      <c r="G53" s="172" t="str">
        <f t="shared" si="12"/>
        <v>10/Pupil Other</v>
      </c>
      <c r="H53" s="172" t="str">
        <f t="shared" si="12"/>
        <v>10/Pupil Total Expenditures</v>
      </c>
    </row>
    <row r="54" spans="1:8" x14ac:dyDescent="0.2">
      <c r="A54" s="33" t="s">
        <v>102</v>
      </c>
      <c r="B54" s="214">
        <f t="shared" ref="B54:B59" si="13">B4</f>
        <v>37450</v>
      </c>
      <c r="C54" s="191">
        <f t="shared" ref="C54:H60" si="14">C28/$H28</f>
        <v>0.80583894282607682</v>
      </c>
      <c r="D54" s="191">
        <f t="shared" si="14"/>
        <v>0.10870768013714786</v>
      </c>
      <c r="E54" s="191">
        <f t="shared" si="14"/>
        <v>5.4256244932087708E-2</v>
      </c>
      <c r="F54" s="191">
        <f t="shared" si="14"/>
        <v>2.095578613894622E-2</v>
      </c>
      <c r="G54" s="191">
        <f t="shared" si="14"/>
        <v>1.0241345965741236E-2</v>
      </c>
      <c r="H54" s="191">
        <f t="shared" si="14"/>
        <v>1</v>
      </c>
    </row>
    <row r="55" spans="1:8" x14ac:dyDescent="0.2">
      <c r="A55" s="33" t="s">
        <v>76</v>
      </c>
      <c r="B55" s="214">
        <f t="shared" si="13"/>
        <v>18051</v>
      </c>
      <c r="C55" s="191">
        <f t="shared" si="14"/>
        <v>0.73709307758826581</v>
      </c>
      <c r="D55" s="191">
        <f t="shared" si="14"/>
        <v>9.4325284858111536E-2</v>
      </c>
      <c r="E55" s="191">
        <f t="shared" si="14"/>
        <v>6.9599415146075483E-2</v>
      </c>
      <c r="F55" s="191">
        <f t="shared" si="14"/>
        <v>5.1757023479081142E-2</v>
      </c>
      <c r="G55" s="191">
        <f t="shared" si="14"/>
        <v>4.7225198928465849E-2</v>
      </c>
      <c r="H55" s="191">
        <f t="shared" si="14"/>
        <v>1</v>
      </c>
    </row>
    <row r="56" spans="1:8" x14ac:dyDescent="0.2">
      <c r="A56" s="33" t="s">
        <v>77</v>
      </c>
      <c r="B56" s="214">
        <f t="shared" si="13"/>
        <v>13477</v>
      </c>
      <c r="C56" s="191">
        <f t="shared" si="14"/>
        <v>0.740932411799887</v>
      </c>
      <c r="D56" s="191">
        <f t="shared" si="14"/>
        <v>0.10885042023341726</v>
      </c>
      <c r="E56" s="191">
        <f t="shared" si="14"/>
        <v>9.0590484762034809E-2</v>
      </c>
      <c r="F56" s="191">
        <f t="shared" si="14"/>
        <v>3.5033583270065109E-2</v>
      </c>
      <c r="G56" s="191">
        <f t="shared" si="14"/>
        <v>2.459309993459554E-2</v>
      </c>
      <c r="H56" s="191">
        <f t="shared" si="14"/>
        <v>1</v>
      </c>
    </row>
    <row r="57" spans="1:8" x14ac:dyDescent="0.2">
      <c r="A57" s="33" t="s">
        <v>78</v>
      </c>
      <c r="B57" s="214">
        <f t="shared" si="13"/>
        <v>13204</v>
      </c>
      <c r="C57" s="191">
        <f t="shared" si="14"/>
        <v>0.69874189884677695</v>
      </c>
      <c r="D57" s="191">
        <f t="shared" si="14"/>
        <v>0.12298553642115427</v>
      </c>
      <c r="E57" s="191">
        <f t="shared" si="14"/>
        <v>9.5722020349665204E-2</v>
      </c>
      <c r="F57" s="191">
        <f t="shared" si="14"/>
        <v>4.6105717649063502E-2</v>
      </c>
      <c r="G57" s="191">
        <f t="shared" si="14"/>
        <v>3.6444826733340194E-2</v>
      </c>
      <c r="H57" s="191">
        <f t="shared" si="14"/>
        <v>1</v>
      </c>
    </row>
    <row r="58" spans="1:8" x14ac:dyDescent="0.2">
      <c r="A58" s="33" t="s">
        <v>79</v>
      </c>
      <c r="B58" s="214">
        <f t="shared" si="13"/>
        <v>5654</v>
      </c>
      <c r="C58" s="191">
        <f t="shared" si="14"/>
        <v>0.62821937152501139</v>
      </c>
      <c r="D58" s="191">
        <f t="shared" si="14"/>
        <v>0.13688672722298001</v>
      </c>
      <c r="E58" s="191">
        <f t="shared" si="14"/>
        <v>0.11176661557375664</v>
      </c>
      <c r="F58" s="191">
        <f t="shared" si="14"/>
        <v>0.10837270619619987</v>
      </c>
      <c r="G58" s="191">
        <f t="shared" si="14"/>
        <v>1.4754579482052074E-2</v>
      </c>
      <c r="H58" s="191">
        <f t="shared" si="14"/>
        <v>1</v>
      </c>
    </row>
    <row r="59" spans="1:8" x14ac:dyDescent="0.2">
      <c r="A59" s="33" t="s">
        <v>80</v>
      </c>
      <c r="B59" s="220">
        <f t="shared" si="13"/>
        <v>1790</v>
      </c>
      <c r="C59" s="193">
        <f t="shared" si="14"/>
        <v>0.6138897894961447</v>
      </c>
      <c r="D59" s="193">
        <f t="shared" si="14"/>
        <v>0.1990109192266567</v>
      </c>
      <c r="E59" s="193">
        <f t="shared" si="14"/>
        <v>0.14149795058078737</v>
      </c>
      <c r="F59" s="193">
        <f t="shared" si="14"/>
        <v>4.0567581752130898E-2</v>
      </c>
      <c r="G59" s="193">
        <f t="shared" si="14"/>
        <v>5.0337589442802783E-3</v>
      </c>
      <c r="H59" s="193">
        <f t="shared" si="14"/>
        <v>1</v>
      </c>
    </row>
    <row r="60" spans="1:8" x14ac:dyDescent="0.2">
      <c r="A60" s="33" t="s">
        <v>103</v>
      </c>
      <c r="B60" s="214">
        <f>SUM(B54:B59)</f>
        <v>89626</v>
      </c>
      <c r="C60" s="191">
        <f t="shared" si="14"/>
        <v>0.74479757618846198</v>
      </c>
      <c r="D60" s="191">
        <f t="shared" si="14"/>
        <v>0.11242058013542415</v>
      </c>
      <c r="E60" s="191">
        <f t="shared" si="14"/>
        <v>7.6626071599918286E-2</v>
      </c>
      <c r="F60" s="191">
        <f t="shared" si="14"/>
        <v>4.1482263085986966E-2</v>
      </c>
      <c r="G60" s="191">
        <f t="shared" si="14"/>
        <v>2.4673508990208811E-2</v>
      </c>
      <c r="H60" s="191">
        <f t="shared" si="14"/>
        <v>1</v>
      </c>
    </row>
    <row r="61" spans="1:8" x14ac:dyDescent="0.2">
      <c r="A61" s="33"/>
      <c r="B61" s="214"/>
      <c r="C61" s="191"/>
      <c r="D61" s="191"/>
      <c r="E61" s="191"/>
      <c r="F61" s="191"/>
      <c r="G61" s="191"/>
      <c r="H61" s="191"/>
    </row>
    <row r="62" spans="1:8" x14ac:dyDescent="0.2">
      <c r="A62" s="33" t="s">
        <v>81</v>
      </c>
      <c r="B62" s="214">
        <f t="shared" ref="B62:B67" si="15">B12</f>
        <v>22224</v>
      </c>
      <c r="C62" s="191">
        <f t="shared" ref="C62:H67" si="16">C36/$H36</f>
        <v>0.724461998602413</v>
      </c>
      <c r="D62" s="191">
        <f t="shared" si="16"/>
        <v>0.14232225840454898</v>
      </c>
      <c r="E62" s="191">
        <f t="shared" si="16"/>
        <v>6.8073685912314219E-2</v>
      </c>
      <c r="F62" s="191">
        <f t="shared" si="16"/>
        <v>2.3837750378442182E-2</v>
      </c>
      <c r="G62" s="191">
        <f t="shared" si="16"/>
        <v>4.1304306702281586E-2</v>
      </c>
      <c r="H62" s="191">
        <f t="shared" si="16"/>
        <v>1</v>
      </c>
    </row>
    <row r="63" spans="1:8" x14ac:dyDescent="0.2">
      <c r="A63" s="33" t="s">
        <v>82</v>
      </c>
      <c r="B63" s="214">
        <f t="shared" si="15"/>
        <v>6925</v>
      </c>
      <c r="C63" s="191">
        <f t="shared" si="16"/>
        <v>0.73178211416873606</v>
      </c>
      <c r="D63" s="191">
        <f t="shared" si="16"/>
        <v>9.6346454825503372E-2</v>
      </c>
      <c r="E63" s="191">
        <f t="shared" si="16"/>
        <v>8.8204592003627694E-2</v>
      </c>
      <c r="F63" s="191">
        <f t="shared" si="16"/>
        <v>5.6814582800465759E-2</v>
      </c>
      <c r="G63" s="191">
        <f t="shared" si="16"/>
        <v>2.6852256201667233E-2</v>
      </c>
      <c r="H63" s="191">
        <f t="shared" si="16"/>
        <v>1</v>
      </c>
    </row>
    <row r="64" spans="1:8" x14ac:dyDescent="0.2">
      <c r="A64" s="33" t="s">
        <v>83</v>
      </c>
      <c r="B64" s="214">
        <f t="shared" si="15"/>
        <v>5426</v>
      </c>
      <c r="C64" s="191">
        <f t="shared" si="16"/>
        <v>0.63084692894333982</v>
      </c>
      <c r="D64" s="191">
        <f t="shared" si="16"/>
        <v>0.12425972100501133</v>
      </c>
      <c r="E64" s="191">
        <f t="shared" si="16"/>
        <v>0.10446446880325706</v>
      </c>
      <c r="F64" s="191">
        <f t="shared" si="16"/>
        <v>0.12272863267736624</v>
      </c>
      <c r="G64" s="191">
        <f t="shared" si="16"/>
        <v>1.7700248571025552E-2</v>
      </c>
      <c r="H64" s="191">
        <f t="shared" si="16"/>
        <v>1</v>
      </c>
    </row>
    <row r="65" spans="1:8" x14ac:dyDescent="0.2">
      <c r="A65" s="33" t="s">
        <v>84</v>
      </c>
      <c r="B65" s="214">
        <f t="shared" si="15"/>
        <v>5335</v>
      </c>
      <c r="C65" s="191">
        <f t="shared" si="16"/>
        <v>0.64144248877139376</v>
      </c>
      <c r="D65" s="191">
        <f t="shared" si="16"/>
        <v>0.14573808262131469</v>
      </c>
      <c r="E65" s="191">
        <f t="shared" si="16"/>
        <v>0.10698373868468379</v>
      </c>
      <c r="F65" s="191">
        <f t="shared" si="16"/>
        <v>7.0519879921124989E-2</v>
      </c>
      <c r="G65" s="191">
        <f t="shared" si="16"/>
        <v>3.531581000148272E-2</v>
      </c>
      <c r="H65" s="191">
        <f t="shared" si="16"/>
        <v>1</v>
      </c>
    </row>
    <row r="66" spans="1:8" x14ac:dyDescent="0.2">
      <c r="A66" s="33" t="s">
        <v>85</v>
      </c>
      <c r="B66" s="220">
        <f t="shared" si="15"/>
        <v>1736</v>
      </c>
      <c r="C66" s="193">
        <f t="shared" si="16"/>
        <v>0.55689797694125698</v>
      </c>
      <c r="D66" s="193">
        <f t="shared" si="16"/>
        <v>0.15540838355717276</v>
      </c>
      <c r="E66" s="193">
        <f t="shared" si="16"/>
        <v>0.11909271884356727</v>
      </c>
      <c r="F66" s="193">
        <f t="shared" si="16"/>
        <v>0.15440058799187434</v>
      </c>
      <c r="G66" s="193">
        <f t="shared" si="16"/>
        <v>1.4200332666128612E-2</v>
      </c>
      <c r="H66" s="193">
        <f t="shared" si="16"/>
        <v>1</v>
      </c>
    </row>
    <row r="67" spans="1:8" x14ac:dyDescent="0.2">
      <c r="A67" s="33" t="s">
        <v>104</v>
      </c>
      <c r="B67" s="214">
        <f t="shared" si="15"/>
        <v>41646</v>
      </c>
      <c r="C67" s="191">
        <f t="shared" si="16"/>
        <v>0.68613411995915619</v>
      </c>
      <c r="D67" s="191">
        <f t="shared" si="16"/>
        <v>0.13440017228353709</v>
      </c>
      <c r="E67" s="191">
        <f t="shared" si="16"/>
        <v>8.6306496350960868E-2</v>
      </c>
      <c r="F67" s="191">
        <f t="shared" si="16"/>
        <v>6.0479866693464571E-2</v>
      </c>
      <c r="G67" s="191">
        <f t="shared" si="16"/>
        <v>3.2679344712881454E-2</v>
      </c>
      <c r="H67" s="191">
        <f t="shared" si="16"/>
        <v>1</v>
      </c>
    </row>
    <row r="68" spans="1:8" x14ac:dyDescent="0.2">
      <c r="A68" s="33"/>
      <c r="B68" s="214"/>
      <c r="C68" s="191"/>
      <c r="D68" s="191"/>
      <c r="E68" s="191"/>
      <c r="F68" s="191"/>
      <c r="G68" s="191"/>
      <c r="H68" s="191"/>
    </row>
    <row r="69" spans="1:8" x14ac:dyDescent="0.2">
      <c r="A69" s="33" t="s">
        <v>86</v>
      </c>
      <c r="B69" s="214">
        <f>B19</f>
        <v>10113</v>
      </c>
      <c r="C69" s="191">
        <f t="shared" ref="C69:H71" si="17">C43/$H43</f>
        <v>0.7031271924359932</v>
      </c>
      <c r="D69" s="191">
        <f t="shared" si="17"/>
        <v>0.12265288928552494</v>
      </c>
      <c r="E69" s="191">
        <f t="shared" si="17"/>
        <v>8.6239616502540348E-2</v>
      </c>
      <c r="F69" s="191">
        <f t="shared" si="17"/>
        <v>4.070942572426809E-2</v>
      </c>
      <c r="G69" s="191">
        <f t="shared" si="17"/>
        <v>4.727087605167362E-2</v>
      </c>
      <c r="H69" s="191">
        <f t="shared" si="17"/>
        <v>1</v>
      </c>
    </row>
    <row r="70" spans="1:8" x14ac:dyDescent="0.2">
      <c r="A70" s="33" t="s">
        <v>87</v>
      </c>
      <c r="B70" s="220">
        <f>B20</f>
        <v>7480</v>
      </c>
      <c r="C70" s="193">
        <f t="shared" si="17"/>
        <v>0.6773368579978255</v>
      </c>
      <c r="D70" s="193">
        <f t="shared" si="17"/>
        <v>0.12936137891200308</v>
      </c>
      <c r="E70" s="193">
        <f t="shared" si="17"/>
        <v>0.10950525577261613</v>
      </c>
      <c r="F70" s="193">
        <f t="shared" si="17"/>
        <v>5.1349572724342561E-2</v>
      </c>
      <c r="G70" s="193">
        <f t="shared" si="17"/>
        <v>3.2446934593212733E-2</v>
      </c>
      <c r="H70" s="193">
        <f t="shared" si="17"/>
        <v>1</v>
      </c>
    </row>
    <row r="71" spans="1:8" x14ac:dyDescent="0.2">
      <c r="A71" s="33" t="s">
        <v>105</v>
      </c>
      <c r="B71" s="214">
        <f>B21</f>
        <v>17593</v>
      </c>
      <c r="C71" s="191">
        <f t="shared" si="17"/>
        <v>0.68953978358885604</v>
      </c>
      <c r="D71" s="191">
        <f t="shared" si="17"/>
        <v>0.12618719751717164</v>
      </c>
      <c r="E71" s="191">
        <f t="shared" si="17"/>
        <v>9.8496912103356454E-2</v>
      </c>
      <c r="F71" s="191">
        <f t="shared" si="17"/>
        <v>4.6315092755467815E-2</v>
      </c>
      <c r="G71" s="191">
        <f t="shared" si="17"/>
        <v>3.9461014035148151E-2</v>
      </c>
      <c r="H71" s="191">
        <f t="shared" si="17"/>
        <v>1</v>
      </c>
    </row>
    <row r="72" spans="1:8" x14ac:dyDescent="0.2">
      <c r="A72" s="33"/>
      <c r="B72" s="214"/>
      <c r="C72" s="191"/>
      <c r="D72" s="191"/>
      <c r="E72" s="191"/>
      <c r="F72" s="191"/>
      <c r="G72" s="191"/>
      <c r="H72" s="191"/>
    </row>
    <row r="73" spans="1:8" ht="13.5" thickBot="1" x14ac:dyDescent="0.25">
      <c r="A73" s="33" t="s">
        <v>230</v>
      </c>
      <c r="B73" s="222">
        <f>B71+B67+B60</f>
        <v>148865</v>
      </c>
      <c r="C73" s="195">
        <f t="shared" ref="C73:H73" si="18">C47/$H47</f>
        <v>0.71950595749420265</v>
      </c>
      <c r="D73" s="195">
        <f t="shared" si="18"/>
        <v>0.12099699806290343</v>
      </c>
      <c r="E73" s="195">
        <f t="shared" si="18"/>
        <v>8.2453468103858854E-2</v>
      </c>
      <c r="F73" s="195">
        <f t="shared" si="18"/>
        <v>4.7978709673919234E-2</v>
      </c>
      <c r="G73" s="195">
        <f t="shared" si="18"/>
        <v>2.9064866665116037E-2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64"/>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6" t="s">
        <v>247</v>
      </c>
      <c r="B1" s="22"/>
      <c r="C1" s="22"/>
      <c r="D1" s="22"/>
      <c r="E1" s="22"/>
      <c r="F1" s="22"/>
      <c r="G1" s="22"/>
      <c r="H1" s="22"/>
    </row>
    <row r="2" spans="1:8" x14ac:dyDescent="0.2">
      <c r="A2" s="22" t="s">
        <v>1050</v>
      </c>
    </row>
    <row r="3" spans="1:8" ht="33.75" x14ac:dyDescent="0.2">
      <c r="A3" s="22" t="s">
        <v>245</v>
      </c>
      <c r="B3" s="202" t="s">
        <v>1026</v>
      </c>
      <c r="C3" s="172" t="s">
        <v>1044</v>
      </c>
      <c r="D3" s="172" t="s">
        <v>1045</v>
      </c>
      <c r="E3" s="172" t="s">
        <v>1046</v>
      </c>
      <c r="F3" s="172" t="s">
        <v>1047</v>
      </c>
      <c r="G3" s="172" t="s">
        <v>1048</v>
      </c>
      <c r="H3" s="172" t="s">
        <v>1049</v>
      </c>
    </row>
    <row r="4" spans="1:8" x14ac:dyDescent="0.2">
      <c r="A4" s="182" t="s">
        <v>102</v>
      </c>
      <c r="B4" s="214">
        <v>37450</v>
      </c>
      <c r="C4" s="214">
        <v>249042473.42000002</v>
      </c>
      <c r="D4" s="214">
        <v>33170884.41</v>
      </c>
      <c r="E4" s="214">
        <v>16432855.059999999</v>
      </c>
      <c r="F4" s="214">
        <v>6331047.7400000012</v>
      </c>
      <c r="G4" s="214">
        <v>3094059.55</v>
      </c>
      <c r="H4" s="214">
        <f t="shared" ref="H4:H9" si="0">SUM(C4:G4)</f>
        <v>308071320.18000007</v>
      </c>
    </row>
    <row r="5" spans="1:8" x14ac:dyDescent="0.2">
      <c r="A5" s="33" t="s">
        <v>76</v>
      </c>
      <c r="B5" s="214">
        <v>18051</v>
      </c>
      <c r="C5" s="214">
        <v>131165369.84000002</v>
      </c>
      <c r="D5" s="214">
        <v>16575424.199999999</v>
      </c>
      <c r="E5" s="214">
        <v>12492820.199999999</v>
      </c>
      <c r="F5" s="214">
        <v>9053662.0399999991</v>
      </c>
      <c r="G5" s="214">
        <v>8254722.3700000001</v>
      </c>
      <c r="H5" s="214">
        <f t="shared" si="0"/>
        <v>177541998.65000001</v>
      </c>
    </row>
    <row r="6" spans="1:8" x14ac:dyDescent="0.2">
      <c r="A6" s="33" t="s">
        <v>77</v>
      </c>
      <c r="B6" s="214">
        <v>13477</v>
      </c>
      <c r="C6" s="214">
        <v>98826039.669999972</v>
      </c>
      <c r="D6" s="214">
        <v>14220391.99</v>
      </c>
      <c r="E6" s="214">
        <v>11863272.140000001</v>
      </c>
      <c r="F6" s="214">
        <v>4573423.2</v>
      </c>
      <c r="G6" s="214">
        <v>3210481.01</v>
      </c>
      <c r="H6" s="214">
        <f t="shared" si="0"/>
        <v>132693608.00999998</v>
      </c>
    </row>
    <row r="7" spans="1:8" x14ac:dyDescent="0.2">
      <c r="A7" s="33" t="s">
        <v>78</v>
      </c>
      <c r="B7" s="214">
        <v>13204</v>
      </c>
      <c r="C7" s="214">
        <v>91479312.200000033</v>
      </c>
      <c r="D7" s="214">
        <v>15744356.539999997</v>
      </c>
      <c r="E7" s="214">
        <v>12243205.810000001</v>
      </c>
      <c r="F7" s="214">
        <v>5925919.7800000003</v>
      </c>
      <c r="G7" s="214">
        <v>4660173.62</v>
      </c>
      <c r="H7" s="214">
        <f t="shared" si="0"/>
        <v>130052967.95000003</v>
      </c>
    </row>
    <row r="8" spans="1:8" x14ac:dyDescent="0.2">
      <c r="A8" s="33" t="s">
        <v>79</v>
      </c>
      <c r="B8" s="214">
        <v>5654</v>
      </c>
      <c r="C8" s="214">
        <v>44856680.280000001</v>
      </c>
      <c r="D8" s="214">
        <v>9578624.7400000002</v>
      </c>
      <c r="E8" s="214">
        <v>7852049.3399999971</v>
      </c>
      <c r="F8" s="214">
        <v>7572373.6799999997</v>
      </c>
      <c r="G8" s="214">
        <v>1030953.2100000001</v>
      </c>
      <c r="H8" s="214">
        <f t="shared" si="0"/>
        <v>70890681.249999985</v>
      </c>
    </row>
    <row r="9" spans="1:8" x14ac:dyDescent="0.2">
      <c r="A9" s="33" t="s">
        <v>80</v>
      </c>
      <c r="B9" s="220">
        <v>1790</v>
      </c>
      <c r="C9" s="220">
        <v>12273806.550000001</v>
      </c>
      <c r="D9" s="220">
        <v>3896562.7199999997</v>
      </c>
      <c r="E9" s="220">
        <v>2802287.41</v>
      </c>
      <c r="F9" s="220">
        <v>791897.05000000016</v>
      </c>
      <c r="G9" s="220">
        <v>98261.19</v>
      </c>
      <c r="H9" s="220">
        <f t="shared" si="0"/>
        <v>19862814.920000002</v>
      </c>
    </row>
    <row r="10" spans="1:8" x14ac:dyDescent="0.2">
      <c r="A10" s="33" t="s">
        <v>103</v>
      </c>
      <c r="B10" s="221">
        <f t="shared" ref="B10:H10" si="1">SUM(B4:B9)</f>
        <v>89626</v>
      </c>
      <c r="C10" s="221">
        <f t="shared" si="1"/>
        <v>627643681.95999992</v>
      </c>
      <c r="D10" s="221">
        <f t="shared" si="1"/>
        <v>93186244.599999994</v>
      </c>
      <c r="E10" s="221">
        <f t="shared" si="1"/>
        <v>63686489.959999993</v>
      </c>
      <c r="F10" s="221">
        <f t="shared" si="1"/>
        <v>34248323.490000002</v>
      </c>
      <c r="G10" s="221">
        <f t="shared" si="1"/>
        <v>20348650.950000003</v>
      </c>
      <c r="H10" s="214">
        <f t="shared" si="1"/>
        <v>839113390.96000004</v>
      </c>
    </row>
    <row r="11" spans="1:8" x14ac:dyDescent="0.2">
      <c r="A11" s="33"/>
      <c r="B11" s="182"/>
      <c r="C11" s="221"/>
      <c r="D11" s="221"/>
      <c r="E11" s="221"/>
      <c r="F11" s="221"/>
      <c r="G11" s="221"/>
      <c r="H11" s="214"/>
    </row>
    <row r="12" spans="1:8" x14ac:dyDescent="0.2">
      <c r="A12" s="33" t="s">
        <v>81</v>
      </c>
      <c r="B12" s="214">
        <v>22224</v>
      </c>
      <c r="C12" s="214">
        <v>159992629.87</v>
      </c>
      <c r="D12" s="214">
        <v>30873036.260000002</v>
      </c>
      <c r="E12" s="214">
        <v>14719441.640000004</v>
      </c>
      <c r="F12" s="214">
        <v>5134889.43</v>
      </c>
      <c r="G12" s="214">
        <v>8897360.0500000007</v>
      </c>
      <c r="H12" s="214">
        <f>SUM(C12:G12)</f>
        <v>219617357.25000003</v>
      </c>
    </row>
    <row r="13" spans="1:8" x14ac:dyDescent="0.2">
      <c r="A13" s="33" t="s">
        <v>82</v>
      </c>
      <c r="B13" s="214">
        <v>6925</v>
      </c>
      <c r="C13" s="214">
        <v>50957229.030000001</v>
      </c>
      <c r="D13" s="214">
        <v>6651896.9999999991</v>
      </c>
      <c r="E13" s="214">
        <v>6163749.8299999991</v>
      </c>
      <c r="F13" s="214">
        <v>3902479.87</v>
      </c>
      <c r="G13" s="214">
        <v>1831080.9899999998</v>
      </c>
      <c r="H13" s="214">
        <f>SUM(C13:G13)</f>
        <v>69506436.719999999</v>
      </c>
    </row>
    <row r="14" spans="1:8" x14ac:dyDescent="0.2">
      <c r="A14" s="33" t="s">
        <v>83</v>
      </c>
      <c r="B14" s="214">
        <v>5426</v>
      </c>
      <c r="C14" s="214">
        <v>42066371.479999997</v>
      </c>
      <c r="D14" s="214">
        <v>8063800.7500000009</v>
      </c>
      <c r="E14" s="214">
        <v>6779193.25</v>
      </c>
      <c r="F14" s="214">
        <v>7964441.1900000004</v>
      </c>
      <c r="G14" s="214">
        <v>1148652.81</v>
      </c>
      <c r="H14" s="214">
        <f>SUM(C14:G14)</f>
        <v>66022459.479999997</v>
      </c>
    </row>
    <row r="15" spans="1:8" x14ac:dyDescent="0.2">
      <c r="A15" s="33" t="s">
        <v>84</v>
      </c>
      <c r="B15" s="214">
        <v>5335</v>
      </c>
      <c r="C15" s="214">
        <v>45592042.199999996</v>
      </c>
      <c r="D15" s="214">
        <v>10077983.720000001</v>
      </c>
      <c r="E15" s="214">
        <v>7417554.0599999996</v>
      </c>
      <c r="F15" s="214">
        <v>4899572.4499999993</v>
      </c>
      <c r="G15" s="214">
        <v>2441747.9799999995</v>
      </c>
      <c r="H15" s="214">
        <f>SUM(C15:G15)</f>
        <v>70428900.409999996</v>
      </c>
    </row>
    <row r="16" spans="1:8" x14ac:dyDescent="0.2">
      <c r="A16" s="33" t="s">
        <v>85</v>
      </c>
      <c r="B16" s="220">
        <v>1736</v>
      </c>
      <c r="C16" s="220">
        <v>20811512.280000001</v>
      </c>
      <c r="D16" s="220">
        <v>5641171.8099999996</v>
      </c>
      <c r="E16" s="220">
        <v>4322948.82</v>
      </c>
      <c r="F16" s="220">
        <v>5604589.8200000003</v>
      </c>
      <c r="G16" s="220">
        <v>515458.13999999996</v>
      </c>
      <c r="H16" s="220">
        <f>SUM(C16:G16)</f>
        <v>36895680.870000005</v>
      </c>
    </row>
    <row r="17" spans="1:8" x14ac:dyDescent="0.2">
      <c r="A17" s="33" t="s">
        <v>104</v>
      </c>
      <c r="B17" s="221">
        <f t="shared" ref="B17:H17" si="2">SUM(B12:B16)</f>
        <v>41646</v>
      </c>
      <c r="C17" s="221">
        <f t="shared" si="2"/>
        <v>319419784.86000001</v>
      </c>
      <c r="D17" s="221">
        <f t="shared" si="2"/>
        <v>61307889.539999999</v>
      </c>
      <c r="E17" s="221">
        <f t="shared" si="2"/>
        <v>39402887.600000001</v>
      </c>
      <c r="F17" s="221">
        <f t="shared" si="2"/>
        <v>27505972.760000002</v>
      </c>
      <c r="G17" s="221">
        <f t="shared" si="2"/>
        <v>14834299.970000003</v>
      </c>
      <c r="H17" s="221">
        <f t="shared" si="2"/>
        <v>462470834.73000002</v>
      </c>
    </row>
    <row r="18" spans="1:8" x14ac:dyDescent="0.2">
      <c r="A18" s="33"/>
      <c r="B18" s="182"/>
      <c r="C18" s="221"/>
      <c r="D18" s="221"/>
      <c r="E18" s="221"/>
      <c r="F18" s="221"/>
      <c r="G18" s="221"/>
      <c r="H18" s="214"/>
    </row>
    <row r="19" spans="1:8" x14ac:dyDescent="0.2">
      <c r="A19" s="33" t="s">
        <v>86</v>
      </c>
      <c r="B19" s="214">
        <v>10113</v>
      </c>
      <c r="C19" s="214">
        <v>65121587.369999997</v>
      </c>
      <c r="D19" s="214">
        <v>11057884.620000001</v>
      </c>
      <c r="E19" s="214">
        <v>7775012.3499999996</v>
      </c>
      <c r="F19" s="214">
        <v>3670195.91</v>
      </c>
      <c r="G19" s="214">
        <v>4261749.53</v>
      </c>
      <c r="H19" s="214">
        <f>SUM(C19:G19)</f>
        <v>91886429.779999986</v>
      </c>
    </row>
    <row r="20" spans="1:8" x14ac:dyDescent="0.2">
      <c r="A20" s="33" t="s">
        <v>87</v>
      </c>
      <c r="B20" s="220">
        <v>7480</v>
      </c>
      <c r="C20" s="220">
        <v>69617241.939999998</v>
      </c>
      <c r="D20" s="220">
        <v>12985886.050000001</v>
      </c>
      <c r="E20" s="220">
        <v>11069113.73</v>
      </c>
      <c r="F20" s="220">
        <v>5154704.6400000006</v>
      </c>
      <c r="G20" s="220">
        <v>3257171.4899999998</v>
      </c>
      <c r="H20" s="220">
        <f>SUM(C20:G20)</f>
        <v>102084117.84999999</v>
      </c>
    </row>
    <row r="21" spans="1:8" x14ac:dyDescent="0.2">
      <c r="A21" s="33" t="s">
        <v>105</v>
      </c>
      <c r="B21" s="221">
        <f t="shared" ref="B21:H21" si="3">SUM(B19:B20)</f>
        <v>17593</v>
      </c>
      <c r="C21" s="221">
        <f t="shared" si="3"/>
        <v>134738829.31</v>
      </c>
      <c r="D21" s="221">
        <f t="shared" si="3"/>
        <v>24043770.670000002</v>
      </c>
      <c r="E21" s="221">
        <f t="shared" si="3"/>
        <v>18844126.079999998</v>
      </c>
      <c r="F21" s="221">
        <f t="shared" si="3"/>
        <v>8824900.5500000007</v>
      </c>
      <c r="G21" s="221">
        <f t="shared" si="3"/>
        <v>7518921.0199999996</v>
      </c>
      <c r="H21" s="221">
        <f t="shared" si="3"/>
        <v>193970547.63</v>
      </c>
    </row>
    <row r="22" spans="1:8" x14ac:dyDescent="0.2">
      <c r="A22" s="33"/>
      <c r="B22" s="214"/>
      <c r="C22" s="214"/>
      <c r="D22" s="214"/>
      <c r="E22" s="214"/>
      <c r="F22" s="214"/>
      <c r="G22" s="214"/>
      <c r="H22" s="214"/>
    </row>
    <row r="23" spans="1:8" ht="13.5" thickBot="1" x14ac:dyDescent="0.25">
      <c r="A23" s="33" t="s">
        <v>209</v>
      </c>
      <c r="B23" s="222">
        <f t="shared" ref="B23:H23" si="4">B21+B17+B10</f>
        <v>148865</v>
      </c>
      <c r="C23" s="222">
        <f t="shared" si="4"/>
        <v>1081802296.1299999</v>
      </c>
      <c r="D23" s="222">
        <f t="shared" si="4"/>
        <v>178537904.81</v>
      </c>
      <c r="E23" s="222">
        <f t="shared" si="4"/>
        <v>121933503.63999999</v>
      </c>
      <c r="F23" s="222">
        <f t="shared" si="4"/>
        <v>70579196.800000012</v>
      </c>
      <c r="G23" s="222">
        <f t="shared" si="4"/>
        <v>42701871.940000005</v>
      </c>
      <c r="H23" s="222">
        <f t="shared" si="4"/>
        <v>1495554773.3200002</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1051</v>
      </c>
      <c r="B26" s="22"/>
      <c r="C26" s="22"/>
      <c r="D26" s="22"/>
      <c r="E26" s="22"/>
      <c r="F26" s="22"/>
      <c r="G26" s="22"/>
      <c r="H26" s="22"/>
    </row>
    <row r="27" spans="1:8" ht="33.75" x14ac:dyDescent="0.2">
      <c r="A27" s="155" t="s">
        <v>245</v>
      </c>
      <c r="B27" s="172" t="str">
        <f t="shared" ref="B27:H27" si="5">B3</f>
        <v>ANB10</v>
      </c>
      <c r="C27" s="172" t="str">
        <f t="shared" si="5"/>
        <v>10/Pupil Salaries &amp; Benefits</v>
      </c>
      <c r="D27" s="172" t="str">
        <f t="shared" si="5"/>
        <v>10/Pupil Purchased Services</v>
      </c>
      <c r="E27" s="172" t="str">
        <f t="shared" si="5"/>
        <v>10/Pupil Supplies</v>
      </c>
      <c r="F27" s="172" t="str">
        <f t="shared" si="5"/>
        <v>10/Pupil Capital Outlay</v>
      </c>
      <c r="G27" s="172" t="str">
        <f t="shared" si="5"/>
        <v>10/Pupil Other</v>
      </c>
      <c r="H27" s="172" t="str">
        <f t="shared" si="5"/>
        <v>10/Pupil Total Expenditures</v>
      </c>
    </row>
    <row r="28" spans="1:8" x14ac:dyDescent="0.2">
      <c r="A28" s="33" t="s">
        <v>102</v>
      </c>
      <c r="B28" s="214">
        <f t="shared" ref="B28:B34" si="6">B4</f>
        <v>37450</v>
      </c>
      <c r="C28" s="182">
        <f t="shared" ref="C28:H34" si="7">C4/$B28</f>
        <v>6649.9992902536724</v>
      </c>
      <c r="D28" s="182">
        <f t="shared" si="7"/>
        <v>885.73790146862484</v>
      </c>
      <c r="E28" s="182">
        <f t="shared" si="7"/>
        <v>438.79452763684907</v>
      </c>
      <c r="F28" s="182">
        <f t="shared" si="7"/>
        <v>169.05334419225636</v>
      </c>
      <c r="G28" s="182">
        <f t="shared" si="7"/>
        <v>82.618412550066751</v>
      </c>
      <c r="H28" s="182">
        <f t="shared" si="7"/>
        <v>8226.2034761014711</v>
      </c>
    </row>
    <row r="29" spans="1:8" x14ac:dyDescent="0.2">
      <c r="A29" s="33" t="s">
        <v>76</v>
      </c>
      <c r="B29" s="214">
        <f t="shared" si="6"/>
        <v>18051</v>
      </c>
      <c r="C29" s="182">
        <f t="shared" si="7"/>
        <v>7266.3769231621527</v>
      </c>
      <c r="D29" s="182">
        <f t="shared" si="7"/>
        <v>918.25517699850423</v>
      </c>
      <c r="E29" s="182">
        <f t="shared" si="7"/>
        <v>692.08466012963265</v>
      </c>
      <c r="F29" s="182">
        <f t="shared" si="7"/>
        <v>501.56013738851027</v>
      </c>
      <c r="G29" s="182">
        <f t="shared" si="7"/>
        <v>457.30000387790153</v>
      </c>
      <c r="H29" s="182">
        <f t="shared" si="7"/>
        <v>9835.5769015567002</v>
      </c>
    </row>
    <row r="30" spans="1:8" x14ac:dyDescent="0.2">
      <c r="A30" s="33" t="s">
        <v>77</v>
      </c>
      <c r="B30" s="214">
        <f t="shared" si="6"/>
        <v>13477</v>
      </c>
      <c r="C30" s="182">
        <f t="shared" si="7"/>
        <v>7332.9405409215678</v>
      </c>
      <c r="D30" s="182">
        <f t="shared" si="7"/>
        <v>1055.1600497143281</v>
      </c>
      <c r="E30" s="182">
        <f t="shared" si="7"/>
        <v>880.26060250797661</v>
      </c>
      <c r="F30" s="182">
        <f t="shared" si="7"/>
        <v>339.3502411515916</v>
      </c>
      <c r="G30" s="182">
        <f t="shared" si="7"/>
        <v>238.21926318913702</v>
      </c>
      <c r="H30" s="182">
        <f t="shared" si="7"/>
        <v>9845.9306974846022</v>
      </c>
    </row>
    <row r="31" spans="1:8" x14ac:dyDescent="0.2">
      <c r="A31" s="33" t="s">
        <v>78</v>
      </c>
      <c r="B31" s="214">
        <f t="shared" si="6"/>
        <v>13204</v>
      </c>
      <c r="C31" s="182">
        <f t="shared" si="7"/>
        <v>6928.1514843986697</v>
      </c>
      <c r="D31" s="182">
        <f t="shared" si="7"/>
        <v>1192.3929521357163</v>
      </c>
      <c r="E31" s="182">
        <f t="shared" si="7"/>
        <v>927.23461148136937</v>
      </c>
      <c r="F31" s="182">
        <f t="shared" si="7"/>
        <v>448.79731747955168</v>
      </c>
      <c r="G31" s="182">
        <f t="shared" si="7"/>
        <v>352.93650560436231</v>
      </c>
      <c r="H31" s="182">
        <f t="shared" si="7"/>
        <v>9849.5128710996687</v>
      </c>
    </row>
    <row r="32" spans="1:8" x14ac:dyDescent="0.2">
      <c r="A32" s="33" t="s">
        <v>79</v>
      </c>
      <c r="B32" s="214">
        <f t="shared" si="6"/>
        <v>5654</v>
      </c>
      <c r="C32" s="182">
        <f t="shared" si="7"/>
        <v>7933.6187265652634</v>
      </c>
      <c r="D32" s="182">
        <f t="shared" si="7"/>
        <v>1694.1324266006368</v>
      </c>
      <c r="E32" s="182">
        <f t="shared" si="7"/>
        <v>1388.7600530597801</v>
      </c>
      <c r="F32" s="182">
        <f t="shared" si="7"/>
        <v>1339.2949557835161</v>
      </c>
      <c r="G32" s="182">
        <f t="shared" si="7"/>
        <v>182.34050406791653</v>
      </c>
      <c r="H32" s="182">
        <f t="shared" si="7"/>
        <v>12538.146666077111</v>
      </c>
    </row>
    <row r="33" spans="1:8" x14ac:dyDescent="0.2">
      <c r="A33" s="33" t="s">
        <v>80</v>
      </c>
      <c r="B33" s="220">
        <f t="shared" si="6"/>
        <v>1790</v>
      </c>
      <c r="C33" s="183">
        <f t="shared" si="7"/>
        <v>6856.8751675977655</v>
      </c>
      <c r="D33" s="183">
        <f t="shared" si="7"/>
        <v>2176.8506815642459</v>
      </c>
      <c r="E33" s="183">
        <f t="shared" si="7"/>
        <v>1565.5236927374303</v>
      </c>
      <c r="F33" s="183">
        <f t="shared" si="7"/>
        <v>442.40058659217885</v>
      </c>
      <c r="G33" s="183">
        <f t="shared" si="7"/>
        <v>54.894519553072627</v>
      </c>
      <c r="H33" s="183">
        <f t="shared" si="7"/>
        <v>11096.544648044694</v>
      </c>
    </row>
    <row r="34" spans="1:8" x14ac:dyDescent="0.2">
      <c r="A34" s="33" t="s">
        <v>103</v>
      </c>
      <c r="B34" s="214">
        <f t="shared" si="6"/>
        <v>89626</v>
      </c>
      <c r="C34" s="182">
        <f t="shared" si="7"/>
        <v>7002.9197103519064</v>
      </c>
      <c r="D34" s="182">
        <f t="shared" si="7"/>
        <v>1039.7233459040904</v>
      </c>
      <c r="E34" s="182">
        <f t="shared" si="7"/>
        <v>710.58052306250408</v>
      </c>
      <c r="F34" s="182">
        <f t="shared" si="7"/>
        <v>382.12486878807493</v>
      </c>
      <c r="G34" s="182">
        <f t="shared" si="7"/>
        <v>227.03959732666863</v>
      </c>
      <c r="H34" s="182">
        <f t="shared" si="7"/>
        <v>9362.3880454332448</v>
      </c>
    </row>
    <row r="35" spans="1:8" x14ac:dyDescent="0.2">
      <c r="A35" s="33"/>
      <c r="B35" s="214"/>
      <c r="C35" s="182"/>
      <c r="D35" s="182"/>
      <c r="E35" s="182"/>
      <c r="F35" s="182"/>
      <c r="G35" s="182"/>
      <c r="H35" s="182"/>
    </row>
    <row r="36" spans="1:8" x14ac:dyDescent="0.2">
      <c r="A36" s="33" t="s">
        <v>81</v>
      </c>
      <c r="B36" s="214">
        <f t="shared" ref="B36:B41" si="8">B12</f>
        <v>22224</v>
      </c>
      <c r="C36" s="182">
        <f t="shared" ref="C36:H41" si="9">C12/$B36</f>
        <v>7199.09241675666</v>
      </c>
      <c r="D36" s="182">
        <f t="shared" si="9"/>
        <v>1389.1754976601871</v>
      </c>
      <c r="E36" s="182">
        <f t="shared" si="9"/>
        <v>662.32188804895623</v>
      </c>
      <c r="F36" s="182">
        <f t="shared" si="9"/>
        <v>231.05154022678184</v>
      </c>
      <c r="G36" s="182">
        <f t="shared" si="9"/>
        <v>400.34917431605476</v>
      </c>
      <c r="H36" s="182">
        <f t="shared" si="9"/>
        <v>9881.9905170086404</v>
      </c>
    </row>
    <row r="37" spans="1:8" x14ac:dyDescent="0.2">
      <c r="A37" s="33" t="s">
        <v>82</v>
      </c>
      <c r="B37" s="214">
        <f t="shared" si="8"/>
        <v>6925</v>
      </c>
      <c r="C37" s="182">
        <f t="shared" si="9"/>
        <v>7358.4446252707585</v>
      </c>
      <c r="D37" s="182">
        <f t="shared" si="9"/>
        <v>960.56274368231038</v>
      </c>
      <c r="E37" s="182">
        <f t="shared" si="9"/>
        <v>890.07217761732841</v>
      </c>
      <c r="F37" s="182">
        <f t="shared" si="9"/>
        <v>563.53499927797839</v>
      </c>
      <c r="G37" s="182">
        <f t="shared" si="9"/>
        <v>264.41602743682307</v>
      </c>
      <c r="H37" s="182">
        <f t="shared" si="9"/>
        <v>10037.030573285198</v>
      </c>
    </row>
    <row r="38" spans="1:8" x14ac:dyDescent="0.2">
      <c r="A38" s="33" t="s">
        <v>83</v>
      </c>
      <c r="B38" s="214">
        <f t="shared" si="8"/>
        <v>5426</v>
      </c>
      <c r="C38" s="182">
        <f t="shared" si="9"/>
        <v>7752.740781422779</v>
      </c>
      <c r="D38" s="182">
        <f t="shared" si="9"/>
        <v>1486.1409417618875</v>
      </c>
      <c r="E38" s="182">
        <f t="shared" si="9"/>
        <v>1249.3905731662367</v>
      </c>
      <c r="F38" s="182">
        <f t="shared" si="9"/>
        <v>1467.8291909325471</v>
      </c>
      <c r="G38" s="182">
        <f t="shared" si="9"/>
        <v>211.69421489126429</v>
      </c>
      <c r="H38" s="182">
        <f t="shared" si="9"/>
        <v>12167.795702174713</v>
      </c>
    </row>
    <row r="39" spans="1:8" x14ac:dyDescent="0.2">
      <c r="A39" s="33" t="s">
        <v>84</v>
      </c>
      <c r="B39" s="214">
        <f t="shared" si="8"/>
        <v>5335</v>
      </c>
      <c r="C39" s="182">
        <f t="shared" si="9"/>
        <v>8545.8373383317703</v>
      </c>
      <c r="D39" s="182">
        <f t="shared" si="9"/>
        <v>1889.031625117151</v>
      </c>
      <c r="E39" s="182">
        <f t="shared" si="9"/>
        <v>1390.3568997188379</v>
      </c>
      <c r="F39" s="182">
        <f t="shared" si="9"/>
        <v>918.38283973758189</v>
      </c>
      <c r="G39" s="182">
        <f t="shared" si="9"/>
        <v>457.68471977507022</v>
      </c>
      <c r="H39" s="182">
        <f t="shared" si="9"/>
        <v>13201.293422680412</v>
      </c>
    </row>
    <row r="40" spans="1:8" x14ac:dyDescent="0.2">
      <c r="A40" s="33" t="s">
        <v>85</v>
      </c>
      <c r="B40" s="220">
        <f t="shared" si="8"/>
        <v>1736</v>
      </c>
      <c r="C40" s="183">
        <f t="shared" si="9"/>
        <v>11988.19831797235</v>
      </c>
      <c r="D40" s="183">
        <f t="shared" si="9"/>
        <v>3249.5229320276494</v>
      </c>
      <c r="E40" s="183">
        <f t="shared" si="9"/>
        <v>2490.1778917050692</v>
      </c>
      <c r="F40" s="183">
        <f t="shared" si="9"/>
        <v>3228.4503571428572</v>
      </c>
      <c r="G40" s="183">
        <f t="shared" si="9"/>
        <v>296.92289170506911</v>
      </c>
      <c r="H40" s="183">
        <f t="shared" si="9"/>
        <v>21253.272390552997</v>
      </c>
    </row>
    <row r="41" spans="1:8" x14ac:dyDescent="0.2">
      <c r="A41" s="33" t="s">
        <v>104</v>
      </c>
      <c r="B41" s="214">
        <f t="shared" si="8"/>
        <v>41646</v>
      </c>
      <c r="C41" s="182">
        <f t="shared" si="9"/>
        <v>7669.8790966719498</v>
      </c>
      <c r="D41" s="182">
        <f t="shared" si="9"/>
        <v>1472.1195202420399</v>
      </c>
      <c r="E41" s="182">
        <f t="shared" si="9"/>
        <v>946.13858713922104</v>
      </c>
      <c r="F41" s="182">
        <f t="shared" si="9"/>
        <v>660.47093982615377</v>
      </c>
      <c r="G41" s="182">
        <f t="shared" si="9"/>
        <v>356.19987441771127</v>
      </c>
      <c r="H41" s="182">
        <f t="shared" si="9"/>
        <v>11104.808018297075</v>
      </c>
    </row>
    <row r="42" spans="1:8" x14ac:dyDescent="0.2">
      <c r="A42" s="33"/>
      <c r="B42" s="214"/>
      <c r="C42" s="182"/>
      <c r="D42" s="182"/>
      <c r="E42" s="182"/>
      <c r="F42" s="182"/>
      <c r="G42" s="182"/>
      <c r="H42" s="182"/>
    </row>
    <row r="43" spans="1:8" x14ac:dyDescent="0.2">
      <c r="A43" s="33" t="s">
        <v>86</v>
      </c>
      <c r="B43" s="214">
        <f>B19</f>
        <v>10113</v>
      </c>
      <c r="C43" s="182">
        <f t="shared" ref="C43:H45" si="10">C19/$B43</f>
        <v>6439.3935894393353</v>
      </c>
      <c r="D43" s="182">
        <f t="shared" si="10"/>
        <v>1093.4326727973896</v>
      </c>
      <c r="E43" s="182">
        <f t="shared" si="10"/>
        <v>768.81364085830114</v>
      </c>
      <c r="F43" s="182">
        <f t="shared" si="10"/>
        <v>362.91861069910016</v>
      </c>
      <c r="G43" s="182">
        <f t="shared" si="10"/>
        <v>421.41298625531499</v>
      </c>
      <c r="H43" s="182">
        <f t="shared" si="10"/>
        <v>9085.9715000494398</v>
      </c>
    </row>
    <row r="44" spans="1:8" x14ac:dyDescent="0.2">
      <c r="A44" s="33" t="s">
        <v>87</v>
      </c>
      <c r="B44" s="220">
        <f>B20</f>
        <v>7480</v>
      </c>
      <c r="C44" s="183">
        <f t="shared" si="10"/>
        <v>9307.117906417112</v>
      </c>
      <c r="D44" s="183">
        <f t="shared" si="10"/>
        <v>1736.0810227272727</v>
      </c>
      <c r="E44" s="183">
        <f t="shared" si="10"/>
        <v>1479.8280387700536</v>
      </c>
      <c r="F44" s="183">
        <f t="shared" si="10"/>
        <v>689.1316363636364</v>
      </c>
      <c r="G44" s="183">
        <f t="shared" si="10"/>
        <v>435.4507339572192</v>
      </c>
      <c r="H44" s="183">
        <f t="shared" si="10"/>
        <v>13647.609338235294</v>
      </c>
    </row>
    <row r="45" spans="1:8" x14ac:dyDescent="0.2">
      <c r="A45" s="33" t="s">
        <v>105</v>
      </c>
      <c r="B45" s="214">
        <f>B21</f>
        <v>17593</v>
      </c>
      <c r="C45" s="182">
        <f t="shared" si="10"/>
        <v>7658.6613602000798</v>
      </c>
      <c r="D45" s="182">
        <f t="shared" si="10"/>
        <v>1366.6668942192919</v>
      </c>
      <c r="E45" s="182">
        <f t="shared" si="10"/>
        <v>1071.1149934633092</v>
      </c>
      <c r="F45" s="182">
        <f t="shared" si="10"/>
        <v>501.61430966861826</v>
      </c>
      <c r="G45" s="182">
        <f t="shared" si="10"/>
        <v>427.38140283067128</v>
      </c>
      <c r="H45" s="182">
        <f t="shared" si="10"/>
        <v>11025.438960381969</v>
      </c>
    </row>
    <row r="46" spans="1:8" x14ac:dyDescent="0.2">
      <c r="A46" s="33"/>
      <c r="B46" s="214"/>
      <c r="C46" s="182"/>
      <c r="D46" s="182"/>
      <c r="E46" s="182"/>
      <c r="F46" s="182"/>
      <c r="G46" s="182"/>
      <c r="H46" s="182"/>
    </row>
    <row r="47" spans="1:8" ht="13.5" thickBot="1" x14ac:dyDescent="0.25">
      <c r="A47" s="33" t="s">
        <v>209</v>
      </c>
      <c r="B47" s="222">
        <f>B23</f>
        <v>148865</v>
      </c>
      <c r="C47" s="192">
        <f t="shared" ref="C47:H47" si="11">C23/$B47</f>
        <v>7267.0022915393129</v>
      </c>
      <c r="D47" s="192">
        <f t="shared" si="11"/>
        <v>1199.3276109898229</v>
      </c>
      <c r="E47" s="192">
        <f t="shared" si="11"/>
        <v>819.08778853323474</v>
      </c>
      <c r="F47" s="192">
        <f t="shared" si="11"/>
        <v>474.11545225539925</v>
      </c>
      <c r="G47" s="192">
        <f t="shared" si="11"/>
        <v>286.8496418903033</v>
      </c>
      <c r="H47" s="192">
        <f t="shared" si="11"/>
        <v>10046.382785208076</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1052</v>
      </c>
      <c r="B52" s="182"/>
      <c r="C52" s="182"/>
      <c r="D52" s="182"/>
      <c r="E52" s="182"/>
      <c r="F52" s="182"/>
      <c r="G52" s="182"/>
      <c r="H52" s="182"/>
    </row>
    <row r="53" spans="1:8" ht="33.75" x14ac:dyDescent="0.2">
      <c r="A53" s="155" t="s">
        <v>245</v>
      </c>
      <c r="B53" s="172" t="str">
        <f t="shared" ref="B53:H53" si="12">B3</f>
        <v>ANB10</v>
      </c>
      <c r="C53" s="172" t="str">
        <f t="shared" si="12"/>
        <v>10/Pupil Salaries &amp; Benefits</v>
      </c>
      <c r="D53" s="172" t="str">
        <f t="shared" si="12"/>
        <v>10/Pupil Purchased Services</v>
      </c>
      <c r="E53" s="172" t="str">
        <f t="shared" si="12"/>
        <v>10/Pupil Supplies</v>
      </c>
      <c r="F53" s="172" t="str">
        <f t="shared" si="12"/>
        <v>10/Pupil Capital Outlay</v>
      </c>
      <c r="G53" s="172" t="str">
        <f t="shared" si="12"/>
        <v>10/Pupil Other</v>
      </c>
      <c r="H53" s="172" t="str">
        <f t="shared" si="12"/>
        <v>10/Pupil Total Expenditures</v>
      </c>
    </row>
    <row r="54" spans="1:8" x14ac:dyDescent="0.2">
      <c r="A54" s="33" t="s">
        <v>102</v>
      </c>
      <c r="B54" s="214">
        <f t="shared" ref="B54:B59" si="13">B4</f>
        <v>37450</v>
      </c>
      <c r="C54" s="191">
        <f t="shared" ref="C54:H60" si="14">C28/$H28</f>
        <v>0.80839226862951519</v>
      </c>
      <c r="D54" s="191">
        <f t="shared" si="14"/>
        <v>0.10767274406010562</v>
      </c>
      <c r="E54" s="191">
        <f t="shared" si="14"/>
        <v>5.334107391236094E-2</v>
      </c>
      <c r="F54" s="191">
        <f t="shared" si="14"/>
        <v>2.0550591130329473E-2</v>
      </c>
      <c r="G54" s="191">
        <f t="shared" si="14"/>
        <v>1.0043322267688537E-2</v>
      </c>
      <c r="H54" s="191">
        <f t="shared" si="14"/>
        <v>1</v>
      </c>
    </row>
    <row r="55" spans="1:8" x14ac:dyDescent="0.2">
      <c r="A55" s="33" t="s">
        <v>76</v>
      </c>
      <c r="B55" s="214">
        <f t="shared" si="13"/>
        <v>18051</v>
      </c>
      <c r="C55" s="191">
        <f t="shared" si="14"/>
        <v>0.7387850245990234</v>
      </c>
      <c r="D55" s="191">
        <f t="shared" si="14"/>
        <v>9.3360581304912552E-2</v>
      </c>
      <c r="E55" s="191">
        <f t="shared" si="14"/>
        <v>7.0365436319255945E-2</v>
      </c>
      <c r="F55" s="191">
        <f t="shared" si="14"/>
        <v>5.0994480792390239E-2</v>
      </c>
      <c r="G55" s="191">
        <f t="shared" si="14"/>
        <v>4.6494476984418026E-2</v>
      </c>
      <c r="H55" s="191">
        <f t="shared" si="14"/>
        <v>1</v>
      </c>
    </row>
    <row r="56" spans="1:8" x14ac:dyDescent="0.2">
      <c r="A56" s="33" t="s">
        <v>77</v>
      </c>
      <c r="B56" s="214">
        <f t="shared" si="13"/>
        <v>13477</v>
      </c>
      <c r="C56" s="191">
        <f t="shared" si="14"/>
        <v>0.74476865277905702</v>
      </c>
      <c r="D56" s="191">
        <f t="shared" si="14"/>
        <v>0.10716712133510102</v>
      </c>
      <c r="E56" s="191">
        <f t="shared" si="14"/>
        <v>8.9403493641577431E-2</v>
      </c>
      <c r="F56" s="191">
        <f t="shared" si="14"/>
        <v>3.4466039989321413E-2</v>
      </c>
      <c r="G56" s="191">
        <f t="shared" si="14"/>
        <v>2.4194692254943081E-2</v>
      </c>
      <c r="H56" s="191">
        <f t="shared" si="14"/>
        <v>1</v>
      </c>
    </row>
    <row r="57" spans="1:8" x14ac:dyDescent="0.2">
      <c r="A57" s="33" t="s">
        <v>78</v>
      </c>
      <c r="B57" s="214">
        <f t="shared" si="13"/>
        <v>13204</v>
      </c>
      <c r="C57" s="191">
        <f t="shared" si="14"/>
        <v>0.70340041939811815</v>
      </c>
      <c r="D57" s="191">
        <f t="shared" si="14"/>
        <v>0.12106110908636127</v>
      </c>
      <c r="E57" s="191">
        <f t="shared" si="14"/>
        <v>9.4140149225252642E-2</v>
      </c>
      <c r="F57" s="191">
        <f t="shared" si="14"/>
        <v>4.5565432864848349E-2</v>
      </c>
      <c r="G57" s="191">
        <f t="shared" si="14"/>
        <v>3.5832889425419678E-2</v>
      </c>
      <c r="H57" s="191">
        <f t="shared" si="14"/>
        <v>1</v>
      </c>
    </row>
    <row r="58" spans="1:8" x14ac:dyDescent="0.2">
      <c r="A58" s="33" t="s">
        <v>79</v>
      </c>
      <c r="B58" s="214">
        <f t="shared" si="13"/>
        <v>5654</v>
      </c>
      <c r="C58" s="191">
        <f t="shared" si="14"/>
        <v>0.6327584879853303</v>
      </c>
      <c r="D58" s="191">
        <f t="shared" si="14"/>
        <v>0.13511824926918731</v>
      </c>
      <c r="E58" s="191">
        <f t="shared" si="14"/>
        <v>0.11076278576459581</v>
      </c>
      <c r="F58" s="191">
        <f t="shared" si="14"/>
        <v>0.10681761758355231</v>
      </c>
      <c r="G58" s="191">
        <f t="shared" si="14"/>
        <v>1.4542859397334403E-2</v>
      </c>
      <c r="H58" s="191">
        <f t="shared" si="14"/>
        <v>1</v>
      </c>
    </row>
    <row r="59" spans="1:8" x14ac:dyDescent="0.2">
      <c r="A59" s="33" t="s">
        <v>80</v>
      </c>
      <c r="B59" s="220">
        <f t="shared" si="13"/>
        <v>1790</v>
      </c>
      <c r="C59" s="193">
        <f t="shared" si="14"/>
        <v>0.61792885849434276</v>
      </c>
      <c r="D59" s="193">
        <f t="shared" si="14"/>
        <v>0.19617374152122441</v>
      </c>
      <c r="E59" s="193">
        <f t="shared" si="14"/>
        <v>0.14108208837904229</v>
      </c>
      <c r="F59" s="193">
        <f t="shared" si="14"/>
        <v>3.9868319429520217E-2</v>
      </c>
      <c r="G59" s="193">
        <f t="shared" si="14"/>
        <v>4.9469921758703069E-3</v>
      </c>
      <c r="H59" s="193">
        <f t="shared" si="14"/>
        <v>1</v>
      </c>
    </row>
    <row r="60" spans="1:8" x14ac:dyDescent="0.2">
      <c r="A60" s="33" t="s">
        <v>103</v>
      </c>
      <c r="B60" s="214">
        <f>SUM(B54:B59)</f>
        <v>89626</v>
      </c>
      <c r="C60" s="191">
        <f t="shared" si="14"/>
        <v>0.74798434719524021</v>
      </c>
      <c r="D60" s="191">
        <f t="shared" si="14"/>
        <v>0.11105322070166096</v>
      </c>
      <c r="E60" s="191">
        <f t="shared" si="14"/>
        <v>7.5897358624128886E-2</v>
      </c>
      <c r="F60" s="191">
        <f t="shared" si="14"/>
        <v>4.0814893265876388E-2</v>
      </c>
      <c r="G60" s="191">
        <f t="shared" si="14"/>
        <v>2.4250180213093525E-2</v>
      </c>
      <c r="H60" s="191">
        <f t="shared" si="14"/>
        <v>1</v>
      </c>
    </row>
    <row r="61" spans="1:8" x14ac:dyDescent="0.2">
      <c r="A61" s="33"/>
      <c r="B61" s="214"/>
      <c r="C61" s="191"/>
      <c r="D61" s="191"/>
      <c r="E61" s="191"/>
      <c r="F61" s="191"/>
      <c r="G61" s="191"/>
      <c r="H61" s="191"/>
    </row>
    <row r="62" spans="1:8" x14ac:dyDescent="0.2">
      <c r="A62" s="33" t="s">
        <v>81</v>
      </c>
      <c r="B62" s="214">
        <f t="shared" ref="B62:B67" si="15">B12</f>
        <v>22224</v>
      </c>
      <c r="C62" s="191">
        <f t="shared" ref="C62:H67" si="16">C36/$H36</f>
        <v>0.72850630693945295</v>
      </c>
      <c r="D62" s="191">
        <f t="shared" si="16"/>
        <v>0.14057648560471417</v>
      </c>
      <c r="E62" s="191">
        <f t="shared" si="16"/>
        <v>6.7023125240707734E-2</v>
      </c>
      <c r="F62" s="191">
        <f t="shared" si="16"/>
        <v>2.3381072854613813E-2</v>
      </c>
      <c r="G62" s="191">
        <f t="shared" si="16"/>
        <v>4.0513009360511283E-2</v>
      </c>
      <c r="H62" s="191">
        <f t="shared" si="16"/>
        <v>1</v>
      </c>
    </row>
    <row r="63" spans="1:8" x14ac:dyDescent="0.2">
      <c r="A63" s="33" t="s">
        <v>82</v>
      </c>
      <c r="B63" s="214">
        <f t="shared" si="15"/>
        <v>6925</v>
      </c>
      <c r="C63" s="191">
        <f t="shared" si="16"/>
        <v>0.73312964143560266</v>
      </c>
      <c r="D63" s="191">
        <f t="shared" si="16"/>
        <v>9.5701884802360498E-2</v>
      </c>
      <c r="E63" s="191">
        <f t="shared" si="16"/>
        <v>8.8678834952078955E-2</v>
      </c>
      <c r="F63" s="191">
        <f t="shared" si="16"/>
        <v>5.6145589590799565E-2</v>
      </c>
      <c r="G63" s="191">
        <f t="shared" si="16"/>
        <v>2.6344049219158418E-2</v>
      </c>
      <c r="H63" s="191">
        <f t="shared" si="16"/>
        <v>1</v>
      </c>
    </row>
    <row r="64" spans="1:8" x14ac:dyDescent="0.2">
      <c r="A64" s="33" t="s">
        <v>83</v>
      </c>
      <c r="B64" s="214">
        <f t="shared" si="15"/>
        <v>5426</v>
      </c>
      <c r="C64" s="191">
        <f t="shared" si="16"/>
        <v>0.63715244496068879</v>
      </c>
      <c r="D64" s="191">
        <f t="shared" si="16"/>
        <v>0.12213723653301263</v>
      </c>
      <c r="E64" s="191">
        <f t="shared" si="16"/>
        <v>0.10268010769961702</v>
      </c>
      <c r="F64" s="191">
        <f t="shared" si="16"/>
        <v>0.120632300776566</v>
      </c>
      <c r="G64" s="191">
        <f t="shared" si="16"/>
        <v>1.7397910030115711E-2</v>
      </c>
      <c r="H64" s="191">
        <f t="shared" si="16"/>
        <v>1</v>
      </c>
    </row>
    <row r="65" spans="1:8" x14ac:dyDescent="0.2">
      <c r="A65" s="33" t="s">
        <v>84</v>
      </c>
      <c r="B65" s="214">
        <f t="shared" si="15"/>
        <v>5335</v>
      </c>
      <c r="C65" s="191">
        <f t="shared" si="16"/>
        <v>0.64734848811478118</v>
      </c>
      <c r="D65" s="191">
        <f t="shared" si="16"/>
        <v>0.14309443511585843</v>
      </c>
      <c r="E65" s="191">
        <f t="shared" si="16"/>
        <v>0.1053197482399825</v>
      </c>
      <c r="F65" s="191">
        <f t="shared" si="16"/>
        <v>6.9567640861596114E-2</v>
      </c>
      <c r="G65" s="191">
        <f t="shared" si="16"/>
        <v>3.4669687667781661E-2</v>
      </c>
      <c r="H65" s="191">
        <f t="shared" si="16"/>
        <v>1</v>
      </c>
    </row>
    <row r="66" spans="1:8" x14ac:dyDescent="0.2">
      <c r="A66" s="33" t="s">
        <v>85</v>
      </c>
      <c r="B66" s="220">
        <f t="shared" si="15"/>
        <v>1736</v>
      </c>
      <c r="C66" s="193">
        <f t="shared" si="16"/>
        <v>0.56406364618471938</v>
      </c>
      <c r="D66" s="193">
        <f t="shared" si="16"/>
        <v>0.15289518114264844</v>
      </c>
      <c r="E66" s="193">
        <f t="shared" si="16"/>
        <v>0.11716679887902554</v>
      </c>
      <c r="F66" s="193">
        <f t="shared" si="16"/>
        <v>0.15190368324540421</v>
      </c>
      <c r="G66" s="193">
        <f t="shared" si="16"/>
        <v>1.3970690548202368E-2</v>
      </c>
      <c r="H66" s="193">
        <f t="shared" si="16"/>
        <v>1</v>
      </c>
    </row>
    <row r="67" spans="1:8" x14ac:dyDescent="0.2">
      <c r="A67" s="33" t="s">
        <v>104</v>
      </c>
      <c r="B67" s="214">
        <f t="shared" si="15"/>
        <v>41646</v>
      </c>
      <c r="C67" s="191">
        <f t="shared" si="16"/>
        <v>0.69068092703939676</v>
      </c>
      <c r="D67" s="191">
        <f t="shared" si="16"/>
        <v>0.13256595862048859</v>
      </c>
      <c r="E67" s="191">
        <f t="shared" si="16"/>
        <v>8.5200805415122483E-2</v>
      </c>
      <c r="F67" s="191">
        <f t="shared" si="16"/>
        <v>5.947612410209295E-2</v>
      </c>
      <c r="G67" s="191">
        <f t="shared" si="16"/>
        <v>3.2076184822899319E-2</v>
      </c>
      <c r="H67" s="191">
        <f t="shared" si="16"/>
        <v>1</v>
      </c>
    </row>
    <row r="68" spans="1:8" x14ac:dyDescent="0.2">
      <c r="A68" s="33"/>
      <c r="B68" s="214"/>
      <c r="C68" s="191"/>
      <c r="D68" s="191"/>
      <c r="E68" s="191"/>
      <c r="F68" s="191"/>
      <c r="G68" s="191"/>
      <c r="H68" s="191"/>
    </row>
    <row r="69" spans="1:8" x14ac:dyDescent="0.2">
      <c r="A69" s="33" t="s">
        <v>86</v>
      </c>
      <c r="B69" s="214">
        <f>B19</f>
        <v>10113</v>
      </c>
      <c r="C69" s="191">
        <f t="shared" ref="C69:H71" si="17">C43/$H43</f>
        <v>0.70871822450734046</v>
      </c>
      <c r="D69" s="191">
        <f t="shared" si="17"/>
        <v>0.12034295647872546</v>
      </c>
      <c r="E69" s="191">
        <f t="shared" si="17"/>
        <v>8.4615458110793962E-2</v>
      </c>
      <c r="F69" s="191">
        <f t="shared" si="17"/>
        <v>3.9942741477576219E-2</v>
      </c>
      <c r="G69" s="191">
        <f t="shared" si="17"/>
        <v>4.6380619425564117E-2</v>
      </c>
      <c r="H69" s="191">
        <f t="shared" si="17"/>
        <v>1</v>
      </c>
    </row>
    <row r="70" spans="1:8" x14ac:dyDescent="0.2">
      <c r="A70" s="33" t="s">
        <v>87</v>
      </c>
      <c r="B70" s="220">
        <f>B20</f>
        <v>7480</v>
      </c>
      <c r="C70" s="193">
        <f t="shared" si="17"/>
        <v>0.68195957810297125</v>
      </c>
      <c r="D70" s="193">
        <f t="shared" si="17"/>
        <v>0.12720770207449072</v>
      </c>
      <c r="E70" s="193">
        <f t="shared" si="17"/>
        <v>0.10843130119677084</v>
      </c>
      <c r="F70" s="193">
        <f t="shared" si="17"/>
        <v>5.0494677806534043E-2</v>
      </c>
      <c r="G70" s="193">
        <f t="shared" si="17"/>
        <v>3.1906740819233122E-2</v>
      </c>
      <c r="H70" s="193">
        <f t="shared" si="17"/>
        <v>1</v>
      </c>
    </row>
    <row r="71" spans="1:8" x14ac:dyDescent="0.2">
      <c r="A71" s="33" t="s">
        <v>105</v>
      </c>
      <c r="B71" s="214">
        <f>B21</f>
        <v>17593</v>
      </c>
      <c r="C71" s="191">
        <f t="shared" si="17"/>
        <v>0.69463550500983873</v>
      </c>
      <c r="D71" s="191">
        <f t="shared" si="17"/>
        <v>0.12395578072947261</v>
      </c>
      <c r="E71" s="191">
        <f t="shared" si="17"/>
        <v>9.7149419384768079E-2</v>
      </c>
      <c r="F71" s="191">
        <f t="shared" si="17"/>
        <v>4.5496085141923472E-2</v>
      </c>
      <c r="G71" s="191">
        <f t="shared" si="17"/>
        <v>3.8763209733997286E-2</v>
      </c>
      <c r="H71" s="191">
        <f t="shared" si="17"/>
        <v>1</v>
      </c>
    </row>
    <row r="72" spans="1:8" x14ac:dyDescent="0.2">
      <c r="A72" s="33"/>
      <c r="B72" s="214"/>
      <c r="C72" s="191"/>
      <c r="D72" s="191"/>
      <c r="E72" s="191"/>
      <c r="F72" s="191"/>
      <c r="G72" s="191"/>
      <c r="H72" s="191"/>
    </row>
    <row r="73" spans="1:8" ht="13.5" thickBot="1" x14ac:dyDescent="0.25">
      <c r="A73" s="33" t="s">
        <v>230</v>
      </c>
      <c r="B73" s="222">
        <f>B71+B67+B60</f>
        <v>148865</v>
      </c>
      <c r="C73" s="195">
        <f t="shared" ref="C73:H73" si="18">C47/$H47</f>
        <v>0.72334515286825218</v>
      </c>
      <c r="D73" s="195">
        <f t="shared" si="18"/>
        <v>0.11937904782561827</v>
      </c>
      <c r="E73" s="195">
        <f t="shared" si="18"/>
        <v>8.1530617143040718E-2</v>
      </c>
      <c r="F73" s="195">
        <f t="shared" si="18"/>
        <v>4.719265255883634E-2</v>
      </c>
      <c r="G73" s="195">
        <f t="shared" si="18"/>
        <v>2.8552529604252204E-2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65"/>
  <dimension ref="A1:S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36" t="s">
        <v>247</v>
      </c>
      <c r="B1" s="22"/>
      <c r="C1" s="22"/>
      <c r="D1" s="22"/>
      <c r="E1" s="22"/>
      <c r="F1" s="22"/>
      <c r="G1" s="22"/>
      <c r="H1" s="22"/>
    </row>
    <row r="2" spans="1:19" x14ac:dyDescent="0.2">
      <c r="A2" s="22" t="s">
        <v>1050</v>
      </c>
    </row>
    <row r="3" spans="1:19" ht="34.5" x14ac:dyDescent="0.25">
      <c r="A3" s="22" t="s">
        <v>245</v>
      </c>
      <c r="B3" s="202" t="s">
        <v>1026</v>
      </c>
      <c r="C3" s="172" t="s">
        <v>1044</v>
      </c>
      <c r="D3" s="172" t="s">
        <v>1045</v>
      </c>
      <c r="E3" s="172" t="s">
        <v>1046</v>
      </c>
      <c r="F3" s="172" t="s">
        <v>1047</v>
      </c>
      <c r="G3" s="172" t="s">
        <v>1048</v>
      </c>
      <c r="H3" s="172" t="s">
        <v>1049</v>
      </c>
      <c r="L3" s="247"/>
      <c r="M3" s="247"/>
      <c r="N3" s="247"/>
      <c r="O3" s="247"/>
      <c r="P3" s="247"/>
      <c r="Q3" s="247"/>
      <c r="R3" s="247"/>
      <c r="S3" s="247"/>
    </row>
    <row r="4" spans="1:19" ht="15" x14ac:dyDescent="0.25">
      <c r="A4" s="182" t="s">
        <v>102</v>
      </c>
      <c r="B4" s="214">
        <v>37450</v>
      </c>
      <c r="C4" s="214">
        <v>254946018.28999999</v>
      </c>
      <c r="D4" s="214">
        <v>33751425.82</v>
      </c>
      <c r="E4" s="214">
        <v>17748895.760000002</v>
      </c>
      <c r="F4" s="214">
        <v>6585552.1699999999</v>
      </c>
      <c r="G4" s="214">
        <v>3094059.55</v>
      </c>
      <c r="H4" s="214">
        <f t="shared" ref="H4:H9" si="0">SUM(C4:G4)</f>
        <v>316125951.59000003</v>
      </c>
      <c r="L4" s="247"/>
      <c r="M4" s="271"/>
      <c r="N4" s="271"/>
      <c r="O4" s="271"/>
      <c r="P4" s="271"/>
      <c r="Q4" s="271"/>
      <c r="R4" s="271"/>
      <c r="S4" s="272"/>
    </row>
    <row r="5" spans="1:19" ht="15" x14ac:dyDescent="0.25">
      <c r="A5" s="33" t="s">
        <v>76</v>
      </c>
      <c r="B5" s="214">
        <v>18051</v>
      </c>
      <c r="C5" s="214">
        <v>135703920.36000001</v>
      </c>
      <c r="D5" s="214">
        <v>17317770.690000001</v>
      </c>
      <c r="E5" s="214">
        <v>13904631.73</v>
      </c>
      <c r="F5" s="214">
        <v>9926485.7400000002</v>
      </c>
      <c r="G5" s="214">
        <v>8254722.3700000001</v>
      </c>
      <c r="H5" s="214">
        <f t="shared" si="0"/>
        <v>185107530.89000002</v>
      </c>
      <c r="L5" s="247"/>
      <c r="M5" s="271"/>
      <c r="N5" s="271"/>
      <c r="O5" s="271"/>
      <c r="P5" s="271"/>
      <c r="Q5" s="271"/>
      <c r="R5" s="271"/>
      <c r="S5" s="272"/>
    </row>
    <row r="6" spans="1:19" ht="15" x14ac:dyDescent="0.25">
      <c r="A6" s="33" t="s">
        <v>77</v>
      </c>
      <c r="B6" s="214">
        <v>13477</v>
      </c>
      <c r="C6" s="214">
        <v>102417456.48</v>
      </c>
      <c r="D6" s="214">
        <v>14586922.23</v>
      </c>
      <c r="E6" s="214">
        <v>13308979.43</v>
      </c>
      <c r="F6" s="214">
        <v>4777813.9000000004</v>
      </c>
      <c r="G6" s="214">
        <v>3210481.01</v>
      </c>
      <c r="H6" s="214">
        <f t="shared" si="0"/>
        <v>138301653.05000001</v>
      </c>
      <c r="L6" s="247"/>
      <c r="M6" s="271"/>
      <c r="N6" s="271"/>
      <c r="O6" s="271"/>
      <c r="P6" s="271"/>
      <c r="Q6" s="271"/>
      <c r="R6" s="271"/>
      <c r="S6" s="272"/>
    </row>
    <row r="7" spans="1:19" ht="15" x14ac:dyDescent="0.25">
      <c r="A7" s="33" t="s">
        <v>78</v>
      </c>
      <c r="B7" s="214">
        <v>13204</v>
      </c>
      <c r="C7" s="214">
        <v>93785649.480000004</v>
      </c>
      <c r="D7" s="214">
        <v>15964085.42</v>
      </c>
      <c r="E7" s="214">
        <v>13011093.960000001</v>
      </c>
      <c r="F7" s="214">
        <v>6272780.4500000002</v>
      </c>
      <c r="G7" s="214">
        <v>4660173.62</v>
      </c>
      <c r="H7" s="214">
        <f t="shared" si="0"/>
        <v>133693782.93000002</v>
      </c>
      <c r="L7" s="247"/>
      <c r="M7" s="271"/>
      <c r="N7" s="271"/>
      <c r="O7" s="271"/>
      <c r="P7" s="271"/>
      <c r="Q7" s="271"/>
      <c r="R7" s="271"/>
      <c r="S7" s="272"/>
    </row>
    <row r="8" spans="1:19" ht="15" x14ac:dyDescent="0.25">
      <c r="A8" s="33" t="s">
        <v>79</v>
      </c>
      <c r="B8" s="214">
        <v>5654</v>
      </c>
      <c r="C8" s="214">
        <v>45970182.670000002</v>
      </c>
      <c r="D8" s="214">
        <v>9854667.9399999995</v>
      </c>
      <c r="E8" s="214">
        <v>8204449.5599999996</v>
      </c>
      <c r="F8" s="214">
        <v>7595307.4199999999</v>
      </c>
      <c r="G8" s="214">
        <v>1030953.21</v>
      </c>
      <c r="H8" s="214">
        <f t="shared" si="0"/>
        <v>72655560.799999997</v>
      </c>
      <c r="L8" s="247"/>
      <c r="M8" s="271"/>
      <c r="N8" s="271"/>
      <c r="O8" s="271"/>
      <c r="P8" s="271"/>
      <c r="Q8" s="271"/>
      <c r="R8" s="271"/>
      <c r="S8" s="272"/>
    </row>
    <row r="9" spans="1:19" ht="15" x14ac:dyDescent="0.25">
      <c r="A9" s="33" t="s">
        <v>80</v>
      </c>
      <c r="B9" s="220">
        <v>1790</v>
      </c>
      <c r="C9" s="220">
        <v>12418389.800000001</v>
      </c>
      <c r="D9" s="220">
        <v>3917777.63</v>
      </c>
      <c r="E9" s="220">
        <v>2852696.21</v>
      </c>
      <c r="F9" s="220">
        <v>816321.3</v>
      </c>
      <c r="G9" s="220">
        <v>98261.19</v>
      </c>
      <c r="H9" s="220">
        <f t="shared" si="0"/>
        <v>20103446.130000003</v>
      </c>
      <c r="L9" s="247"/>
      <c r="M9" s="271"/>
      <c r="N9" s="271"/>
      <c r="O9" s="271"/>
      <c r="P9" s="271"/>
      <c r="Q9" s="271"/>
      <c r="R9" s="271"/>
      <c r="S9" s="272"/>
    </row>
    <row r="10" spans="1:19" ht="15" x14ac:dyDescent="0.25">
      <c r="A10" s="33" t="s">
        <v>103</v>
      </c>
      <c r="B10" s="221">
        <f t="shared" ref="B10:H10" si="1">SUM(B4:B9)</f>
        <v>89626</v>
      </c>
      <c r="C10" s="221">
        <f t="shared" si="1"/>
        <v>645241617.07999992</v>
      </c>
      <c r="D10" s="221">
        <f t="shared" si="1"/>
        <v>95392649.730000004</v>
      </c>
      <c r="E10" s="221">
        <f t="shared" si="1"/>
        <v>69030746.650000006</v>
      </c>
      <c r="F10" s="221">
        <f t="shared" si="1"/>
        <v>35974260.979999997</v>
      </c>
      <c r="G10" s="221">
        <f t="shared" si="1"/>
        <v>20348650.950000003</v>
      </c>
      <c r="H10" s="214">
        <f t="shared" si="1"/>
        <v>865987925.38999999</v>
      </c>
      <c r="L10" s="247"/>
      <c r="M10" s="271"/>
      <c r="N10" s="271"/>
      <c r="O10" s="271"/>
      <c r="P10" s="271"/>
      <c r="Q10" s="271"/>
      <c r="R10" s="271"/>
      <c r="S10" s="272"/>
    </row>
    <row r="11" spans="1:19" ht="15" x14ac:dyDescent="0.25">
      <c r="A11" s="33"/>
      <c r="B11" s="182"/>
      <c r="C11" s="221"/>
      <c r="D11" s="221"/>
      <c r="E11" s="221"/>
      <c r="F11" s="221"/>
      <c r="G11" s="221"/>
      <c r="H11" s="214"/>
      <c r="L11" s="247"/>
      <c r="M11" s="271"/>
      <c r="N11" s="271"/>
      <c r="O11" s="271"/>
      <c r="P11" s="271"/>
      <c r="Q11" s="271"/>
      <c r="R11" s="271"/>
      <c r="S11" s="272"/>
    </row>
    <row r="12" spans="1:19" ht="15" x14ac:dyDescent="0.25">
      <c r="A12" s="33" t="s">
        <v>81</v>
      </c>
      <c r="B12" s="214">
        <v>22224</v>
      </c>
      <c r="C12" s="214">
        <v>162659186.00999999</v>
      </c>
      <c r="D12" s="214">
        <v>31621758.300000001</v>
      </c>
      <c r="E12" s="214">
        <v>15845853.15</v>
      </c>
      <c r="F12" s="214">
        <v>5134889.43</v>
      </c>
      <c r="G12" s="214">
        <v>8897360.0500000007</v>
      </c>
      <c r="H12" s="214">
        <f>SUM(C12:G12)</f>
        <v>224159046.94000003</v>
      </c>
      <c r="L12" s="247"/>
      <c r="M12" s="271"/>
      <c r="N12" s="271"/>
      <c r="O12" s="271"/>
      <c r="P12" s="271"/>
      <c r="Q12" s="271"/>
      <c r="R12" s="271"/>
      <c r="S12" s="272"/>
    </row>
    <row r="13" spans="1:19" ht="15" x14ac:dyDescent="0.25">
      <c r="A13" s="33" t="s">
        <v>82</v>
      </c>
      <c r="B13" s="214">
        <v>6925</v>
      </c>
      <c r="C13" s="214">
        <v>51124368.509999998</v>
      </c>
      <c r="D13" s="214">
        <v>6652157.8700000001</v>
      </c>
      <c r="E13" s="214">
        <v>6176484.8499999996</v>
      </c>
      <c r="F13" s="214">
        <v>4115809.64</v>
      </c>
      <c r="G13" s="214">
        <v>1831080.99</v>
      </c>
      <c r="H13" s="214">
        <f>SUM(C13:G13)</f>
        <v>69899901.859999985</v>
      </c>
      <c r="L13" s="247"/>
      <c r="M13" s="271"/>
      <c r="N13" s="271"/>
      <c r="O13" s="271"/>
      <c r="P13" s="271"/>
      <c r="Q13" s="271"/>
      <c r="R13" s="271"/>
      <c r="S13" s="272"/>
    </row>
    <row r="14" spans="1:19" ht="15" x14ac:dyDescent="0.25">
      <c r="A14" s="33" t="s">
        <v>83</v>
      </c>
      <c r="B14" s="214">
        <v>5426</v>
      </c>
      <c r="C14" s="214">
        <v>42476649.009999998</v>
      </c>
      <c r="D14" s="214">
        <v>8288525.6900000004</v>
      </c>
      <c r="E14" s="214">
        <v>7005020.6100000003</v>
      </c>
      <c r="F14" s="214">
        <v>7964441.1900000004</v>
      </c>
      <c r="G14" s="214">
        <v>1148652.81</v>
      </c>
      <c r="H14" s="214">
        <f>SUM(C14:G14)</f>
        <v>66883289.309999995</v>
      </c>
      <c r="L14" s="247"/>
      <c r="M14" s="271"/>
      <c r="N14" s="271"/>
      <c r="O14" s="271"/>
      <c r="P14" s="271"/>
      <c r="Q14" s="271"/>
      <c r="R14" s="271"/>
      <c r="S14" s="272"/>
    </row>
    <row r="15" spans="1:19" ht="15" x14ac:dyDescent="0.25">
      <c r="A15" s="33" t="s">
        <v>84</v>
      </c>
      <c r="B15" s="214">
        <v>5335</v>
      </c>
      <c r="C15" s="214">
        <v>45933123.729999997</v>
      </c>
      <c r="D15" s="214">
        <v>10106936.43</v>
      </c>
      <c r="E15" s="214">
        <v>7566415.6799999997</v>
      </c>
      <c r="F15" s="214">
        <v>5053403.47</v>
      </c>
      <c r="G15" s="214">
        <v>2441747.98</v>
      </c>
      <c r="H15" s="214">
        <f>SUM(C15:G15)</f>
        <v>71101627.290000007</v>
      </c>
      <c r="L15" s="247"/>
      <c r="M15" s="271"/>
      <c r="N15" s="271"/>
      <c r="O15" s="271"/>
      <c r="P15" s="271"/>
      <c r="Q15" s="271"/>
      <c r="R15" s="271"/>
      <c r="S15" s="272"/>
    </row>
    <row r="16" spans="1:19" ht="15" x14ac:dyDescent="0.25">
      <c r="A16" s="33" t="s">
        <v>85</v>
      </c>
      <c r="B16" s="220">
        <v>1736</v>
      </c>
      <c r="C16" s="220">
        <v>20838823.84</v>
      </c>
      <c r="D16" s="220">
        <v>5655131.5</v>
      </c>
      <c r="E16" s="220">
        <v>4344043.8600000003</v>
      </c>
      <c r="F16" s="220">
        <v>5628441.8200000003</v>
      </c>
      <c r="G16" s="220">
        <v>515458.14</v>
      </c>
      <c r="H16" s="220">
        <f>SUM(C16:G16)</f>
        <v>36981899.159999996</v>
      </c>
      <c r="L16" s="247"/>
      <c r="M16" s="271"/>
      <c r="N16" s="271"/>
      <c r="O16" s="271"/>
      <c r="P16" s="271"/>
      <c r="Q16" s="271"/>
      <c r="R16" s="271"/>
      <c r="S16" s="272"/>
    </row>
    <row r="17" spans="1:19" ht="15" x14ac:dyDescent="0.25">
      <c r="A17" s="33" t="s">
        <v>104</v>
      </c>
      <c r="B17" s="221">
        <f t="shared" ref="B17:H17" si="2">SUM(B12:B16)</f>
        <v>41646</v>
      </c>
      <c r="C17" s="221">
        <f t="shared" si="2"/>
        <v>323032151.09999996</v>
      </c>
      <c r="D17" s="221">
        <f t="shared" si="2"/>
        <v>62324509.789999999</v>
      </c>
      <c r="E17" s="221">
        <f t="shared" si="2"/>
        <v>40937818.149999999</v>
      </c>
      <c r="F17" s="221">
        <f t="shared" si="2"/>
        <v>27896985.550000001</v>
      </c>
      <c r="G17" s="221">
        <f t="shared" si="2"/>
        <v>14834299.970000003</v>
      </c>
      <c r="H17" s="221">
        <f t="shared" si="2"/>
        <v>469025764.56000006</v>
      </c>
      <c r="L17" s="247"/>
      <c r="M17" s="271"/>
      <c r="N17" s="271"/>
      <c r="O17" s="271"/>
      <c r="P17" s="271"/>
      <c r="Q17" s="271"/>
      <c r="R17" s="271"/>
      <c r="S17" s="272"/>
    </row>
    <row r="18" spans="1:19" x14ac:dyDescent="0.2">
      <c r="A18" s="33"/>
      <c r="B18" s="182"/>
      <c r="C18" s="221"/>
      <c r="D18" s="221"/>
      <c r="E18" s="221"/>
      <c r="F18" s="221"/>
      <c r="G18" s="221"/>
      <c r="H18" s="214"/>
    </row>
    <row r="19" spans="1:19" x14ac:dyDescent="0.2">
      <c r="A19" s="33" t="s">
        <v>86</v>
      </c>
      <c r="B19" s="214">
        <v>10113</v>
      </c>
      <c r="C19" s="214">
        <v>66675097.729999997</v>
      </c>
      <c r="D19" s="214">
        <v>11228219.33</v>
      </c>
      <c r="E19" s="214">
        <v>8235099.2400000002</v>
      </c>
      <c r="F19" s="214">
        <v>3690195.91</v>
      </c>
      <c r="G19" s="214">
        <v>4261749.53</v>
      </c>
      <c r="H19" s="214">
        <f>SUM(C19:G19)</f>
        <v>94090361.739999995</v>
      </c>
    </row>
    <row r="20" spans="1:19" x14ac:dyDescent="0.2">
      <c r="A20" s="33" t="s">
        <v>87</v>
      </c>
      <c r="B20" s="220">
        <v>7480</v>
      </c>
      <c r="C20" s="220">
        <v>71143611.150000006</v>
      </c>
      <c r="D20" s="220">
        <v>13108026.560000001</v>
      </c>
      <c r="E20" s="220">
        <v>11380911.08</v>
      </c>
      <c r="F20" s="220">
        <v>5248870.0199999996</v>
      </c>
      <c r="G20" s="220">
        <v>3257171.49</v>
      </c>
      <c r="H20" s="220">
        <f>SUM(C20:G20)</f>
        <v>104138590.3</v>
      </c>
    </row>
    <row r="21" spans="1:19" x14ac:dyDescent="0.2">
      <c r="A21" s="33" t="s">
        <v>105</v>
      </c>
      <c r="B21" s="221">
        <f t="shared" ref="B21:H21" si="3">SUM(B19:B20)</f>
        <v>17593</v>
      </c>
      <c r="C21" s="221">
        <f t="shared" si="3"/>
        <v>137818708.88</v>
      </c>
      <c r="D21" s="221">
        <f t="shared" si="3"/>
        <v>24336245.890000001</v>
      </c>
      <c r="E21" s="221">
        <f t="shared" si="3"/>
        <v>19616010.32</v>
      </c>
      <c r="F21" s="221">
        <f t="shared" si="3"/>
        <v>8939065.9299999997</v>
      </c>
      <c r="G21" s="221">
        <f t="shared" si="3"/>
        <v>7518921.0200000005</v>
      </c>
      <c r="H21" s="221">
        <f t="shared" si="3"/>
        <v>198228952.03999999</v>
      </c>
    </row>
    <row r="22" spans="1:19" x14ac:dyDescent="0.2">
      <c r="A22" s="33"/>
      <c r="B22" s="214"/>
      <c r="C22" s="214"/>
      <c r="D22" s="214"/>
      <c r="E22" s="214"/>
      <c r="F22" s="214"/>
      <c r="G22" s="214"/>
      <c r="H22" s="214"/>
    </row>
    <row r="23" spans="1:19" ht="13.5" thickBot="1" x14ac:dyDescent="0.25">
      <c r="A23" s="33" t="s">
        <v>209</v>
      </c>
      <c r="B23" s="222">
        <f t="shared" ref="B23:H23" si="4">B21+B17+B10</f>
        <v>148865</v>
      </c>
      <c r="C23" s="222">
        <f t="shared" si="4"/>
        <v>1106092477.0599999</v>
      </c>
      <c r="D23" s="222">
        <f t="shared" si="4"/>
        <v>182053405.41000003</v>
      </c>
      <c r="E23" s="222">
        <f t="shared" si="4"/>
        <v>129584575.12</v>
      </c>
      <c r="F23" s="222">
        <f t="shared" si="4"/>
        <v>72810312.460000008</v>
      </c>
      <c r="G23" s="222">
        <f t="shared" si="4"/>
        <v>42701871.940000005</v>
      </c>
      <c r="H23" s="222">
        <f t="shared" si="4"/>
        <v>1533242641.99</v>
      </c>
    </row>
    <row r="24" spans="1:19" ht="13.5" thickTop="1" x14ac:dyDescent="0.2">
      <c r="A24" s="33"/>
      <c r="B24" s="182"/>
      <c r="C24" s="182"/>
      <c r="D24" s="182"/>
      <c r="E24" s="182"/>
      <c r="F24" s="182"/>
      <c r="G24" s="182"/>
      <c r="H24" s="33"/>
    </row>
    <row r="25" spans="1:19" x14ac:dyDescent="0.2">
      <c r="A25" s="36" t="s">
        <v>247</v>
      </c>
      <c r="B25" s="22"/>
      <c r="C25" s="22"/>
      <c r="D25" s="22"/>
      <c r="E25" s="22"/>
      <c r="F25" s="22"/>
      <c r="G25" s="22"/>
      <c r="H25" s="22"/>
    </row>
    <row r="26" spans="1:19" x14ac:dyDescent="0.2">
      <c r="A26" s="36" t="s">
        <v>1051</v>
      </c>
      <c r="B26" s="22"/>
      <c r="C26" s="22"/>
      <c r="D26" s="22"/>
      <c r="E26" s="22"/>
      <c r="F26" s="22"/>
      <c r="G26" s="22"/>
      <c r="H26" s="22"/>
    </row>
    <row r="27" spans="1:19" ht="33.75" x14ac:dyDescent="0.2">
      <c r="A27" s="155" t="s">
        <v>245</v>
      </c>
      <c r="B27" s="172" t="str">
        <f t="shared" ref="B27:H27" si="5">B3</f>
        <v>ANB10</v>
      </c>
      <c r="C27" s="172" t="str">
        <f t="shared" si="5"/>
        <v>10/Pupil Salaries &amp; Benefits</v>
      </c>
      <c r="D27" s="172" t="str">
        <f t="shared" si="5"/>
        <v>10/Pupil Purchased Services</v>
      </c>
      <c r="E27" s="172" t="str">
        <f t="shared" si="5"/>
        <v>10/Pupil Supplies</v>
      </c>
      <c r="F27" s="172" t="str">
        <f t="shared" si="5"/>
        <v>10/Pupil Capital Outlay</v>
      </c>
      <c r="G27" s="172" t="str">
        <f t="shared" si="5"/>
        <v>10/Pupil Other</v>
      </c>
      <c r="H27" s="172" t="str">
        <f t="shared" si="5"/>
        <v>10/Pupil Total Expenditures</v>
      </c>
    </row>
    <row r="28" spans="1:19" x14ac:dyDescent="0.2">
      <c r="A28" s="33" t="s">
        <v>102</v>
      </c>
      <c r="B28" s="214">
        <f t="shared" ref="B28:B34" si="6">B4</f>
        <v>37450</v>
      </c>
      <c r="C28" s="182">
        <f t="shared" ref="C28:H34" si="7">C4/$B28</f>
        <v>6807.6373375166886</v>
      </c>
      <c r="D28" s="182">
        <f t="shared" si="7"/>
        <v>901.23967476635517</v>
      </c>
      <c r="E28" s="182">
        <f t="shared" si="7"/>
        <v>473.93580133511352</v>
      </c>
      <c r="F28" s="182">
        <f t="shared" si="7"/>
        <v>175.84919012016022</v>
      </c>
      <c r="G28" s="182">
        <f t="shared" si="7"/>
        <v>82.618412550066751</v>
      </c>
      <c r="H28" s="182">
        <f t="shared" si="7"/>
        <v>8441.2804162883858</v>
      </c>
    </row>
    <row r="29" spans="1:19" x14ac:dyDescent="0.2">
      <c r="A29" s="33" t="s">
        <v>76</v>
      </c>
      <c r="B29" s="214">
        <f t="shared" si="6"/>
        <v>18051</v>
      </c>
      <c r="C29" s="182">
        <f t="shared" si="7"/>
        <v>7517.8062356656146</v>
      </c>
      <c r="D29" s="182">
        <f t="shared" si="7"/>
        <v>959.38012797074964</v>
      </c>
      <c r="E29" s="182">
        <f t="shared" si="7"/>
        <v>770.2970322973797</v>
      </c>
      <c r="F29" s="182">
        <f t="shared" si="7"/>
        <v>549.91334219710825</v>
      </c>
      <c r="G29" s="182">
        <f t="shared" si="7"/>
        <v>457.30000387790153</v>
      </c>
      <c r="H29" s="182">
        <f t="shared" si="7"/>
        <v>10254.696742008753</v>
      </c>
    </row>
    <row r="30" spans="1:19" x14ac:dyDescent="0.2">
      <c r="A30" s="33" t="s">
        <v>77</v>
      </c>
      <c r="B30" s="214">
        <f t="shared" si="6"/>
        <v>13477</v>
      </c>
      <c r="C30" s="182">
        <f t="shared" si="7"/>
        <v>7599.4254270238189</v>
      </c>
      <c r="D30" s="182">
        <f t="shared" si="7"/>
        <v>1082.3567730207019</v>
      </c>
      <c r="E30" s="182">
        <f t="shared" si="7"/>
        <v>987.53279142242332</v>
      </c>
      <c r="F30" s="182">
        <f t="shared" si="7"/>
        <v>354.51613118646588</v>
      </c>
      <c r="G30" s="182">
        <f t="shared" si="7"/>
        <v>238.21926318913702</v>
      </c>
      <c r="H30" s="182">
        <f t="shared" si="7"/>
        <v>10262.050385842547</v>
      </c>
    </row>
    <row r="31" spans="1:19" x14ac:dyDescent="0.2">
      <c r="A31" s="33" t="s">
        <v>78</v>
      </c>
      <c r="B31" s="214">
        <f t="shared" si="6"/>
        <v>13204</v>
      </c>
      <c r="C31" s="182">
        <f t="shared" si="7"/>
        <v>7102.8210754316879</v>
      </c>
      <c r="D31" s="182">
        <f t="shared" si="7"/>
        <v>1209.034036655559</v>
      </c>
      <c r="E31" s="182">
        <f t="shared" si="7"/>
        <v>985.3903332323539</v>
      </c>
      <c r="F31" s="182">
        <f t="shared" si="7"/>
        <v>475.0666805513481</v>
      </c>
      <c r="G31" s="182">
        <f t="shared" si="7"/>
        <v>352.93650560436231</v>
      </c>
      <c r="H31" s="182">
        <f t="shared" si="7"/>
        <v>10125.248631475311</v>
      </c>
    </row>
    <row r="32" spans="1:19" x14ac:dyDescent="0.2">
      <c r="A32" s="33" t="s">
        <v>79</v>
      </c>
      <c r="B32" s="214">
        <f t="shared" si="6"/>
        <v>5654</v>
      </c>
      <c r="C32" s="182">
        <f t="shared" si="7"/>
        <v>8130.5593685886106</v>
      </c>
      <c r="D32" s="182">
        <f t="shared" si="7"/>
        <v>1742.9550654403961</v>
      </c>
      <c r="E32" s="182">
        <f t="shared" si="7"/>
        <v>1451.0876476830563</v>
      </c>
      <c r="F32" s="182">
        <f t="shared" si="7"/>
        <v>1343.3511531659003</v>
      </c>
      <c r="G32" s="182">
        <f t="shared" si="7"/>
        <v>182.34050406791653</v>
      </c>
      <c r="H32" s="182">
        <f t="shared" si="7"/>
        <v>12850.293738945878</v>
      </c>
    </row>
    <row r="33" spans="1:8" x14ac:dyDescent="0.2">
      <c r="A33" s="33" t="s">
        <v>80</v>
      </c>
      <c r="B33" s="220">
        <f t="shared" si="6"/>
        <v>1790</v>
      </c>
      <c r="C33" s="183">
        <f t="shared" si="7"/>
        <v>6937.6479329608947</v>
      </c>
      <c r="D33" s="183">
        <f t="shared" si="7"/>
        <v>2188.7025865921787</v>
      </c>
      <c r="E33" s="183">
        <f t="shared" si="7"/>
        <v>1593.6850335195531</v>
      </c>
      <c r="F33" s="183">
        <f t="shared" si="7"/>
        <v>456.04541899441341</v>
      </c>
      <c r="G33" s="183">
        <f t="shared" si="7"/>
        <v>54.894519553072627</v>
      </c>
      <c r="H33" s="183">
        <f t="shared" si="7"/>
        <v>11230.975491620113</v>
      </c>
    </row>
    <row r="34" spans="1:8" x14ac:dyDescent="0.2">
      <c r="A34" s="33" t="s">
        <v>103</v>
      </c>
      <c r="B34" s="214">
        <f t="shared" si="6"/>
        <v>89626</v>
      </c>
      <c r="C34" s="182">
        <f t="shared" si="7"/>
        <v>7199.2682601030938</v>
      </c>
      <c r="D34" s="182">
        <f t="shared" si="7"/>
        <v>1064.3412595675363</v>
      </c>
      <c r="E34" s="182">
        <f t="shared" si="7"/>
        <v>770.2089421596412</v>
      </c>
      <c r="F34" s="182">
        <f t="shared" si="7"/>
        <v>401.38197598911029</v>
      </c>
      <c r="G34" s="182">
        <f t="shared" si="7"/>
        <v>227.03959732666863</v>
      </c>
      <c r="H34" s="182">
        <f t="shared" si="7"/>
        <v>9662.240035146051</v>
      </c>
    </row>
    <row r="35" spans="1:8" x14ac:dyDescent="0.2">
      <c r="A35" s="33"/>
      <c r="B35" s="214"/>
      <c r="C35" s="182"/>
      <c r="D35" s="182"/>
      <c r="E35" s="182"/>
      <c r="F35" s="182"/>
      <c r="G35" s="182"/>
      <c r="H35" s="182"/>
    </row>
    <row r="36" spans="1:8" x14ac:dyDescent="0.2">
      <c r="A36" s="33" t="s">
        <v>81</v>
      </c>
      <c r="B36" s="214">
        <f t="shared" ref="B36:B41" si="8">B12</f>
        <v>22224</v>
      </c>
      <c r="C36" s="182">
        <f t="shared" ref="C36:H41" si="9">C12/$B36</f>
        <v>7319.0778442224619</v>
      </c>
      <c r="D36" s="182">
        <f t="shared" si="9"/>
        <v>1422.8652942764579</v>
      </c>
      <c r="E36" s="182">
        <f t="shared" si="9"/>
        <v>713.00635124190069</v>
      </c>
      <c r="F36" s="182">
        <f t="shared" si="9"/>
        <v>231.05154022678184</v>
      </c>
      <c r="G36" s="182">
        <f t="shared" si="9"/>
        <v>400.34917431605476</v>
      </c>
      <c r="H36" s="182">
        <f t="shared" si="9"/>
        <v>10086.350204283659</v>
      </c>
    </row>
    <row r="37" spans="1:8" x14ac:dyDescent="0.2">
      <c r="A37" s="33" t="s">
        <v>82</v>
      </c>
      <c r="B37" s="214">
        <f t="shared" si="8"/>
        <v>6925</v>
      </c>
      <c r="C37" s="182">
        <f t="shared" si="9"/>
        <v>7382.5802902527075</v>
      </c>
      <c r="D37" s="182">
        <f t="shared" si="9"/>
        <v>960.60041444043327</v>
      </c>
      <c r="E37" s="182">
        <f t="shared" si="9"/>
        <v>891.91116967509015</v>
      </c>
      <c r="F37" s="182">
        <f t="shared" si="9"/>
        <v>594.34074223826713</v>
      </c>
      <c r="G37" s="182">
        <f t="shared" si="9"/>
        <v>264.41602743682313</v>
      </c>
      <c r="H37" s="182">
        <f t="shared" si="9"/>
        <v>10093.848644043319</v>
      </c>
    </row>
    <row r="38" spans="1:8" x14ac:dyDescent="0.2">
      <c r="A38" s="33" t="s">
        <v>83</v>
      </c>
      <c r="B38" s="214">
        <f t="shared" si="8"/>
        <v>5426</v>
      </c>
      <c r="C38" s="182">
        <f t="shared" si="9"/>
        <v>7828.3540379653514</v>
      </c>
      <c r="D38" s="182">
        <f t="shared" si="9"/>
        <v>1527.5572594913381</v>
      </c>
      <c r="E38" s="182">
        <f t="shared" si="9"/>
        <v>1291.0100645042389</v>
      </c>
      <c r="F38" s="182">
        <f t="shared" si="9"/>
        <v>1467.8291909325471</v>
      </c>
      <c r="G38" s="182">
        <f t="shared" si="9"/>
        <v>211.69421489126429</v>
      </c>
      <c r="H38" s="182">
        <f t="shared" si="9"/>
        <v>12326.444767784738</v>
      </c>
    </row>
    <row r="39" spans="1:8" x14ac:dyDescent="0.2">
      <c r="A39" s="33" t="s">
        <v>84</v>
      </c>
      <c r="B39" s="214">
        <f t="shared" si="8"/>
        <v>5335</v>
      </c>
      <c r="C39" s="182">
        <f t="shared" si="9"/>
        <v>8609.7701462043096</v>
      </c>
      <c r="D39" s="182">
        <f t="shared" si="9"/>
        <v>1894.4585623242735</v>
      </c>
      <c r="E39" s="182">
        <f t="shared" si="9"/>
        <v>1418.2597338331771</v>
      </c>
      <c r="F39" s="182">
        <f t="shared" si="9"/>
        <v>947.217145267104</v>
      </c>
      <c r="G39" s="182">
        <f t="shared" si="9"/>
        <v>457.68471977507028</v>
      </c>
      <c r="H39" s="182">
        <f t="shared" si="9"/>
        <v>13327.390307403937</v>
      </c>
    </row>
    <row r="40" spans="1:8" x14ac:dyDescent="0.2">
      <c r="A40" s="33" t="s">
        <v>85</v>
      </c>
      <c r="B40" s="220">
        <f t="shared" si="8"/>
        <v>1736</v>
      </c>
      <c r="C40" s="183">
        <f t="shared" si="9"/>
        <v>12003.930783410138</v>
      </c>
      <c r="D40" s="183">
        <f t="shared" si="9"/>
        <v>3257.5642281105993</v>
      </c>
      <c r="E40" s="183">
        <f t="shared" si="9"/>
        <v>2502.3294124423965</v>
      </c>
      <c r="F40" s="183">
        <f t="shared" si="9"/>
        <v>3242.1899884792629</v>
      </c>
      <c r="G40" s="183">
        <f t="shared" si="9"/>
        <v>296.92289170506911</v>
      </c>
      <c r="H40" s="183">
        <f t="shared" si="9"/>
        <v>21302.937304147465</v>
      </c>
    </row>
    <row r="41" spans="1:8" x14ac:dyDescent="0.2">
      <c r="A41" s="33" t="s">
        <v>104</v>
      </c>
      <c r="B41" s="214">
        <f t="shared" si="8"/>
        <v>41646</v>
      </c>
      <c r="C41" s="182">
        <f t="shared" si="9"/>
        <v>7756.6189093790508</v>
      </c>
      <c r="D41" s="182">
        <f t="shared" si="9"/>
        <v>1496.5305140949911</v>
      </c>
      <c r="E41" s="182">
        <f t="shared" si="9"/>
        <v>982.99520121980504</v>
      </c>
      <c r="F41" s="182">
        <f t="shared" si="9"/>
        <v>669.85990371224125</v>
      </c>
      <c r="G41" s="182">
        <f t="shared" si="9"/>
        <v>356.19987441771127</v>
      </c>
      <c r="H41" s="182">
        <f t="shared" si="9"/>
        <v>11262.204402823802</v>
      </c>
    </row>
    <row r="42" spans="1:8" x14ac:dyDescent="0.2">
      <c r="A42" s="33"/>
      <c r="B42" s="214"/>
      <c r="C42" s="182"/>
      <c r="D42" s="182"/>
      <c r="E42" s="182"/>
      <c r="F42" s="182"/>
      <c r="G42" s="182"/>
      <c r="H42" s="182"/>
    </row>
    <row r="43" spans="1:8" x14ac:dyDescent="0.2">
      <c r="A43" s="33" t="s">
        <v>86</v>
      </c>
      <c r="B43" s="214">
        <f>B19</f>
        <v>10113</v>
      </c>
      <c r="C43" s="182">
        <f t="shared" ref="C43:H45" si="10">C19/$B43</f>
        <v>6593.008773855433</v>
      </c>
      <c r="D43" s="182">
        <f t="shared" si="10"/>
        <v>1110.2758162760804</v>
      </c>
      <c r="E43" s="182">
        <f t="shared" si="10"/>
        <v>814.30824087807775</v>
      </c>
      <c r="F43" s="182">
        <f t="shared" si="10"/>
        <v>364.89626322555131</v>
      </c>
      <c r="G43" s="182">
        <f t="shared" si="10"/>
        <v>421.41298625531499</v>
      </c>
      <c r="H43" s="182">
        <f t="shared" si="10"/>
        <v>9303.9020804904576</v>
      </c>
    </row>
    <row r="44" spans="1:8" x14ac:dyDescent="0.2">
      <c r="A44" s="33" t="s">
        <v>87</v>
      </c>
      <c r="B44" s="220">
        <f>B20</f>
        <v>7480</v>
      </c>
      <c r="C44" s="183">
        <f t="shared" si="10"/>
        <v>9511.177961229947</v>
      </c>
      <c r="D44" s="183">
        <f t="shared" si="10"/>
        <v>1752.4099679144385</v>
      </c>
      <c r="E44" s="183">
        <f t="shared" si="10"/>
        <v>1521.5121764705882</v>
      </c>
      <c r="F44" s="183">
        <f t="shared" si="10"/>
        <v>701.7205909090909</v>
      </c>
      <c r="G44" s="183">
        <f t="shared" si="10"/>
        <v>435.45073395721926</v>
      </c>
      <c r="H44" s="183">
        <f t="shared" si="10"/>
        <v>13922.271430481283</v>
      </c>
    </row>
    <row r="45" spans="1:8" x14ac:dyDescent="0.2">
      <c r="A45" s="33" t="s">
        <v>105</v>
      </c>
      <c r="B45" s="214">
        <f>B21</f>
        <v>17593</v>
      </c>
      <c r="C45" s="182">
        <f t="shared" si="10"/>
        <v>7833.7241448303303</v>
      </c>
      <c r="D45" s="182">
        <f t="shared" si="10"/>
        <v>1383.2914164724607</v>
      </c>
      <c r="E45" s="182">
        <f t="shared" si="10"/>
        <v>1114.9895026430968</v>
      </c>
      <c r="F45" s="182">
        <f t="shared" si="10"/>
        <v>508.10355993861191</v>
      </c>
      <c r="G45" s="182">
        <f t="shared" si="10"/>
        <v>427.38140283067133</v>
      </c>
      <c r="H45" s="182">
        <f t="shared" si="10"/>
        <v>11267.49002671517</v>
      </c>
    </row>
    <row r="46" spans="1:8" x14ac:dyDescent="0.2">
      <c r="A46" s="33"/>
      <c r="B46" s="214"/>
      <c r="C46" s="182"/>
      <c r="D46" s="182"/>
      <c r="E46" s="182"/>
      <c r="F46" s="182"/>
      <c r="G46" s="182"/>
      <c r="H46" s="182"/>
    </row>
    <row r="47" spans="1:8" ht="13.5" thickBot="1" x14ac:dyDescent="0.25">
      <c r="A47" s="33" t="s">
        <v>209</v>
      </c>
      <c r="B47" s="222">
        <f>B23</f>
        <v>148865</v>
      </c>
      <c r="C47" s="192">
        <f t="shared" ref="C47:H47" si="11">C23/$B47</f>
        <v>7430.1714779162321</v>
      </c>
      <c r="D47" s="192">
        <f t="shared" si="11"/>
        <v>1222.9429712155311</v>
      </c>
      <c r="E47" s="192">
        <f t="shared" si="11"/>
        <v>870.48382843515935</v>
      </c>
      <c r="F47" s="192">
        <f t="shared" si="11"/>
        <v>489.10296214691169</v>
      </c>
      <c r="G47" s="192">
        <f t="shared" si="11"/>
        <v>286.8496418903033</v>
      </c>
      <c r="H47" s="192">
        <f t="shared" si="11"/>
        <v>10299.550881604138</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1052</v>
      </c>
      <c r="B52" s="182"/>
      <c r="C52" s="182"/>
      <c r="D52" s="182"/>
      <c r="E52" s="182"/>
      <c r="F52" s="182"/>
      <c r="G52" s="182"/>
      <c r="H52" s="182"/>
    </row>
    <row r="53" spans="1:8" ht="33.75" x14ac:dyDescent="0.2">
      <c r="A53" s="155" t="s">
        <v>245</v>
      </c>
      <c r="B53" s="172" t="str">
        <f t="shared" ref="B53:H53" si="12">B3</f>
        <v>ANB10</v>
      </c>
      <c r="C53" s="172" t="str">
        <f t="shared" si="12"/>
        <v>10/Pupil Salaries &amp; Benefits</v>
      </c>
      <c r="D53" s="172" t="str">
        <f t="shared" si="12"/>
        <v>10/Pupil Purchased Services</v>
      </c>
      <c r="E53" s="172" t="str">
        <f t="shared" si="12"/>
        <v>10/Pupil Supplies</v>
      </c>
      <c r="F53" s="172" t="str">
        <f t="shared" si="12"/>
        <v>10/Pupil Capital Outlay</v>
      </c>
      <c r="G53" s="172" t="str">
        <f t="shared" si="12"/>
        <v>10/Pupil Other</v>
      </c>
      <c r="H53" s="172" t="str">
        <f t="shared" si="12"/>
        <v>10/Pupil Total Expenditures</v>
      </c>
    </row>
    <row r="54" spans="1:8" x14ac:dyDescent="0.2">
      <c r="A54" s="33" t="s">
        <v>102</v>
      </c>
      <c r="B54" s="214">
        <f t="shared" ref="B54:B59" si="13">B4</f>
        <v>37450</v>
      </c>
      <c r="C54" s="191">
        <f t="shared" ref="C54:H60" si="14">C28/$H28</f>
        <v>0.80646975361470019</v>
      </c>
      <c r="D54" s="191">
        <f t="shared" si="14"/>
        <v>0.10676575475769214</v>
      </c>
      <c r="E54" s="191">
        <f t="shared" si="14"/>
        <v>5.6145013311085117E-2</v>
      </c>
      <c r="F54" s="191">
        <f t="shared" si="14"/>
        <v>2.0832051708747849E-2</v>
      </c>
      <c r="G54" s="191">
        <f t="shared" si="14"/>
        <v>9.7874266077744992E-3</v>
      </c>
      <c r="H54" s="191">
        <f t="shared" si="14"/>
        <v>1</v>
      </c>
    </row>
    <row r="55" spans="1:8" x14ac:dyDescent="0.2">
      <c r="A55" s="33" t="s">
        <v>76</v>
      </c>
      <c r="B55" s="214">
        <f t="shared" si="13"/>
        <v>18051</v>
      </c>
      <c r="C55" s="191">
        <f t="shared" si="14"/>
        <v>0.73310858670921364</v>
      </c>
      <c r="D55" s="191">
        <f t="shared" si="14"/>
        <v>9.3555192523696248E-2</v>
      </c>
      <c r="E55" s="191">
        <f t="shared" si="14"/>
        <v>7.5116510188139335E-2</v>
      </c>
      <c r="F55" s="191">
        <f t="shared" si="14"/>
        <v>5.3625509952368214E-2</v>
      </c>
      <c r="G55" s="191">
        <f t="shared" si="14"/>
        <v>4.4594200626582627E-2</v>
      </c>
      <c r="H55" s="191">
        <f t="shared" si="14"/>
        <v>1</v>
      </c>
    </row>
    <row r="56" spans="1:8" x14ac:dyDescent="0.2">
      <c r="A56" s="33" t="s">
        <v>77</v>
      </c>
      <c r="B56" s="214">
        <f t="shared" si="13"/>
        <v>13477</v>
      </c>
      <c r="C56" s="191">
        <f t="shared" si="14"/>
        <v>0.74053674863143659</v>
      </c>
      <c r="D56" s="191">
        <f t="shared" si="14"/>
        <v>0.10547178510387298</v>
      </c>
      <c r="E56" s="191">
        <f t="shared" si="14"/>
        <v>9.6231528231903507E-2</v>
      </c>
      <c r="F56" s="191">
        <f t="shared" si="14"/>
        <v>3.4546325330418751E-2</v>
      </c>
      <c r="G56" s="191">
        <f t="shared" si="14"/>
        <v>2.32136127023682E-2</v>
      </c>
      <c r="H56" s="191">
        <f t="shared" si="14"/>
        <v>1</v>
      </c>
    </row>
    <row r="57" spans="1:8" x14ac:dyDescent="0.2">
      <c r="A57" s="33" t="s">
        <v>78</v>
      </c>
      <c r="B57" s="214">
        <f t="shared" si="13"/>
        <v>13204</v>
      </c>
      <c r="C57" s="191">
        <f t="shared" si="14"/>
        <v>0.70149596656341695</v>
      </c>
      <c r="D57" s="191">
        <f t="shared" si="14"/>
        <v>0.11940783685026363</v>
      </c>
      <c r="E57" s="191">
        <f t="shared" si="14"/>
        <v>9.7320112235977405E-2</v>
      </c>
      <c r="F57" s="191">
        <f t="shared" si="14"/>
        <v>4.6919013827922955E-2</v>
      </c>
      <c r="G57" s="191">
        <f t="shared" si="14"/>
        <v>3.4857070522419091E-2</v>
      </c>
      <c r="H57" s="191">
        <f t="shared" si="14"/>
        <v>1</v>
      </c>
    </row>
    <row r="58" spans="1:8" x14ac:dyDescent="0.2">
      <c r="A58" s="33" t="s">
        <v>79</v>
      </c>
      <c r="B58" s="214">
        <f t="shared" si="13"/>
        <v>5654</v>
      </c>
      <c r="C58" s="191">
        <f t="shared" si="14"/>
        <v>0.63271389228613606</v>
      </c>
      <c r="D58" s="191">
        <f t="shared" si="14"/>
        <v>0.13563542599481249</v>
      </c>
      <c r="E58" s="191">
        <f t="shared" si="14"/>
        <v>0.11292252746606012</v>
      </c>
      <c r="F58" s="191">
        <f t="shared" si="14"/>
        <v>0.10453855611833637</v>
      </c>
      <c r="G58" s="191">
        <f t="shared" si="14"/>
        <v>1.4189598134655099E-2</v>
      </c>
      <c r="H58" s="191">
        <f t="shared" si="14"/>
        <v>1</v>
      </c>
    </row>
    <row r="59" spans="1:8" x14ac:dyDescent="0.2">
      <c r="A59" s="33" t="s">
        <v>80</v>
      </c>
      <c r="B59" s="220">
        <f t="shared" si="13"/>
        <v>1790</v>
      </c>
      <c r="C59" s="193">
        <f t="shared" si="14"/>
        <v>0.61772442991593701</v>
      </c>
      <c r="D59" s="193">
        <f t="shared" si="14"/>
        <v>0.19488089776576029</v>
      </c>
      <c r="E59" s="193">
        <f t="shared" si="14"/>
        <v>0.14190085578128689</v>
      </c>
      <c r="F59" s="193">
        <f t="shared" si="14"/>
        <v>4.0606038125066468E-2</v>
      </c>
      <c r="G59" s="193">
        <f t="shared" si="14"/>
        <v>4.8877784119493147E-3</v>
      </c>
      <c r="H59" s="193">
        <f t="shared" si="14"/>
        <v>1</v>
      </c>
    </row>
    <row r="60" spans="1:8" x14ac:dyDescent="0.2">
      <c r="A60" s="33" t="s">
        <v>103</v>
      </c>
      <c r="B60" s="214">
        <f>SUM(B54:B59)</f>
        <v>89626</v>
      </c>
      <c r="C60" s="191">
        <f t="shared" si="14"/>
        <v>0.74509308751552583</v>
      </c>
      <c r="D60" s="191">
        <f t="shared" si="14"/>
        <v>0.11015471109142737</v>
      </c>
      <c r="E60" s="191">
        <f t="shared" si="14"/>
        <v>7.9713290019502087E-2</v>
      </c>
      <c r="F60" s="191">
        <f t="shared" si="14"/>
        <v>4.1541296275925434E-2</v>
      </c>
      <c r="G60" s="191">
        <f t="shared" si="14"/>
        <v>2.3497615097619211E-2</v>
      </c>
      <c r="H60" s="191">
        <f t="shared" si="14"/>
        <v>1</v>
      </c>
    </row>
    <row r="61" spans="1:8" x14ac:dyDescent="0.2">
      <c r="A61" s="33"/>
      <c r="B61" s="214"/>
      <c r="C61" s="191"/>
      <c r="D61" s="191"/>
      <c r="E61" s="191"/>
      <c r="F61" s="191"/>
      <c r="G61" s="191"/>
      <c r="H61" s="191"/>
    </row>
    <row r="62" spans="1:8" x14ac:dyDescent="0.2">
      <c r="A62" s="33" t="s">
        <v>81</v>
      </c>
      <c r="B62" s="214">
        <f t="shared" ref="B62:B67" si="15">B12</f>
        <v>22224</v>
      </c>
      <c r="C62" s="191">
        <f t="shared" ref="C62:H67" si="16">C36/$H36</f>
        <v>0.72564185220478061</v>
      </c>
      <c r="D62" s="191">
        <f t="shared" si="16"/>
        <v>0.14106840090404246</v>
      </c>
      <c r="E62" s="191">
        <f t="shared" si="16"/>
        <v>7.0690223599324156E-2</v>
      </c>
      <c r="F62" s="191">
        <f t="shared" si="16"/>
        <v>2.2907348599561273E-2</v>
      </c>
      <c r="G62" s="191">
        <f t="shared" si="16"/>
        <v>3.969217469229127E-2</v>
      </c>
      <c r="H62" s="191">
        <f t="shared" si="16"/>
        <v>1</v>
      </c>
    </row>
    <row r="63" spans="1:8" x14ac:dyDescent="0.2">
      <c r="A63" s="33" t="s">
        <v>82</v>
      </c>
      <c r="B63" s="214">
        <f t="shared" si="15"/>
        <v>6925</v>
      </c>
      <c r="C63" s="191">
        <f t="shared" si="16"/>
        <v>0.73139399555088314</v>
      </c>
      <c r="D63" s="191">
        <f t="shared" si="16"/>
        <v>9.5166912870970399E-2</v>
      </c>
      <c r="E63" s="191">
        <f t="shared" si="16"/>
        <v>8.836185295897353E-2</v>
      </c>
      <c r="F63" s="191">
        <f t="shared" si="16"/>
        <v>5.8881479522580847E-2</v>
      </c>
      <c r="G63" s="191">
        <f t="shared" si="16"/>
        <v>2.6195759096592251E-2</v>
      </c>
      <c r="H63" s="191">
        <f t="shared" si="16"/>
        <v>1</v>
      </c>
    </row>
    <row r="64" spans="1:8" x14ac:dyDescent="0.2">
      <c r="A64" s="33" t="s">
        <v>83</v>
      </c>
      <c r="B64" s="214">
        <f t="shared" si="15"/>
        <v>5426</v>
      </c>
      <c r="C64" s="191">
        <f t="shared" si="16"/>
        <v>0.63508612462409408</v>
      </c>
      <c r="D64" s="191">
        <f t="shared" si="16"/>
        <v>0.12392521025069785</v>
      </c>
      <c r="E64" s="191">
        <f t="shared" si="16"/>
        <v>0.10473498959556482</v>
      </c>
      <c r="F64" s="191">
        <f t="shared" si="16"/>
        <v>0.119079687499897</v>
      </c>
      <c r="G64" s="191">
        <f t="shared" si="16"/>
        <v>1.7173988029746325E-2</v>
      </c>
      <c r="H64" s="191">
        <f t="shared" si="16"/>
        <v>1</v>
      </c>
    </row>
    <row r="65" spans="1:8" x14ac:dyDescent="0.2">
      <c r="A65" s="33" t="s">
        <v>84</v>
      </c>
      <c r="B65" s="214">
        <f t="shared" si="15"/>
        <v>5335</v>
      </c>
      <c r="C65" s="191">
        <f t="shared" si="16"/>
        <v>0.64602070980251947</v>
      </c>
      <c r="D65" s="191">
        <f t="shared" si="16"/>
        <v>0.14214775125718504</v>
      </c>
      <c r="E65" s="191">
        <f t="shared" si="16"/>
        <v>0.10641691292295033</v>
      </c>
      <c r="F65" s="191">
        <f t="shared" si="16"/>
        <v>7.1072965030586993E-2</v>
      </c>
      <c r="G65" s="191">
        <f t="shared" si="16"/>
        <v>3.4341660986757984E-2</v>
      </c>
      <c r="H65" s="191">
        <f t="shared" si="16"/>
        <v>1</v>
      </c>
    </row>
    <row r="66" spans="1:8" x14ac:dyDescent="0.2">
      <c r="A66" s="33" t="s">
        <v>85</v>
      </c>
      <c r="B66" s="220">
        <f t="shared" si="15"/>
        <v>1736</v>
      </c>
      <c r="C66" s="193">
        <f t="shared" si="16"/>
        <v>0.5634871197350374</v>
      </c>
      <c r="D66" s="193">
        <f t="shared" si="16"/>
        <v>0.1529162003155492</v>
      </c>
      <c r="E66" s="193">
        <f t="shared" si="16"/>
        <v>0.11746405562369178</v>
      </c>
      <c r="F66" s="193">
        <f t="shared" si="16"/>
        <v>0.152194504550696</v>
      </c>
      <c r="G66" s="193">
        <f t="shared" si="16"/>
        <v>1.3938119775025636E-2</v>
      </c>
      <c r="H66" s="193">
        <f t="shared" si="16"/>
        <v>1</v>
      </c>
    </row>
    <row r="67" spans="1:8" x14ac:dyDescent="0.2">
      <c r="A67" s="33" t="s">
        <v>104</v>
      </c>
      <c r="B67" s="214">
        <f t="shared" si="15"/>
        <v>41646</v>
      </c>
      <c r="C67" s="191">
        <f t="shared" si="16"/>
        <v>0.68873007734029523</v>
      </c>
      <c r="D67" s="191">
        <f t="shared" si="16"/>
        <v>0.13288078075725229</v>
      </c>
      <c r="E67" s="191">
        <f t="shared" si="16"/>
        <v>8.7282663860490411E-2</v>
      </c>
      <c r="F67" s="191">
        <f t="shared" si="16"/>
        <v>5.9478578060995373E-2</v>
      </c>
      <c r="G67" s="191">
        <f t="shared" si="16"/>
        <v>3.1627899980966455E-2</v>
      </c>
      <c r="H67" s="191">
        <f t="shared" si="16"/>
        <v>1</v>
      </c>
    </row>
    <row r="68" spans="1:8" x14ac:dyDescent="0.2">
      <c r="A68" s="33"/>
      <c r="B68" s="214"/>
      <c r="C68" s="191"/>
      <c r="D68" s="191"/>
      <c r="E68" s="191"/>
      <c r="F68" s="191"/>
      <c r="G68" s="191"/>
      <c r="H68" s="191"/>
    </row>
    <row r="69" spans="1:8" x14ac:dyDescent="0.2">
      <c r="A69" s="33" t="s">
        <v>86</v>
      </c>
      <c r="B69" s="214">
        <f>B19</f>
        <v>10113</v>
      </c>
      <c r="C69" s="191">
        <f t="shared" ref="C69:H71" si="17">C43/$H43</f>
        <v>0.70862834935467001</v>
      </c>
      <c r="D69" s="191">
        <f t="shared" si="17"/>
        <v>0.11933442620857333</v>
      </c>
      <c r="E69" s="191">
        <f t="shared" si="17"/>
        <v>8.7523303000535374E-2</v>
      </c>
      <c r="F69" s="191">
        <f t="shared" si="17"/>
        <v>3.9219701590659441E-2</v>
      </c>
      <c r="G69" s="191">
        <f t="shared" si="17"/>
        <v>4.5294219845561839E-2</v>
      </c>
      <c r="H69" s="191">
        <f t="shared" si="17"/>
        <v>1</v>
      </c>
    </row>
    <row r="70" spans="1:8" x14ac:dyDescent="0.2">
      <c r="A70" s="33" t="s">
        <v>87</v>
      </c>
      <c r="B70" s="220">
        <f>B20</f>
        <v>7480</v>
      </c>
      <c r="C70" s="193">
        <f t="shared" si="17"/>
        <v>0.68316280204150226</v>
      </c>
      <c r="D70" s="193">
        <f t="shared" si="17"/>
        <v>0.12587098137432728</v>
      </c>
      <c r="E70" s="193">
        <f t="shared" si="17"/>
        <v>0.1092862026191649</v>
      </c>
      <c r="F70" s="193">
        <f t="shared" si="17"/>
        <v>5.0402737399067712E-2</v>
      </c>
      <c r="G70" s="193">
        <f t="shared" si="17"/>
        <v>3.1277276565937921E-2</v>
      </c>
      <c r="H70" s="193">
        <f t="shared" si="17"/>
        <v>1</v>
      </c>
    </row>
    <row r="71" spans="1:8" x14ac:dyDescent="0.2">
      <c r="A71" s="33" t="s">
        <v>105</v>
      </c>
      <c r="B71" s="214">
        <f>B21</f>
        <v>17593</v>
      </c>
      <c r="C71" s="191">
        <f t="shared" si="17"/>
        <v>0.69525015120995048</v>
      </c>
      <c r="D71" s="191">
        <f t="shared" si="17"/>
        <v>0.12276837283127678</v>
      </c>
      <c r="E71" s="191">
        <f t="shared" si="17"/>
        <v>9.8956333664326435E-2</v>
      </c>
      <c r="F71" s="191">
        <f t="shared" si="17"/>
        <v>4.5094653621516469E-2</v>
      </c>
      <c r="G71" s="191">
        <f t="shared" si="17"/>
        <v>3.7930488672929988E-2</v>
      </c>
      <c r="H71" s="191">
        <f t="shared" si="17"/>
        <v>1</v>
      </c>
    </row>
    <row r="72" spans="1:8" x14ac:dyDescent="0.2">
      <c r="A72" s="33"/>
      <c r="B72" s="214"/>
      <c r="C72" s="191"/>
      <c r="D72" s="191"/>
      <c r="E72" s="191"/>
      <c r="F72" s="191"/>
      <c r="G72" s="191"/>
      <c r="H72" s="191"/>
    </row>
    <row r="73" spans="1:8" ht="13.5" thickBot="1" x14ac:dyDescent="0.25">
      <c r="A73" s="33" t="s">
        <v>230</v>
      </c>
      <c r="B73" s="222">
        <f>B71+B67+B60</f>
        <v>148865</v>
      </c>
      <c r="C73" s="195">
        <f t="shared" ref="C73:H73" si="18">C47/$H47</f>
        <v>0.72140732769106874</v>
      </c>
      <c r="D73" s="195">
        <f t="shared" si="18"/>
        <v>0.11873750470030783</v>
      </c>
      <c r="E73" s="195">
        <f t="shared" si="18"/>
        <v>8.4516678294188199E-2</v>
      </c>
      <c r="F73" s="195">
        <f t="shared" si="18"/>
        <v>4.7487795125172941E-2</v>
      </c>
      <c r="G73" s="195">
        <f t="shared" si="18"/>
        <v>2.7850694189262254E-2</v>
      </c>
      <c r="H73" s="195">
        <f t="shared" si="18"/>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66"/>
  <dimension ref="A1:H74"/>
  <sheetViews>
    <sheetView zoomScaleNormal="100" workbookViewId="0">
      <selection activeCell="S25" sqref="S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6" t="s">
        <v>247</v>
      </c>
      <c r="B1" s="22"/>
      <c r="C1" s="22"/>
      <c r="D1" s="22"/>
      <c r="E1" s="22"/>
      <c r="F1" s="22"/>
      <c r="G1" s="22"/>
      <c r="H1" s="22"/>
    </row>
    <row r="2" spans="1:8" x14ac:dyDescent="0.2">
      <c r="A2" s="22" t="s">
        <v>1</v>
      </c>
    </row>
    <row r="3" spans="1:8" ht="33.75" x14ac:dyDescent="0.2">
      <c r="A3" s="22" t="s">
        <v>245</v>
      </c>
      <c r="B3" s="202" t="s">
        <v>624</v>
      </c>
      <c r="C3" s="172" t="s">
        <v>2</v>
      </c>
      <c r="D3" s="172" t="s">
        <v>3</v>
      </c>
      <c r="E3" s="172" t="s">
        <v>4</v>
      </c>
      <c r="F3" s="172" t="s">
        <v>5</v>
      </c>
      <c r="G3" s="172" t="s">
        <v>621</v>
      </c>
      <c r="H3" s="172" t="s">
        <v>6</v>
      </c>
    </row>
    <row r="4" spans="1:8" x14ac:dyDescent="0.2">
      <c r="A4" s="182" t="s">
        <v>102</v>
      </c>
      <c r="B4" s="214">
        <v>37242</v>
      </c>
      <c r="C4" s="214">
        <v>240431565.87</v>
      </c>
      <c r="D4" s="214">
        <v>32202730.670000002</v>
      </c>
      <c r="E4" s="214">
        <v>16848449.640000001</v>
      </c>
      <c r="F4" s="214">
        <v>5347430.0599999996</v>
      </c>
      <c r="G4" s="214">
        <v>7778711.79</v>
      </c>
      <c r="H4" s="214">
        <f t="shared" ref="H4:H9" si="0">SUM(C4:G4)</f>
        <v>302608888.03000003</v>
      </c>
    </row>
    <row r="5" spans="1:8" x14ac:dyDescent="0.2">
      <c r="A5" s="33" t="s">
        <v>76</v>
      </c>
      <c r="B5" s="214">
        <v>18748</v>
      </c>
      <c r="C5" s="214">
        <v>133493156.12999998</v>
      </c>
      <c r="D5" s="214">
        <v>16396228.650000002</v>
      </c>
      <c r="E5" s="214">
        <v>13617807.57</v>
      </c>
      <c r="F5" s="214">
        <v>4100437.65</v>
      </c>
      <c r="G5" s="214">
        <v>8566072.0700000003</v>
      </c>
      <c r="H5" s="214">
        <f t="shared" si="0"/>
        <v>176173702.06999996</v>
      </c>
    </row>
    <row r="6" spans="1:8" x14ac:dyDescent="0.2">
      <c r="A6" s="33" t="s">
        <v>77</v>
      </c>
      <c r="B6" s="214">
        <v>11756</v>
      </c>
      <c r="C6" s="214">
        <v>84845115.370000005</v>
      </c>
      <c r="D6" s="214">
        <v>12012592.860000001</v>
      </c>
      <c r="E6" s="214">
        <v>10300336.230000002</v>
      </c>
      <c r="F6" s="214">
        <v>3383319.38</v>
      </c>
      <c r="G6" s="214">
        <v>3153319.44</v>
      </c>
      <c r="H6" s="214">
        <f t="shared" si="0"/>
        <v>113694683.28</v>
      </c>
    </row>
    <row r="7" spans="1:8" x14ac:dyDescent="0.2">
      <c r="A7" s="33" t="s">
        <v>78</v>
      </c>
      <c r="B7" s="214">
        <v>14373</v>
      </c>
      <c r="C7" s="214">
        <v>97636058.739999995</v>
      </c>
      <c r="D7" s="214">
        <v>16109480.070000004</v>
      </c>
      <c r="E7" s="214">
        <v>13386118.160000004</v>
      </c>
      <c r="F7" s="214">
        <v>3718730.32</v>
      </c>
      <c r="G7" s="214">
        <v>5059080.2699999996</v>
      </c>
      <c r="H7" s="214">
        <f t="shared" si="0"/>
        <v>135909467.56</v>
      </c>
    </row>
    <row r="8" spans="1:8" x14ac:dyDescent="0.2">
      <c r="A8" s="33" t="s">
        <v>79</v>
      </c>
      <c r="B8" s="214">
        <v>5804</v>
      </c>
      <c r="C8" s="214">
        <v>44184598.810000002</v>
      </c>
      <c r="D8" s="214">
        <v>8662192.8199999984</v>
      </c>
      <c r="E8" s="214">
        <v>7774552.2599999988</v>
      </c>
      <c r="F8" s="214">
        <v>5022198</v>
      </c>
      <c r="G8" s="214">
        <v>1084194.58</v>
      </c>
      <c r="H8" s="214">
        <f t="shared" si="0"/>
        <v>66727736.469999999</v>
      </c>
    </row>
    <row r="9" spans="1:8" x14ac:dyDescent="0.2">
      <c r="A9" s="33" t="s">
        <v>80</v>
      </c>
      <c r="B9" s="233">
        <v>1629</v>
      </c>
      <c r="C9" s="234">
        <v>11164809.280000007</v>
      </c>
      <c r="D9" s="220">
        <v>3100173.52</v>
      </c>
      <c r="E9" s="220">
        <v>2605497.7799999998</v>
      </c>
      <c r="F9" s="220">
        <v>709041.3</v>
      </c>
      <c r="G9" s="220">
        <v>76225.740000000005</v>
      </c>
      <c r="H9" s="220">
        <f t="shared" si="0"/>
        <v>17655747.620000005</v>
      </c>
    </row>
    <row r="10" spans="1:8" x14ac:dyDescent="0.2">
      <c r="A10" s="33" t="s">
        <v>103</v>
      </c>
      <c r="B10" s="221">
        <f t="shared" ref="B10:H10" si="1">SUM(B4:B9)</f>
        <v>89552</v>
      </c>
      <c r="C10" s="221">
        <f t="shared" si="1"/>
        <v>611755304.20000005</v>
      </c>
      <c r="D10" s="221">
        <f t="shared" si="1"/>
        <v>88483398.590000004</v>
      </c>
      <c r="E10" s="221">
        <f t="shared" si="1"/>
        <v>64532761.640000008</v>
      </c>
      <c r="F10" s="221">
        <f t="shared" si="1"/>
        <v>22281156.710000001</v>
      </c>
      <c r="G10" s="221">
        <f t="shared" si="1"/>
        <v>25717603.889999997</v>
      </c>
      <c r="H10" s="214">
        <f t="shared" si="1"/>
        <v>812770225.03000009</v>
      </c>
    </row>
    <row r="11" spans="1:8" x14ac:dyDescent="0.2">
      <c r="A11" s="33"/>
      <c r="B11" s="182"/>
      <c r="C11" s="221"/>
      <c r="D11" s="221"/>
      <c r="E11" s="221"/>
      <c r="F11" s="221"/>
      <c r="G11" s="221"/>
      <c r="H11" s="214"/>
    </row>
    <row r="12" spans="1:8" x14ac:dyDescent="0.2">
      <c r="A12" s="33" t="s">
        <v>81</v>
      </c>
      <c r="B12" s="214">
        <v>22505</v>
      </c>
      <c r="C12" s="214">
        <v>155500769.31</v>
      </c>
      <c r="D12" s="214">
        <v>29879024.629999999</v>
      </c>
      <c r="E12" s="214">
        <v>15112796.629999999</v>
      </c>
      <c r="F12" s="214">
        <v>4092700.42</v>
      </c>
      <c r="G12" s="214">
        <v>9846870.3300000001</v>
      </c>
      <c r="H12" s="214">
        <f>SUM(C12:G12)</f>
        <v>214432161.31999999</v>
      </c>
    </row>
    <row r="13" spans="1:8" x14ac:dyDescent="0.2">
      <c r="A13" s="33" t="s">
        <v>82</v>
      </c>
      <c r="B13" s="214">
        <v>7979</v>
      </c>
      <c r="C13" s="214">
        <v>57185086.070000023</v>
      </c>
      <c r="D13" s="214">
        <v>7532089.0099999998</v>
      </c>
      <c r="E13" s="214">
        <v>7800652.7899999991</v>
      </c>
      <c r="F13" s="214">
        <v>6008685.3799999999</v>
      </c>
      <c r="G13" s="214">
        <v>1339367.0900000001</v>
      </c>
      <c r="H13" s="214">
        <f>SUM(C13:G13)</f>
        <v>79865880.340000018</v>
      </c>
    </row>
    <row r="14" spans="1:8" x14ac:dyDescent="0.2">
      <c r="A14" s="33" t="s">
        <v>83</v>
      </c>
      <c r="B14" s="214">
        <v>5389</v>
      </c>
      <c r="C14" s="214">
        <v>39720049.709999986</v>
      </c>
      <c r="D14" s="214">
        <v>7654692.3500000015</v>
      </c>
      <c r="E14" s="214">
        <v>6121288.1600000011</v>
      </c>
      <c r="F14" s="214">
        <v>2914353.55</v>
      </c>
      <c r="G14" s="214">
        <v>1519250.53</v>
      </c>
      <c r="H14" s="214">
        <f>SUM(C14:G14)</f>
        <v>57929634.29999999</v>
      </c>
    </row>
    <row r="15" spans="1:8" x14ac:dyDescent="0.2">
      <c r="A15" s="33" t="s">
        <v>84</v>
      </c>
      <c r="B15" s="214">
        <v>5197</v>
      </c>
      <c r="C15" s="214">
        <v>42526914.450000003</v>
      </c>
      <c r="D15" s="214">
        <v>8752261.7700000014</v>
      </c>
      <c r="E15" s="214">
        <v>7479379.6399999987</v>
      </c>
      <c r="F15" s="214">
        <v>3192465.8</v>
      </c>
      <c r="G15" s="214">
        <v>2489159.1</v>
      </c>
      <c r="H15" s="214">
        <f>SUM(C15:G15)</f>
        <v>64440180.760000005</v>
      </c>
    </row>
    <row r="16" spans="1:8" x14ac:dyDescent="0.2">
      <c r="A16" s="33" t="s">
        <v>85</v>
      </c>
      <c r="B16" s="233">
        <v>1436</v>
      </c>
      <c r="C16" s="234">
        <v>17314744.309999999</v>
      </c>
      <c r="D16" s="234">
        <v>4465650.8100000005</v>
      </c>
      <c r="E16" s="234">
        <v>3407716.9600000009</v>
      </c>
      <c r="F16" s="234">
        <v>4754490.6300000008</v>
      </c>
      <c r="G16" s="234">
        <v>278296.82</v>
      </c>
      <c r="H16" s="220">
        <f>SUM(C16:G16)</f>
        <v>30220899.530000001</v>
      </c>
    </row>
    <row r="17" spans="1:8" x14ac:dyDescent="0.2">
      <c r="A17" s="33" t="s">
        <v>104</v>
      </c>
      <c r="B17" s="221">
        <f t="shared" ref="B17:H17" si="2">SUM(B12:B16)</f>
        <v>42506</v>
      </c>
      <c r="C17" s="221">
        <f t="shared" si="2"/>
        <v>312247563.85000002</v>
      </c>
      <c r="D17" s="221">
        <f t="shared" si="2"/>
        <v>58283718.570000008</v>
      </c>
      <c r="E17" s="221">
        <f t="shared" si="2"/>
        <v>39921834.18</v>
      </c>
      <c r="F17" s="221">
        <f t="shared" si="2"/>
        <v>20962695.780000001</v>
      </c>
      <c r="G17" s="221">
        <f t="shared" si="2"/>
        <v>15472943.869999999</v>
      </c>
      <c r="H17" s="221">
        <f t="shared" si="2"/>
        <v>446888756.25</v>
      </c>
    </row>
    <row r="18" spans="1:8" x14ac:dyDescent="0.2">
      <c r="A18" s="33"/>
      <c r="B18" s="182"/>
      <c r="C18" s="221"/>
      <c r="D18" s="221"/>
      <c r="E18" s="221"/>
      <c r="F18" s="221"/>
      <c r="G18" s="221"/>
      <c r="H18" s="214"/>
    </row>
    <row r="19" spans="1:8" x14ac:dyDescent="0.2">
      <c r="A19" s="33" t="s">
        <v>86</v>
      </c>
      <c r="B19" s="214">
        <v>10157</v>
      </c>
      <c r="C19" s="214">
        <v>63229357.319999993</v>
      </c>
      <c r="D19" s="214">
        <v>10410368.560000001</v>
      </c>
      <c r="E19" s="214">
        <v>8428027.209999999</v>
      </c>
      <c r="F19" s="214">
        <v>1717118.33</v>
      </c>
      <c r="G19" s="214">
        <v>4502536.8</v>
      </c>
      <c r="H19" s="214">
        <f>SUM(C19:G19)</f>
        <v>88287408.219999984</v>
      </c>
    </row>
    <row r="20" spans="1:8" x14ac:dyDescent="0.2">
      <c r="A20" s="33" t="s">
        <v>87</v>
      </c>
      <c r="B20" s="233">
        <v>7533</v>
      </c>
      <c r="C20" s="234">
        <v>67778758.74000001</v>
      </c>
      <c r="D20" s="234">
        <v>12108242.08</v>
      </c>
      <c r="E20" s="234">
        <v>11959479.960000003</v>
      </c>
      <c r="F20" s="234">
        <v>4684761.29</v>
      </c>
      <c r="G20" s="234">
        <v>2380817.25</v>
      </c>
      <c r="H20" s="220">
        <f>SUM(C20:G20)</f>
        <v>98912059.320000023</v>
      </c>
    </row>
    <row r="21" spans="1:8" x14ac:dyDescent="0.2">
      <c r="A21" s="33" t="s">
        <v>105</v>
      </c>
      <c r="B21" s="221">
        <f t="shared" ref="B21:H21" si="3">SUM(B19:B20)</f>
        <v>17690</v>
      </c>
      <c r="C21" s="221">
        <f t="shared" si="3"/>
        <v>131008116.06</v>
      </c>
      <c r="D21" s="221">
        <f t="shared" si="3"/>
        <v>22518610.640000001</v>
      </c>
      <c r="E21" s="221">
        <f t="shared" si="3"/>
        <v>20387507.170000002</v>
      </c>
      <c r="F21" s="221">
        <f t="shared" si="3"/>
        <v>6401879.6200000001</v>
      </c>
      <c r="G21" s="221">
        <f t="shared" si="3"/>
        <v>6883354.0499999998</v>
      </c>
      <c r="H21" s="221">
        <f t="shared" si="3"/>
        <v>187199467.54000002</v>
      </c>
    </row>
    <row r="22" spans="1:8" x14ac:dyDescent="0.2">
      <c r="A22" s="33"/>
      <c r="B22" s="214"/>
      <c r="C22" s="214"/>
      <c r="D22" s="214"/>
      <c r="E22" s="214"/>
      <c r="F22" s="214"/>
      <c r="G22" s="214"/>
      <c r="H22" s="214"/>
    </row>
    <row r="23" spans="1:8" ht="13.5" thickBot="1" x14ac:dyDescent="0.25">
      <c r="A23" s="33" t="s">
        <v>209</v>
      </c>
      <c r="B23" s="222">
        <f t="shared" ref="B23:H23" si="4">B21+B17+B10</f>
        <v>149748</v>
      </c>
      <c r="C23" s="222">
        <f t="shared" si="4"/>
        <v>1055010984.1100001</v>
      </c>
      <c r="D23" s="222">
        <f t="shared" si="4"/>
        <v>169285727.80000001</v>
      </c>
      <c r="E23" s="222">
        <f t="shared" si="4"/>
        <v>124842102.99000001</v>
      </c>
      <c r="F23" s="222">
        <f t="shared" si="4"/>
        <v>49645732.109999999</v>
      </c>
      <c r="G23" s="222">
        <f t="shared" si="4"/>
        <v>48073901.809999995</v>
      </c>
      <c r="H23" s="222">
        <f t="shared" si="4"/>
        <v>1446858448.8200002</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626</v>
      </c>
      <c r="B26" s="22"/>
      <c r="C26" s="22"/>
      <c r="D26" s="22"/>
      <c r="E26" s="22"/>
      <c r="F26" s="22"/>
      <c r="G26" s="22"/>
      <c r="H26" s="22"/>
    </row>
    <row r="27" spans="1:8" ht="33.75" x14ac:dyDescent="0.2">
      <c r="A27" s="155" t="s">
        <v>245</v>
      </c>
      <c r="B27" s="172" t="str">
        <f t="shared" ref="B27:H27" si="5">B3</f>
        <v>ANB09</v>
      </c>
      <c r="C27" s="172" t="str">
        <f t="shared" si="5"/>
        <v>09/Pupil Salaries &amp; Benefits</v>
      </c>
      <c r="D27" s="172" t="str">
        <f t="shared" si="5"/>
        <v>09/Pupil Purchased Services</v>
      </c>
      <c r="E27" s="172" t="str">
        <f t="shared" si="5"/>
        <v>09/Pupil Supplies</v>
      </c>
      <c r="F27" s="172" t="str">
        <f t="shared" si="5"/>
        <v>09/Pupil Capital Outlay</v>
      </c>
      <c r="G27" s="172" t="str">
        <f t="shared" si="5"/>
        <v>09/Pupil Other</v>
      </c>
      <c r="H27" s="172" t="str">
        <f t="shared" si="5"/>
        <v>09/Pupil Total Expenditures</v>
      </c>
    </row>
    <row r="28" spans="1:8" x14ac:dyDescent="0.2">
      <c r="A28" s="33" t="s">
        <v>102</v>
      </c>
      <c r="B28" s="214">
        <f t="shared" ref="B28:B34" si="6">B4</f>
        <v>37242</v>
      </c>
      <c r="C28" s="182">
        <f t="shared" ref="C28:H34" si="7">C4/$B28</f>
        <v>6455.9251884968589</v>
      </c>
      <c r="D28" s="182">
        <f t="shared" si="7"/>
        <v>864.68854170023099</v>
      </c>
      <c r="E28" s="182">
        <f t="shared" si="7"/>
        <v>452.40453359110683</v>
      </c>
      <c r="F28" s="182">
        <f t="shared" si="7"/>
        <v>143.58600665914827</v>
      </c>
      <c r="G28" s="182">
        <f t="shared" si="7"/>
        <v>208.86933542774287</v>
      </c>
      <c r="H28" s="182">
        <f t="shared" si="7"/>
        <v>8125.4736058750877</v>
      </c>
    </row>
    <row r="29" spans="1:8" x14ac:dyDescent="0.2">
      <c r="A29" s="33" t="s">
        <v>76</v>
      </c>
      <c r="B29" s="214">
        <f t="shared" si="6"/>
        <v>18748</v>
      </c>
      <c r="C29" s="182">
        <f t="shared" si="7"/>
        <v>7120.3945023469159</v>
      </c>
      <c r="D29" s="182">
        <f t="shared" si="7"/>
        <v>874.55881427352267</v>
      </c>
      <c r="E29" s="182">
        <f t="shared" si="7"/>
        <v>726.36054885854492</v>
      </c>
      <c r="F29" s="182">
        <f t="shared" si="7"/>
        <v>218.71333742265841</v>
      </c>
      <c r="G29" s="182">
        <f t="shared" si="7"/>
        <v>456.90591369746107</v>
      </c>
      <c r="H29" s="182">
        <f t="shared" si="7"/>
        <v>9396.9331165991025</v>
      </c>
    </row>
    <row r="30" spans="1:8" x14ac:dyDescent="0.2">
      <c r="A30" s="33" t="s">
        <v>77</v>
      </c>
      <c r="B30" s="214">
        <f t="shared" si="6"/>
        <v>11756</v>
      </c>
      <c r="C30" s="182">
        <f t="shared" si="7"/>
        <v>7217.1755163320859</v>
      </c>
      <c r="D30" s="182">
        <f t="shared" si="7"/>
        <v>1021.82654474311</v>
      </c>
      <c r="E30" s="182">
        <f t="shared" si="7"/>
        <v>876.17695049336533</v>
      </c>
      <c r="F30" s="182">
        <f t="shared" si="7"/>
        <v>287.79511568560736</v>
      </c>
      <c r="G30" s="182">
        <f t="shared" si="7"/>
        <v>268.23064307587612</v>
      </c>
      <c r="H30" s="182">
        <f t="shared" si="7"/>
        <v>9671.204770330045</v>
      </c>
    </row>
    <row r="31" spans="1:8" x14ac:dyDescent="0.2">
      <c r="A31" s="33" t="s">
        <v>78</v>
      </c>
      <c r="B31" s="214">
        <f t="shared" si="6"/>
        <v>14373</v>
      </c>
      <c r="C31" s="182">
        <f t="shared" si="7"/>
        <v>6793.0187671328185</v>
      </c>
      <c r="D31" s="182">
        <f t="shared" si="7"/>
        <v>1120.8154226675019</v>
      </c>
      <c r="E31" s="182">
        <f t="shared" si="7"/>
        <v>931.33779725874933</v>
      </c>
      <c r="F31" s="182">
        <f t="shared" si="7"/>
        <v>258.7302803868364</v>
      </c>
      <c r="G31" s="182">
        <f t="shared" si="7"/>
        <v>351.9849906073888</v>
      </c>
      <c r="H31" s="182">
        <f t="shared" si="7"/>
        <v>9455.8872580532952</v>
      </c>
    </row>
    <row r="32" spans="1:8" x14ac:dyDescent="0.2">
      <c r="A32" s="33" t="s">
        <v>79</v>
      </c>
      <c r="B32" s="214">
        <f t="shared" si="6"/>
        <v>5804</v>
      </c>
      <c r="C32" s="182">
        <f t="shared" si="7"/>
        <v>7612.7840816678154</v>
      </c>
      <c r="D32" s="182">
        <f t="shared" si="7"/>
        <v>1492.4522432804958</v>
      </c>
      <c r="E32" s="182">
        <f t="shared" si="7"/>
        <v>1339.5162405237766</v>
      </c>
      <c r="F32" s="182">
        <f t="shared" si="7"/>
        <v>865.29944865609923</v>
      </c>
      <c r="G32" s="182">
        <f t="shared" si="7"/>
        <v>186.80127153687113</v>
      </c>
      <c r="H32" s="182">
        <f t="shared" si="7"/>
        <v>11496.853285665058</v>
      </c>
    </row>
    <row r="33" spans="1:8" x14ac:dyDescent="0.2">
      <c r="A33" s="33" t="s">
        <v>80</v>
      </c>
      <c r="B33" s="220">
        <f t="shared" si="6"/>
        <v>1629</v>
      </c>
      <c r="C33" s="183">
        <f t="shared" si="7"/>
        <v>6853.7810190300843</v>
      </c>
      <c r="D33" s="183">
        <f t="shared" si="7"/>
        <v>1903.1144996930632</v>
      </c>
      <c r="E33" s="183">
        <f t="shared" si="7"/>
        <v>1599.4461510128913</v>
      </c>
      <c r="F33" s="183">
        <f t="shared" si="7"/>
        <v>435.2616942909761</v>
      </c>
      <c r="G33" s="183">
        <f t="shared" si="7"/>
        <v>46.792965009208103</v>
      </c>
      <c r="H33" s="183">
        <f t="shared" si="7"/>
        <v>10838.396329036221</v>
      </c>
    </row>
    <row r="34" spans="1:8" x14ac:dyDescent="0.2">
      <c r="A34" s="33" t="s">
        <v>103</v>
      </c>
      <c r="B34" s="214">
        <f t="shared" si="6"/>
        <v>89552</v>
      </c>
      <c r="C34" s="182">
        <f t="shared" si="7"/>
        <v>6831.2857803287479</v>
      </c>
      <c r="D34" s="182">
        <f t="shared" si="7"/>
        <v>988.06725243433982</v>
      </c>
      <c r="E34" s="182">
        <f t="shared" si="7"/>
        <v>720.61775996069332</v>
      </c>
      <c r="F34" s="182">
        <f t="shared" si="7"/>
        <v>248.80691341343578</v>
      </c>
      <c r="G34" s="182">
        <f t="shared" si="7"/>
        <v>287.18067592013574</v>
      </c>
      <c r="H34" s="182">
        <f t="shared" si="7"/>
        <v>9075.9583820573534</v>
      </c>
    </row>
    <row r="35" spans="1:8" x14ac:dyDescent="0.2">
      <c r="A35" s="33"/>
      <c r="B35" s="214"/>
      <c r="C35" s="182"/>
      <c r="D35" s="182"/>
      <c r="E35" s="182"/>
      <c r="F35" s="182"/>
      <c r="G35" s="182"/>
      <c r="H35" s="182"/>
    </row>
    <row r="36" spans="1:8" x14ac:dyDescent="0.2">
      <c r="A36" s="33" t="s">
        <v>81</v>
      </c>
      <c r="B36" s="214">
        <f t="shared" ref="B36:B41" si="8">B12</f>
        <v>22505</v>
      </c>
      <c r="C36" s="182">
        <f t="shared" ref="C36:H41" si="9">C12/$B36</f>
        <v>6909.6098338147076</v>
      </c>
      <c r="D36" s="182">
        <f t="shared" si="9"/>
        <v>1327.6616143079316</v>
      </c>
      <c r="E36" s="182">
        <f t="shared" si="9"/>
        <v>671.53062119528988</v>
      </c>
      <c r="F36" s="182">
        <f t="shared" si="9"/>
        <v>181.85738369251277</v>
      </c>
      <c r="G36" s="182">
        <f t="shared" si="9"/>
        <v>437.5414499000222</v>
      </c>
      <c r="H36" s="182">
        <f t="shared" si="9"/>
        <v>9528.2009029104647</v>
      </c>
    </row>
    <row r="37" spans="1:8" x14ac:dyDescent="0.2">
      <c r="A37" s="33" t="s">
        <v>82</v>
      </c>
      <c r="B37" s="214">
        <f t="shared" si="8"/>
        <v>7979</v>
      </c>
      <c r="C37" s="182">
        <f t="shared" si="9"/>
        <v>7166.948999874674</v>
      </c>
      <c r="D37" s="182">
        <f t="shared" si="9"/>
        <v>943.98909763128211</v>
      </c>
      <c r="E37" s="182">
        <f t="shared" si="9"/>
        <v>977.64792455194879</v>
      </c>
      <c r="F37" s="182">
        <f t="shared" si="9"/>
        <v>753.06246146133594</v>
      </c>
      <c r="G37" s="182">
        <f t="shared" si="9"/>
        <v>167.86152274721144</v>
      </c>
      <c r="H37" s="182">
        <f t="shared" si="9"/>
        <v>10009.510006266451</v>
      </c>
    </row>
    <row r="38" spans="1:8" x14ac:dyDescent="0.2">
      <c r="A38" s="33" t="s">
        <v>83</v>
      </c>
      <c r="B38" s="214">
        <f t="shared" si="8"/>
        <v>5389</v>
      </c>
      <c r="C38" s="182">
        <f t="shared" si="9"/>
        <v>7370.5789033215788</v>
      </c>
      <c r="D38" s="182">
        <f t="shared" si="9"/>
        <v>1420.4290870291336</v>
      </c>
      <c r="E38" s="182">
        <f t="shared" si="9"/>
        <v>1135.8857227686028</v>
      </c>
      <c r="F38" s="182">
        <f t="shared" si="9"/>
        <v>540.79672480979775</v>
      </c>
      <c r="G38" s="182">
        <f t="shared" si="9"/>
        <v>281.91696604193726</v>
      </c>
      <c r="H38" s="182">
        <f t="shared" si="9"/>
        <v>10749.607403971051</v>
      </c>
    </row>
    <row r="39" spans="1:8" x14ac:dyDescent="0.2">
      <c r="A39" s="33" t="s">
        <v>84</v>
      </c>
      <c r="B39" s="214">
        <f t="shared" si="8"/>
        <v>5197</v>
      </c>
      <c r="C39" s="182">
        <f t="shared" si="9"/>
        <v>8182.9737252260929</v>
      </c>
      <c r="D39" s="182">
        <f t="shared" si="9"/>
        <v>1684.0988589570909</v>
      </c>
      <c r="E39" s="182">
        <f t="shared" si="9"/>
        <v>1439.1725303059454</v>
      </c>
      <c r="F39" s="182">
        <f t="shared" si="9"/>
        <v>614.29012892053106</v>
      </c>
      <c r="G39" s="182">
        <f t="shared" si="9"/>
        <v>478.96076582643838</v>
      </c>
      <c r="H39" s="182">
        <f t="shared" si="9"/>
        <v>12399.496009236098</v>
      </c>
    </row>
    <row r="40" spans="1:8" x14ac:dyDescent="0.2">
      <c r="A40" s="33" t="s">
        <v>85</v>
      </c>
      <c r="B40" s="220">
        <f t="shared" si="8"/>
        <v>1436</v>
      </c>
      <c r="C40" s="183">
        <f t="shared" si="9"/>
        <v>12057.621385793871</v>
      </c>
      <c r="D40" s="183">
        <f t="shared" si="9"/>
        <v>3109.7846866295267</v>
      </c>
      <c r="E40" s="183">
        <f t="shared" si="9"/>
        <v>2373.0619498607248</v>
      </c>
      <c r="F40" s="183">
        <f t="shared" si="9"/>
        <v>3310.9266225626748</v>
      </c>
      <c r="G40" s="183">
        <f t="shared" si="9"/>
        <v>193.8000139275766</v>
      </c>
      <c r="H40" s="183">
        <f t="shared" si="9"/>
        <v>21045.194658774373</v>
      </c>
    </row>
    <row r="41" spans="1:8" x14ac:dyDescent="0.2">
      <c r="A41" s="33" t="s">
        <v>104</v>
      </c>
      <c r="B41" s="214">
        <f t="shared" si="8"/>
        <v>42506</v>
      </c>
      <c r="C41" s="182">
        <f t="shared" si="9"/>
        <v>7345.96442502235</v>
      </c>
      <c r="D41" s="182">
        <f t="shared" si="9"/>
        <v>1371.1880339246227</v>
      </c>
      <c r="E41" s="182">
        <f t="shared" si="9"/>
        <v>939.20468122147463</v>
      </c>
      <c r="F41" s="182">
        <f t="shared" si="9"/>
        <v>493.17027666682355</v>
      </c>
      <c r="G41" s="182">
        <f t="shared" si="9"/>
        <v>364.01787677033826</v>
      </c>
      <c r="H41" s="182">
        <f t="shared" si="9"/>
        <v>10513.545293605608</v>
      </c>
    </row>
    <row r="42" spans="1:8" x14ac:dyDescent="0.2">
      <c r="A42" s="33"/>
      <c r="B42" s="214"/>
      <c r="C42" s="182"/>
      <c r="D42" s="182"/>
      <c r="E42" s="182"/>
      <c r="F42" s="182"/>
      <c r="G42" s="182"/>
      <c r="H42" s="182"/>
    </row>
    <row r="43" spans="1:8" x14ac:dyDescent="0.2">
      <c r="A43" s="33" t="s">
        <v>86</v>
      </c>
      <c r="B43" s="214">
        <f>B19</f>
        <v>10157</v>
      </c>
      <c r="C43" s="182">
        <f t="shared" ref="C43:H45" si="10">C19/$B43</f>
        <v>6225.2000905779259</v>
      </c>
      <c r="D43" s="182">
        <f t="shared" si="10"/>
        <v>1024.9452161071183</v>
      </c>
      <c r="E43" s="182">
        <f t="shared" si="10"/>
        <v>829.77524958156926</v>
      </c>
      <c r="F43" s="182">
        <f t="shared" si="10"/>
        <v>169.05762823668408</v>
      </c>
      <c r="G43" s="182">
        <f t="shared" si="10"/>
        <v>443.29396475337205</v>
      </c>
      <c r="H43" s="182">
        <f t="shared" si="10"/>
        <v>8692.2721492566689</v>
      </c>
    </row>
    <row r="44" spans="1:8" x14ac:dyDescent="0.2">
      <c r="A44" s="33" t="s">
        <v>87</v>
      </c>
      <c r="B44" s="220">
        <f>B20</f>
        <v>7533</v>
      </c>
      <c r="C44" s="183">
        <f t="shared" si="10"/>
        <v>8997.5784866587037</v>
      </c>
      <c r="D44" s="183">
        <f t="shared" si="10"/>
        <v>1607.3598938006107</v>
      </c>
      <c r="E44" s="183">
        <f t="shared" si="10"/>
        <v>1587.6118359219438</v>
      </c>
      <c r="F44" s="183">
        <f t="shared" si="10"/>
        <v>621.89848533120937</v>
      </c>
      <c r="G44" s="183">
        <f t="shared" si="10"/>
        <v>316.05167264038232</v>
      </c>
      <c r="H44" s="183">
        <f t="shared" si="10"/>
        <v>13130.50037435285</v>
      </c>
    </row>
    <row r="45" spans="1:8" x14ac:dyDescent="0.2">
      <c r="A45" s="33" t="s">
        <v>105</v>
      </c>
      <c r="B45" s="214">
        <f>B21</f>
        <v>17690</v>
      </c>
      <c r="C45" s="182">
        <f t="shared" si="10"/>
        <v>7405.7725302430754</v>
      </c>
      <c r="D45" s="182">
        <f t="shared" si="10"/>
        <v>1272.9570740531374</v>
      </c>
      <c r="E45" s="182">
        <f t="shared" si="10"/>
        <v>1152.4876862634258</v>
      </c>
      <c r="F45" s="182">
        <f t="shared" si="10"/>
        <v>361.89257320520068</v>
      </c>
      <c r="G45" s="182">
        <f t="shared" si="10"/>
        <v>389.10989542114186</v>
      </c>
      <c r="H45" s="182">
        <f t="shared" si="10"/>
        <v>10582.219759185982</v>
      </c>
    </row>
    <row r="46" spans="1:8" x14ac:dyDescent="0.2">
      <c r="A46" s="33"/>
      <c r="B46" s="214"/>
      <c r="C46" s="182"/>
      <c r="D46" s="182"/>
      <c r="E46" s="182"/>
      <c r="F46" s="182"/>
      <c r="G46" s="182"/>
      <c r="H46" s="182"/>
    </row>
    <row r="47" spans="1:8" ht="13.5" thickBot="1" x14ac:dyDescent="0.25">
      <c r="A47" s="33" t="s">
        <v>209</v>
      </c>
      <c r="B47" s="222">
        <f>B23</f>
        <v>149748</v>
      </c>
      <c r="C47" s="192">
        <f t="shared" ref="C47:H47" si="11">C23/$B47</f>
        <v>7045.2425682479907</v>
      </c>
      <c r="D47" s="192">
        <f t="shared" si="11"/>
        <v>1130.4707094585572</v>
      </c>
      <c r="E47" s="192">
        <f t="shared" si="11"/>
        <v>833.6812711355077</v>
      </c>
      <c r="F47" s="192">
        <f t="shared" si="11"/>
        <v>331.5285153057136</v>
      </c>
      <c r="G47" s="192">
        <f t="shared" si="11"/>
        <v>321.0320125143574</v>
      </c>
      <c r="H47" s="192">
        <f t="shared" si="11"/>
        <v>9661.9550766621269</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7</v>
      </c>
      <c r="B52" s="182"/>
      <c r="C52" s="182"/>
      <c r="D52" s="182"/>
      <c r="E52" s="182"/>
      <c r="F52" s="182"/>
      <c r="G52" s="182"/>
      <c r="H52" s="182"/>
    </row>
    <row r="53" spans="1:8" ht="33.75" x14ac:dyDescent="0.2">
      <c r="A53" s="155" t="s">
        <v>245</v>
      </c>
      <c r="B53" s="172" t="str">
        <f t="shared" ref="B53:H53" si="12">B3</f>
        <v>ANB09</v>
      </c>
      <c r="C53" s="172" t="str">
        <f t="shared" si="12"/>
        <v>09/Pupil Salaries &amp; Benefits</v>
      </c>
      <c r="D53" s="172" t="str">
        <f t="shared" si="12"/>
        <v>09/Pupil Purchased Services</v>
      </c>
      <c r="E53" s="172" t="str">
        <f t="shared" si="12"/>
        <v>09/Pupil Supplies</v>
      </c>
      <c r="F53" s="172" t="str">
        <f t="shared" si="12"/>
        <v>09/Pupil Capital Outlay</v>
      </c>
      <c r="G53" s="172" t="str">
        <f t="shared" si="12"/>
        <v>09/Pupil Other</v>
      </c>
      <c r="H53" s="172" t="str">
        <f t="shared" si="12"/>
        <v>09/Pupil Total Expenditures</v>
      </c>
    </row>
    <row r="54" spans="1:8" x14ac:dyDescent="0.2">
      <c r="A54" s="33" t="s">
        <v>102</v>
      </c>
      <c r="B54" s="214">
        <f t="shared" ref="B54:B59" si="13">B4</f>
        <v>37242</v>
      </c>
      <c r="C54" s="191">
        <f t="shared" ref="C54:H60" si="14">C28/$H28</f>
        <v>0.79452909475072697</v>
      </c>
      <c r="D54" s="191">
        <f t="shared" si="14"/>
        <v>0.10641700209019468</v>
      </c>
      <c r="E54" s="191">
        <f t="shared" si="14"/>
        <v>5.5677312552464352E-2</v>
      </c>
      <c r="F54" s="191">
        <f t="shared" si="14"/>
        <v>1.767109384926548E-2</v>
      </c>
      <c r="G54" s="191">
        <f t="shared" si="14"/>
        <v>2.5705496757348498E-2</v>
      </c>
      <c r="H54" s="191">
        <f t="shared" si="14"/>
        <v>1</v>
      </c>
    </row>
    <row r="55" spans="1:8" x14ac:dyDescent="0.2">
      <c r="A55" s="33" t="s">
        <v>76</v>
      </c>
      <c r="B55" s="214">
        <f t="shared" si="13"/>
        <v>18748</v>
      </c>
      <c r="C55" s="191">
        <f t="shared" si="14"/>
        <v>0.75773599896855481</v>
      </c>
      <c r="D55" s="191">
        <f t="shared" si="14"/>
        <v>9.3068536662101867E-2</v>
      </c>
      <c r="E55" s="191">
        <f t="shared" si="14"/>
        <v>7.7297618259671741E-2</v>
      </c>
      <c r="F55" s="191">
        <f t="shared" si="14"/>
        <v>2.327497011086679E-2</v>
      </c>
      <c r="G55" s="191">
        <f t="shared" si="14"/>
        <v>4.8622875998804861E-2</v>
      </c>
      <c r="H55" s="191">
        <f t="shared" si="14"/>
        <v>1</v>
      </c>
    </row>
    <row r="56" spans="1:8" x14ac:dyDescent="0.2">
      <c r="A56" s="33" t="s">
        <v>77</v>
      </c>
      <c r="B56" s="214">
        <f t="shared" si="13"/>
        <v>11756</v>
      </c>
      <c r="C56" s="191">
        <f t="shared" si="14"/>
        <v>0.7462540280889729</v>
      </c>
      <c r="D56" s="191">
        <f t="shared" si="14"/>
        <v>0.10565659284538534</v>
      </c>
      <c r="E56" s="191">
        <f t="shared" si="14"/>
        <v>9.0596463553471465E-2</v>
      </c>
      <c r="F56" s="191">
        <f t="shared" si="14"/>
        <v>2.9757938387213561E-2</v>
      </c>
      <c r="G56" s="191">
        <f t="shared" si="14"/>
        <v>2.773497712495672E-2</v>
      </c>
      <c r="H56" s="191">
        <f t="shared" si="14"/>
        <v>1</v>
      </c>
    </row>
    <row r="57" spans="1:8" x14ac:dyDescent="0.2">
      <c r="A57" s="33" t="s">
        <v>78</v>
      </c>
      <c r="B57" s="214">
        <f t="shared" si="13"/>
        <v>14373</v>
      </c>
      <c r="C57" s="191">
        <f t="shared" si="14"/>
        <v>0.71839041453750507</v>
      </c>
      <c r="D57" s="191">
        <f t="shared" si="14"/>
        <v>0.11853096299481966</v>
      </c>
      <c r="E57" s="191">
        <f t="shared" si="14"/>
        <v>9.8492904139223625E-2</v>
      </c>
      <c r="F57" s="191">
        <f t="shared" si="14"/>
        <v>2.7361819502076189E-2</v>
      </c>
      <c r="G57" s="191">
        <f t="shared" si="14"/>
        <v>3.7223898826375466E-2</v>
      </c>
      <c r="H57" s="191">
        <f t="shared" si="14"/>
        <v>1</v>
      </c>
    </row>
    <row r="58" spans="1:8" x14ac:dyDescent="0.2">
      <c r="A58" s="33" t="s">
        <v>79</v>
      </c>
      <c r="B58" s="214">
        <f t="shared" si="13"/>
        <v>5804</v>
      </c>
      <c r="C58" s="191">
        <f t="shared" si="14"/>
        <v>0.66216241022749023</v>
      </c>
      <c r="D58" s="191">
        <f t="shared" si="14"/>
        <v>0.12981397658969621</v>
      </c>
      <c r="E58" s="191">
        <f t="shared" si="14"/>
        <v>0.11651155383481869</v>
      </c>
      <c r="F58" s="191">
        <f t="shared" si="14"/>
        <v>7.5264024612282793E-2</v>
      </c>
      <c r="G58" s="191">
        <f t="shared" si="14"/>
        <v>1.6248034735712055E-2</v>
      </c>
      <c r="H58" s="191">
        <f t="shared" si="14"/>
        <v>1</v>
      </c>
    </row>
    <row r="59" spans="1:8" x14ac:dyDescent="0.2">
      <c r="A59" s="33" t="s">
        <v>80</v>
      </c>
      <c r="B59" s="220">
        <f t="shared" si="13"/>
        <v>1629</v>
      </c>
      <c r="C59" s="193">
        <f t="shared" si="14"/>
        <v>0.63236117327327346</v>
      </c>
      <c r="D59" s="193">
        <f t="shared" si="14"/>
        <v>0.17559004505072323</v>
      </c>
      <c r="E59" s="193">
        <f t="shared" si="14"/>
        <v>0.14757221478679017</v>
      </c>
      <c r="F59" s="193">
        <f t="shared" si="14"/>
        <v>4.0159233993400267E-2</v>
      </c>
      <c r="G59" s="193">
        <f t="shared" si="14"/>
        <v>4.3173328958131078E-3</v>
      </c>
      <c r="H59" s="193">
        <f t="shared" si="14"/>
        <v>1</v>
      </c>
    </row>
    <row r="60" spans="1:8" x14ac:dyDescent="0.2">
      <c r="A60" s="33" t="s">
        <v>103</v>
      </c>
      <c r="B60" s="214">
        <f>SUM(B54:B59)</f>
        <v>89552</v>
      </c>
      <c r="C60" s="191">
        <f t="shared" si="14"/>
        <v>0.75267927559405801</v>
      </c>
      <c r="D60" s="191">
        <f t="shared" si="14"/>
        <v>0.10886643711232655</v>
      </c>
      <c r="E60" s="191">
        <f t="shared" si="14"/>
        <v>7.9398530670360179E-2</v>
      </c>
      <c r="F60" s="191">
        <f t="shared" si="14"/>
        <v>2.7413844680613864E-2</v>
      </c>
      <c r="G60" s="191">
        <f t="shared" si="14"/>
        <v>3.1641911942641272E-2</v>
      </c>
      <c r="H60" s="191">
        <f t="shared" si="14"/>
        <v>1</v>
      </c>
    </row>
    <row r="61" spans="1:8" x14ac:dyDescent="0.2">
      <c r="A61" s="33"/>
      <c r="B61" s="214"/>
      <c r="C61" s="191"/>
      <c r="D61" s="191"/>
      <c r="E61" s="191"/>
      <c r="F61" s="191"/>
      <c r="G61" s="191"/>
      <c r="H61" s="191"/>
    </row>
    <row r="62" spans="1:8" x14ac:dyDescent="0.2">
      <c r="A62" s="33" t="s">
        <v>81</v>
      </c>
      <c r="B62" s="214">
        <f t="shared" ref="B62:B67" si="15">B12</f>
        <v>22505</v>
      </c>
      <c r="C62" s="191">
        <f t="shared" ref="C62:H67" si="16">C36/$H36</f>
        <v>0.72517465828245842</v>
      </c>
      <c r="D62" s="191">
        <f t="shared" si="16"/>
        <v>0.13934022045047212</v>
      </c>
      <c r="E62" s="191">
        <f t="shared" si="16"/>
        <v>7.0478218085238478E-2</v>
      </c>
      <c r="F62" s="191">
        <f t="shared" si="16"/>
        <v>1.9086224728632976E-2</v>
      </c>
      <c r="G62" s="191">
        <f t="shared" si="16"/>
        <v>4.5920678453197986E-2</v>
      </c>
      <c r="H62" s="191">
        <f t="shared" si="16"/>
        <v>1</v>
      </c>
    </row>
    <row r="63" spans="1:8" x14ac:dyDescent="0.2">
      <c r="A63" s="33" t="s">
        <v>82</v>
      </c>
      <c r="B63" s="214">
        <f t="shared" si="15"/>
        <v>7979</v>
      </c>
      <c r="C63" s="191">
        <f t="shared" si="16"/>
        <v>0.71601397025307001</v>
      </c>
      <c r="D63" s="191">
        <f t="shared" si="16"/>
        <v>9.4309221634255619E-2</v>
      </c>
      <c r="E63" s="191">
        <f t="shared" si="16"/>
        <v>9.7671906410992396E-2</v>
      </c>
      <c r="F63" s="191">
        <f t="shared" si="16"/>
        <v>7.5234697901284009E-2</v>
      </c>
      <c r="G63" s="191">
        <f t="shared" si="16"/>
        <v>1.6770203800397999E-2</v>
      </c>
      <c r="H63" s="191">
        <f t="shared" si="16"/>
        <v>1</v>
      </c>
    </row>
    <row r="64" spans="1:8" x14ac:dyDescent="0.2">
      <c r="A64" s="33" t="s">
        <v>83</v>
      </c>
      <c r="B64" s="214">
        <f t="shared" si="15"/>
        <v>5389</v>
      </c>
      <c r="C64" s="191">
        <f t="shared" si="16"/>
        <v>0.68566028751885266</v>
      </c>
      <c r="D64" s="191">
        <f t="shared" si="16"/>
        <v>0.13213776407354261</v>
      </c>
      <c r="E64" s="191">
        <f t="shared" si="16"/>
        <v>0.10566764720625901</v>
      </c>
      <c r="F64" s="191">
        <f t="shared" si="16"/>
        <v>5.030850937030687E-2</v>
      </c>
      <c r="G64" s="191">
        <f t="shared" si="16"/>
        <v>2.6225791831038712E-2</v>
      </c>
      <c r="H64" s="191">
        <f t="shared" si="16"/>
        <v>1</v>
      </c>
    </row>
    <row r="65" spans="1:8" x14ac:dyDescent="0.2">
      <c r="A65" s="33" t="s">
        <v>84</v>
      </c>
      <c r="B65" s="214">
        <f t="shared" si="15"/>
        <v>5197</v>
      </c>
      <c r="C65" s="191">
        <f t="shared" si="16"/>
        <v>0.65994405894649144</v>
      </c>
      <c r="D65" s="191">
        <f t="shared" si="16"/>
        <v>0.13581994443182566</v>
      </c>
      <c r="E65" s="191">
        <f t="shared" si="16"/>
        <v>0.1160670183073521</v>
      </c>
      <c r="F65" s="191">
        <f t="shared" si="16"/>
        <v>4.9541540112836888E-2</v>
      </c>
      <c r="G65" s="191">
        <f t="shared" si="16"/>
        <v>3.862743820149396E-2</v>
      </c>
      <c r="H65" s="191">
        <f t="shared" si="16"/>
        <v>1</v>
      </c>
    </row>
    <row r="66" spans="1:8" x14ac:dyDescent="0.2">
      <c r="A66" s="33" t="s">
        <v>85</v>
      </c>
      <c r="B66" s="220">
        <f t="shared" si="15"/>
        <v>1436</v>
      </c>
      <c r="C66" s="193">
        <f t="shared" si="16"/>
        <v>0.57293940879594984</v>
      </c>
      <c r="D66" s="193">
        <f t="shared" si="16"/>
        <v>0.14776697184565904</v>
      </c>
      <c r="E66" s="193">
        <f t="shared" si="16"/>
        <v>0.1127602756038811</v>
      </c>
      <c r="F66" s="193">
        <f t="shared" si="16"/>
        <v>0.15732459006656183</v>
      </c>
      <c r="G66" s="193">
        <f t="shared" si="16"/>
        <v>9.2087536879482158E-3</v>
      </c>
      <c r="H66" s="193">
        <f t="shared" si="16"/>
        <v>1</v>
      </c>
    </row>
    <row r="67" spans="1:8" x14ac:dyDescent="0.2">
      <c r="A67" s="33" t="s">
        <v>104</v>
      </c>
      <c r="B67" s="214">
        <f t="shared" si="15"/>
        <v>42506</v>
      </c>
      <c r="C67" s="191">
        <f t="shared" si="16"/>
        <v>0.69871429854306166</v>
      </c>
      <c r="D67" s="191">
        <f t="shared" si="16"/>
        <v>0.13042108971163002</v>
      </c>
      <c r="E67" s="191">
        <f t="shared" si="16"/>
        <v>8.9332823038552348E-2</v>
      </c>
      <c r="F67" s="191">
        <f t="shared" si="16"/>
        <v>4.6908085036431263E-2</v>
      </c>
      <c r="G67" s="191">
        <f t="shared" si="16"/>
        <v>3.4623703670324774E-2</v>
      </c>
      <c r="H67" s="191">
        <f t="shared" si="16"/>
        <v>1</v>
      </c>
    </row>
    <row r="68" spans="1:8" x14ac:dyDescent="0.2">
      <c r="A68" s="33"/>
      <c r="B68" s="214"/>
      <c r="C68" s="191"/>
      <c r="D68" s="191"/>
      <c r="E68" s="191"/>
      <c r="F68" s="191"/>
      <c r="G68" s="191"/>
      <c r="H68" s="191"/>
    </row>
    <row r="69" spans="1:8" x14ac:dyDescent="0.2">
      <c r="A69" s="33" t="s">
        <v>86</v>
      </c>
      <c r="B69" s="214">
        <f>B19</f>
        <v>10157</v>
      </c>
      <c r="C69" s="191">
        <f t="shared" ref="C69:H71" si="17">C43/$H43</f>
        <v>0.7161763902100422</v>
      </c>
      <c r="D69" s="191">
        <f t="shared" si="17"/>
        <v>0.11791453356586032</v>
      </c>
      <c r="E69" s="191">
        <f t="shared" si="17"/>
        <v>9.5461259764229603E-2</v>
      </c>
      <c r="F69" s="191">
        <f t="shared" si="17"/>
        <v>1.9449187201431708E-2</v>
      </c>
      <c r="G69" s="191">
        <f t="shared" si="17"/>
        <v>5.099862925843629E-2</v>
      </c>
      <c r="H69" s="191">
        <f t="shared" si="17"/>
        <v>1</v>
      </c>
    </row>
    <row r="70" spans="1:8" x14ac:dyDescent="0.2">
      <c r="A70" s="33" t="s">
        <v>87</v>
      </c>
      <c r="B70" s="220">
        <f>B20</f>
        <v>7533</v>
      </c>
      <c r="C70" s="193">
        <f t="shared" si="17"/>
        <v>0.68524262062649366</v>
      </c>
      <c r="D70" s="193">
        <f t="shared" si="17"/>
        <v>0.12241421484136175</v>
      </c>
      <c r="E70" s="193">
        <f t="shared" si="17"/>
        <v>0.12091023119141343</v>
      </c>
      <c r="F70" s="193">
        <f t="shared" si="17"/>
        <v>4.7362893081053681E-2</v>
      </c>
      <c r="G70" s="193">
        <f t="shared" si="17"/>
        <v>2.4070040259677402E-2</v>
      </c>
      <c r="H70" s="193">
        <f t="shared" si="17"/>
        <v>1</v>
      </c>
    </row>
    <row r="71" spans="1:8" x14ac:dyDescent="0.2">
      <c r="A71" s="33" t="s">
        <v>105</v>
      </c>
      <c r="B71" s="214">
        <f>B21</f>
        <v>17690</v>
      </c>
      <c r="C71" s="191">
        <f t="shared" si="17"/>
        <v>0.69983167036523075</v>
      </c>
      <c r="D71" s="191">
        <f t="shared" si="17"/>
        <v>0.12029206565551964</v>
      </c>
      <c r="E71" s="191">
        <f t="shared" si="17"/>
        <v>0.10890793354229858</v>
      </c>
      <c r="F71" s="191">
        <f t="shared" si="17"/>
        <v>3.4198172164309558E-2</v>
      </c>
      <c r="G71" s="191">
        <f t="shared" si="17"/>
        <v>3.6770158272641414E-2</v>
      </c>
      <c r="H71" s="191">
        <f t="shared" si="17"/>
        <v>1</v>
      </c>
    </row>
    <row r="72" spans="1:8" x14ac:dyDescent="0.2">
      <c r="A72" s="33"/>
      <c r="B72" s="214"/>
      <c r="C72" s="191"/>
      <c r="D72" s="191"/>
      <c r="E72" s="191"/>
      <c r="F72" s="191"/>
      <c r="G72" s="191"/>
      <c r="H72" s="191"/>
    </row>
    <row r="73" spans="1:8" ht="13.5" thickBot="1" x14ac:dyDescent="0.25">
      <c r="A73" s="33" t="s">
        <v>230</v>
      </c>
      <c r="B73" s="222">
        <f>B71+B67+B60</f>
        <v>149748</v>
      </c>
      <c r="C73" s="195">
        <f t="shared" ref="C73:H73" si="18">C47/$H47</f>
        <v>0.7291736002028566</v>
      </c>
      <c r="D73" s="195">
        <f t="shared" si="18"/>
        <v>0.11700227340004317</v>
      </c>
      <c r="E73" s="195">
        <f t="shared" si="18"/>
        <v>8.6284945905949706E-2</v>
      </c>
      <c r="F73" s="195">
        <f t="shared" si="18"/>
        <v>3.43127775564286E-2</v>
      </c>
      <c r="G73" s="195">
        <f t="shared" si="18"/>
        <v>3.3226402934721871E-2</v>
      </c>
      <c r="H73" s="195">
        <f t="shared" si="18"/>
        <v>1</v>
      </c>
    </row>
    <row r="74" spans="1:8" ht="13.5" thickTop="1" x14ac:dyDescent="0.2">
      <c r="A74" s="33"/>
      <c r="B74" s="182"/>
      <c r="C74" s="33"/>
      <c r="D74" s="33"/>
      <c r="E74" s="33"/>
      <c r="F74" s="33"/>
      <c r="G74" s="33"/>
      <c r="H74" s="191"/>
    </row>
  </sheetData>
  <phoneticPr fontId="7" type="noConversion"/>
  <pageMargins left="0.5" right="0.5" top="0.5" bottom="0.5" header="0.5" footer="0.5"/>
  <pageSetup scale="54" orientation="landscape" verticalDpi="0"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67"/>
  <dimension ref="A1:H74"/>
  <sheetViews>
    <sheetView zoomScaleNormal="100" workbookViewId="0">
      <selection activeCell="H25" sqref="H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6" t="s">
        <v>247</v>
      </c>
      <c r="B1" s="22"/>
      <c r="C1" s="22"/>
      <c r="D1" s="22"/>
      <c r="E1" s="22"/>
      <c r="F1" s="22"/>
      <c r="G1" s="22"/>
      <c r="H1" s="22"/>
    </row>
    <row r="2" spans="1:8" x14ac:dyDescent="0.2">
      <c r="A2" s="22" t="s">
        <v>1</v>
      </c>
    </row>
    <row r="3" spans="1:8" ht="33.75" x14ac:dyDescent="0.2">
      <c r="A3" s="22" t="s">
        <v>245</v>
      </c>
      <c r="B3" s="202" t="s">
        <v>624</v>
      </c>
      <c r="C3" s="172" t="s">
        <v>2</v>
      </c>
      <c r="D3" s="172" t="s">
        <v>3</v>
      </c>
      <c r="E3" s="172" t="s">
        <v>4</v>
      </c>
      <c r="F3" s="172" t="s">
        <v>5</v>
      </c>
      <c r="G3" s="172" t="s">
        <v>621</v>
      </c>
      <c r="H3" s="172" t="s">
        <v>6</v>
      </c>
    </row>
    <row r="4" spans="1:8" x14ac:dyDescent="0.2">
      <c r="A4" s="182" t="s">
        <v>102</v>
      </c>
      <c r="B4" s="214">
        <v>37242</v>
      </c>
      <c r="C4" s="214">
        <v>241039208.37</v>
      </c>
      <c r="D4" s="214">
        <v>32246630.170000002</v>
      </c>
      <c r="E4" s="214">
        <v>16958043.25</v>
      </c>
      <c r="F4" s="214">
        <v>5352430.0599999996</v>
      </c>
      <c r="G4" s="214">
        <v>7778711.79</v>
      </c>
      <c r="H4" s="214">
        <f t="shared" ref="H4:H9" si="0">SUM(C4:G4)</f>
        <v>303375023.64000005</v>
      </c>
    </row>
    <row r="5" spans="1:8" x14ac:dyDescent="0.2">
      <c r="A5" s="33" t="s">
        <v>76</v>
      </c>
      <c r="B5" s="214">
        <v>18748</v>
      </c>
      <c r="C5" s="214">
        <v>133493156.13</v>
      </c>
      <c r="D5" s="214">
        <v>16396228.65</v>
      </c>
      <c r="E5" s="214">
        <v>13617807.57</v>
      </c>
      <c r="F5" s="214">
        <v>4134425.08</v>
      </c>
      <c r="G5" s="214">
        <v>8566072.0700000003</v>
      </c>
      <c r="H5" s="214">
        <f t="shared" si="0"/>
        <v>176207689.5</v>
      </c>
    </row>
    <row r="6" spans="1:8" x14ac:dyDescent="0.2">
      <c r="A6" s="33" t="s">
        <v>77</v>
      </c>
      <c r="B6" s="214">
        <v>11756</v>
      </c>
      <c r="C6" s="214">
        <v>84845115.370000005</v>
      </c>
      <c r="D6" s="214">
        <v>12012592.859999999</v>
      </c>
      <c r="E6" s="214">
        <v>10305336.23</v>
      </c>
      <c r="F6" s="214">
        <v>3393959.38</v>
      </c>
      <c r="G6" s="214">
        <v>3153319.44</v>
      </c>
      <c r="H6" s="214">
        <f t="shared" si="0"/>
        <v>113710323.28</v>
      </c>
    </row>
    <row r="7" spans="1:8" x14ac:dyDescent="0.2">
      <c r="A7" s="33" t="s">
        <v>78</v>
      </c>
      <c r="B7" s="214">
        <v>14373</v>
      </c>
      <c r="C7" s="214">
        <v>97636058.739999995</v>
      </c>
      <c r="D7" s="214">
        <v>16111790.07</v>
      </c>
      <c r="E7" s="214">
        <v>13386118.16</v>
      </c>
      <c r="F7" s="214">
        <v>3718730.32</v>
      </c>
      <c r="G7" s="214">
        <v>5059080.2699999996</v>
      </c>
      <c r="H7" s="214">
        <f t="shared" si="0"/>
        <v>135911777.56</v>
      </c>
    </row>
    <row r="8" spans="1:8" x14ac:dyDescent="0.2">
      <c r="A8" s="33" t="s">
        <v>79</v>
      </c>
      <c r="B8" s="214">
        <v>5804</v>
      </c>
      <c r="C8" s="214">
        <v>44184598.810000002</v>
      </c>
      <c r="D8" s="214">
        <v>8679978.8200000003</v>
      </c>
      <c r="E8" s="214">
        <v>7779552.2599999998</v>
      </c>
      <c r="F8" s="214">
        <v>5022198</v>
      </c>
      <c r="G8" s="214">
        <v>1084194.58</v>
      </c>
      <c r="H8" s="214">
        <f t="shared" si="0"/>
        <v>66750522.469999999</v>
      </c>
    </row>
    <row r="9" spans="1:8" x14ac:dyDescent="0.2">
      <c r="A9" s="33" t="s">
        <v>80</v>
      </c>
      <c r="B9" s="233">
        <v>1629</v>
      </c>
      <c r="C9" s="234">
        <v>11164809.279999999</v>
      </c>
      <c r="D9" s="220">
        <v>3100173.52</v>
      </c>
      <c r="E9" s="220">
        <v>2610497.7799999998</v>
      </c>
      <c r="F9" s="220">
        <v>747756.74</v>
      </c>
      <c r="G9" s="220">
        <v>76225.740000000005</v>
      </c>
      <c r="H9" s="220">
        <f t="shared" si="0"/>
        <v>17699463.059999995</v>
      </c>
    </row>
    <row r="10" spans="1:8" x14ac:dyDescent="0.2">
      <c r="A10" s="33" t="s">
        <v>103</v>
      </c>
      <c r="B10" s="221">
        <f t="shared" ref="B10:H10" si="1">SUM(B4:B9)</f>
        <v>89552</v>
      </c>
      <c r="C10" s="221">
        <f t="shared" si="1"/>
        <v>612362946.70000005</v>
      </c>
      <c r="D10" s="221">
        <f t="shared" si="1"/>
        <v>88547394.089999989</v>
      </c>
      <c r="E10" s="221">
        <f t="shared" si="1"/>
        <v>64657355.249999993</v>
      </c>
      <c r="F10" s="221">
        <f t="shared" si="1"/>
        <v>22369499.579999998</v>
      </c>
      <c r="G10" s="221">
        <f t="shared" si="1"/>
        <v>25717603.889999997</v>
      </c>
      <c r="H10" s="214">
        <f t="shared" si="1"/>
        <v>813654799.50999999</v>
      </c>
    </row>
    <row r="11" spans="1:8" x14ac:dyDescent="0.2">
      <c r="A11" s="33"/>
      <c r="B11" s="182"/>
      <c r="C11" s="221"/>
      <c r="D11" s="221"/>
      <c r="E11" s="221"/>
      <c r="F11" s="221"/>
      <c r="G11" s="221"/>
      <c r="H11" s="214"/>
    </row>
    <row r="12" spans="1:8" x14ac:dyDescent="0.2">
      <c r="A12" s="33" t="s">
        <v>81</v>
      </c>
      <c r="B12" s="214">
        <v>22505</v>
      </c>
      <c r="C12" s="214">
        <v>155500769.31</v>
      </c>
      <c r="D12" s="214">
        <v>29879024.629999999</v>
      </c>
      <c r="E12" s="214">
        <v>15112796.630000001</v>
      </c>
      <c r="F12" s="214">
        <v>4092700.42</v>
      </c>
      <c r="G12" s="214">
        <v>9846870.3300000001</v>
      </c>
      <c r="H12" s="214">
        <f>SUM(C12:G12)</f>
        <v>214432161.31999999</v>
      </c>
    </row>
    <row r="13" spans="1:8" x14ac:dyDescent="0.2">
      <c r="A13" s="33" t="s">
        <v>82</v>
      </c>
      <c r="B13" s="214">
        <v>7979</v>
      </c>
      <c r="C13" s="214">
        <v>57185086.07</v>
      </c>
      <c r="D13" s="214">
        <v>7532089.0099999998</v>
      </c>
      <c r="E13" s="214">
        <v>7800652.79</v>
      </c>
      <c r="F13" s="214">
        <v>6040550.3799999999</v>
      </c>
      <c r="G13" s="214">
        <v>1339367.0900000001</v>
      </c>
      <c r="H13" s="214">
        <f>SUM(C13:G13)</f>
        <v>79897745.340000004</v>
      </c>
    </row>
    <row r="14" spans="1:8" x14ac:dyDescent="0.2">
      <c r="A14" s="33" t="s">
        <v>83</v>
      </c>
      <c r="B14" s="214">
        <v>5389</v>
      </c>
      <c r="C14" s="214">
        <v>39725571.920000002</v>
      </c>
      <c r="D14" s="214">
        <v>7654692.3499999996</v>
      </c>
      <c r="E14" s="214">
        <v>6121288.1600000001</v>
      </c>
      <c r="F14" s="214">
        <v>2914513.55</v>
      </c>
      <c r="G14" s="214">
        <v>1519250.53</v>
      </c>
      <c r="H14" s="214">
        <f>SUM(C14:G14)</f>
        <v>57935316.510000005</v>
      </c>
    </row>
    <row r="15" spans="1:8" x14ac:dyDescent="0.2">
      <c r="A15" s="33" t="s">
        <v>84</v>
      </c>
      <c r="B15" s="214">
        <v>5197</v>
      </c>
      <c r="C15" s="214">
        <v>42526914.450000003</v>
      </c>
      <c r="D15" s="214">
        <v>8753261.7699999996</v>
      </c>
      <c r="E15" s="214">
        <v>7479379.6399999997</v>
      </c>
      <c r="F15" s="214">
        <v>3192465.8</v>
      </c>
      <c r="G15" s="214">
        <v>2489159.1</v>
      </c>
      <c r="H15" s="214">
        <f>SUM(C15:G15)</f>
        <v>64441180.759999998</v>
      </c>
    </row>
    <row r="16" spans="1:8" x14ac:dyDescent="0.2">
      <c r="A16" s="33" t="s">
        <v>85</v>
      </c>
      <c r="B16" s="233">
        <v>1480</v>
      </c>
      <c r="C16" s="234">
        <v>17314744.309999999</v>
      </c>
      <c r="D16" s="234">
        <v>4465650.8100000005</v>
      </c>
      <c r="E16" s="234">
        <v>3407716.9600000009</v>
      </c>
      <c r="F16" s="234">
        <v>4763915.6300000008</v>
      </c>
      <c r="G16" s="234">
        <v>278296.82</v>
      </c>
      <c r="H16" s="220">
        <f>SUM(C16:G16)</f>
        <v>30230324.530000001</v>
      </c>
    </row>
    <row r="17" spans="1:8" x14ac:dyDescent="0.2">
      <c r="A17" s="33" t="s">
        <v>104</v>
      </c>
      <c r="B17" s="221">
        <f t="shared" ref="B17:H17" si="2">SUM(B12:B16)</f>
        <v>42550</v>
      </c>
      <c r="C17" s="221">
        <f t="shared" si="2"/>
        <v>312253086.06</v>
      </c>
      <c r="D17" s="221">
        <f t="shared" si="2"/>
        <v>58284718.570000008</v>
      </c>
      <c r="E17" s="221">
        <f t="shared" si="2"/>
        <v>39921834.18</v>
      </c>
      <c r="F17" s="221">
        <f t="shared" si="2"/>
        <v>21004145.780000001</v>
      </c>
      <c r="G17" s="221">
        <f t="shared" si="2"/>
        <v>15472943.869999999</v>
      </c>
      <c r="H17" s="221">
        <f t="shared" si="2"/>
        <v>446936728.45999992</v>
      </c>
    </row>
    <row r="18" spans="1:8" x14ac:dyDescent="0.2">
      <c r="A18" s="33"/>
      <c r="B18" s="182"/>
      <c r="C18" s="221"/>
      <c r="D18" s="221"/>
      <c r="E18" s="221"/>
      <c r="F18" s="221"/>
      <c r="G18" s="221"/>
      <c r="H18" s="214"/>
    </row>
    <row r="19" spans="1:8" x14ac:dyDescent="0.2">
      <c r="A19" s="33" t="s">
        <v>86</v>
      </c>
      <c r="B19" s="214">
        <v>10157</v>
      </c>
      <c r="C19" s="214">
        <v>63406749.359999999</v>
      </c>
      <c r="D19" s="214">
        <v>10420011.52</v>
      </c>
      <c r="E19" s="214">
        <v>8428027.2100000009</v>
      </c>
      <c r="F19" s="214">
        <v>1722118.33</v>
      </c>
      <c r="G19" s="214">
        <v>4502536.8</v>
      </c>
      <c r="H19" s="214">
        <f>SUM(C19:G19)</f>
        <v>88479443.219999999</v>
      </c>
    </row>
    <row r="20" spans="1:8" x14ac:dyDescent="0.2">
      <c r="A20" s="33" t="s">
        <v>87</v>
      </c>
      <c r="B20" s="233">
        <v>7489</v>
      </c>
      <c r="C20" s="234">
        <v>67778758.74000001</v>
      </c>
      <c r="D20" s="234">
        <v>12108242.08</v>
      </c>
      <c r="E20" s="234">
        <v>11964479.960000003</v>
      </c>
      <c r="F20" s="234">
        <v>4695404.29</v>
      </c>
      <c r="G20" s="234">
        <v>2380817.25</v>
      </c>
      <c r="H20" s="220">
        <f>SUM(C20:G20)</f>
        <v>98927702.320000023</v>
      </c>
    </row>
    <row r="21" spans="1:8" x14ac:dyDescent="0.2">
      <c r="A21" s="33" t="s">
        <v>105</v>
      </c>
      <c r="B21" s="221">
        <f t="shared" ref="B21:H21" si="3">SUM(B19:B20)</f>
        <v>17646</v>
      </c>
      <c r="C21" s="221">
        <f t="shared" si="3"/>
        <v>131185508.10000001</v>
      </c>
      <c r="D21" s="221">
        <f t="shared" si="3"/>
        <v>22528253.600000001</v>
      </c>
      <c r="E21" s="221">
        <f t="shared" si="3"/>
        <v>20392507.170000002</v>
      </c>
      <c r="F21" s="221">
        <f t="shared" si="3"/>
        <v>6417522.6200000001</v>
      </c>
      <c r="G21" s="221">
        <f t="shared" si="3"/>
        <v>6883354.0499999998</v>
      </c>
      <c r="H21" s="221">
        <f t="shared" si="3"/>
        <v>187407145.54000002</v>
      </c>
    </row>
    <row r="22" spans="1:8" x14ac:dyDescent="0.2">
      <c r="A22" s="33"/>
      <c r="B22" s="214"/>
      <c r="C22" s="214"/>
      <c r="D22" s="214"/>
      <c r="E22" s="214"/>
      <c r="F22" s="214"/>
      <c r="G22" s="214"/>
      <c r="H22" s="214"/>
    </row>
    <row r="23" spans="1:8" ht="13.5" thickBot="1" x14ac:dyDescent="0.25">
      <c r="A23" s="33" t="s">
        <v>209</v>
      </c>
      <c r="B23" s="222">
        <f t="shared" ref="B23:H23" si="4">B21+B17+B10</f>
        <v>149748</v>
      </c>
      <c r="C23" s="222">
        <f t="shared" si="4"/>
        <v>1055801540.8600001</v>
      </c>
      <c r="D23" s="222">
        <f t="shared" si="4"/>
        <v>169360366.25999999</v>
      </c>
      <c r="E23" s="222">
        <f t="shared" si="4"/>
        <v>124971696.59999999</v>
      </c>
      <c r="F23" s="222">
        <f t="shared" si="4"/>
        <v>49791167.980000004</v>
      </c>
      <c r="G23" s="222">
        <f t="shared" si="4"/>
        <v>48073901.809999995</v>
      </c>
      <c r="H23" s="222">
        <f t="shared" si="4"/>
        <v>1447998673.51</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626</v>
      </c>
      <c r="B26" s="22"/>
      <c r="C26" s="22"/>
      <c r="D26" s="22"/>
      <c r="E26" s="22"/>
      <c r="F26" s="22"/>
      <c r="G26" s="22"/>
      <c r="H26" s="22"/>
    </row>
    <row r="27" spans="1:8" ht="33.75" x14ac:dyDescent="0.2">
      <c r="A27" s="155" t="s">
        <v>245</v>
      </c>
      <c r="B27" s="172" t="str">
        <f t="shared" ref="B27:H27" si="5">B3</f>
        <v>ANB09</v>
      </c>
      <c r="C27" s="172" t="str">
        <f t="shared" si="5"/>
        <v>09/Pupil Salaries &amp; Benefits</v>
      </c>
      <c r="D27" s="172" t="str">
        <f t="shared" si="5"/>
        <v>09/Pupil Purchased Services</v>
      </c>
      <c r="E27" s="172" t="str">
        <f t="shared" si="5"/>
        <v>09/Pupil Supplies</v>
      </c>
      <c r="F27" s="172" t="str">
        <f t="shared" si="5"/>
        <v>09/Pupil Capital Outlay</v>
      </c>
      <c r="G27" s="172" t="str">
        <f t="shared" si="5"/>
        <v>09/Pupil Other</v>
      </c>
      <c r="H27" s="172" t="str">
        <f t="shared" si="5"/>
        <v>09/Pupil Total Expenditures</v>
      </c>
    </row>
    <row r="28" spans="1:8" x14ac:dyDescent="0.2">
      <c r="A28" s="33" t="s">
        <v>102</v>
      </c>
      <c r="B28" s="214">
        <f t="shared" ref="B28:B34" si="6">B4</f>
        <v>37242</v>
      </c>
      <c r="C28" s="182">
        <f t="shared" ref="C28:H34" si="7">C4/$B28</f>
        <v>6472.2412429515061</v>
      </c>
      <c r="D28" s="182">
        <f t="shared" si="7"/>
        <v>865.86730492454762</v>
      </c>
      <c r="E28" s="182">
        <f t="shared" si="7"/>
        <v>455.34727592503089</v>
      </c>
      <c r="F28" s="182">
        <f t="shared" si="7"/>
        <v>143.72026368079048</v>
      </c>
      <c r="G28" s="182">
        <f t="shared" si="7"/>
        <v>208.86933542774287</v>
      </c>
      <c r="H28" s="182">
        <f t="shared" si="7"/>
        <v>8146.0454229096194</v>
      </c>
    </row>
    <row r="29" spans="1:8" x14ac:dyDescent="0.2">
      <c r="A29" s="33" t="s">
        <v>76</v>
      </c>
      <c r="B29" s="214">
        <f t="shared" si="6"/>
        <v>18748</v>
      </c>
      <c r="C29" s="182">
        <f t="shared" si="7"/>
        <v>7120.3945023469169</v>
      </c>
      <c r="D29" s="182">
        <f t="shared" si="7"/>
        <v>874.55881427352256</v>
      </c>
      <c r="E29" s="182">
        <f t="shared" si="7"/>
        <v>726.36054885854492</v>
      </c>
      <c r="F29" s="182">
        <f t="shared" si="7"/>
        <v>220.52619372733091</v>
      </c>
      <c r="G29" s="182">
        <f t="shared" si="7"/>
        <v>456.90591369746107</v>
      </c>
      <c r="H29" s="182">
        <f t="shared" si="7"/>
        <v>9398.7459729037764</v>
      </c>
    </row>
    <row r="30" spans="1:8" x14ac:dyDescent="0.2">
      <c r="A30" s="33" t="s">
        <v>77</v>
      </c>
      <c r="B30" s="214">
        <f t="shared" si="6"/>
        <v>11756</v>
      </c>
      <c r="C30" s="182">
        <f t="shared" si="7"/>
        <v>7217.1755163320859</v>
      </c>
      <c r="D30" s="182">
        <f t="shared" si="7"/>
        <v>1021.8265447431098</v>
      </c>
      <c r="E30" s="182">
        <f t="shared" si="7"/>
        <v>876.60226522626749</v>
      </c>
      <c r="F30" s="182">
        <f t="shared" si="7"/>
        <v>288.70018543722352</v>
      </c>
      <c r="G30" s="182">
        <f t="shared" si="7"/>
        <v>268.23064307587612</v>
      </c>
      <c r="H30" s="182">
        <f t="shared" si="7"/>
        <v>9672.5351548145627</v>
      </c>
    </row>
    <row r="31" spans="1:8" x14ac:dyDescent="0.2">
      <c r="A31" s="33" t="s">
        <v>78</v>
      </c>
      <c r="B31" s="214">
        <f t="shared" si="6"/>
        <v>14373</v>
      </c>
      <c r="C31" s="182">
        <f t="shared" si="7"/>
        <v>6793.0187671328185</v>
      </c>
      <c r="D31" s="182">
        <f t="shared" si="7"/>
        <v>1120.9761406804425</v>
      </c>
      <c r="E31" s="182">
        <f t="shared" si="7"/>
        <v>931.33779725874911</v>
      </c>
      <c r="F31" s="182">
        <f t="shared" si="7"/>
        <v>258.7302803868364</v>
      </c>
      <c r="G31" s="182">
        <f t="shared" si="7"/>
        <v>351.9849906073888</v>
      </c>
      <c r="H31" s="182">
        <f t="shared" si="7"/>
        <v>9456.0479760662347</v>
      </c>
    </row>
    <row r="32" spans="1:8" x14ac:dyDescent="0.2">
      <c r="A32" s="33" t="s">
        <v>79</v>
      </c>
      <c r="B32" s="214">
        <f t="shared" si="6"/>
        <v>5804</v>
      </c>
      <c r="C32" s="182">
        <f t="shared" si="7"/>
        <v>7612.7840816678154</v>
      </c>
      <c r="D32" s="182">
        <f t="shared" si="7"/>
        <v>1495.5166815988973</v>
      </c>
      <c r="E32" s="182">
        <f t="shared" si="7"/>
        <v>1340.3777153687113</v>
      </c>
      <c r="F32" s="182">
        <f t="shared" si="7"/>
        <v>865.29944865609923</v>
      </c>
      <c r="G32" s="182">
        <f t="shared" si="7"/>
        <v>186.80127153687113</v>
      </c>
      <c r="H32" s="182">
        <f t="shared" si="7"/>
        <v>11500.779198828393</v>
      </c>
    </row>
    <row r="33" spans="1:8" x14ac:dyDescent="0.2">
      <c r="A33" s="33" t="s">
        <v>80</v>
      </c>
      <c r="B33" s="220">
        <f t="shared" si="6"/>
        <v>1629</v>
      </c>
      <c r="C33" s="183">
        <f t="shared" si="7"/>
        <v>6853.7810190300797</v>
      </c>
      <c r="D33" s="183">
        <f t="shared" si="7"/>
        <v>1903.1144996930632</v>
      </c>
      <c r="E33" s="183">
        <f t="shared" si="7"/>
        <v>1602.5155187231428</v>
      </c>
      <c r="F33" s="183">
        <f t="shared" si="7"/>
        <v>459.02807857581337</v>
      </c>
      <c r="G33" s="183">
        <f t="shared" si="7"/>
        <v>46.792965009208103</v>
      </c>
      <c r="H33" s="183">
        <f t="shared" si="7"/>
        <v>10865.232081031305</v>
      </c>
    </row>
    <row r="34" spans="1:8" x14ac:dyDescent="0.2">
      <c r="A34" s="33" t="s">
        <v>103</v>
      </c>
      <c r="B34" s="214">
        <f t="shared" si="6"/>
        <v>89552</v>
      </c>
      <c r="C34" s="182">
        <f t="shared" si="7"/>
        <v>6838.0711396730394</v>
      </c>
      <c r="D34" s="182">
        <f t="shared" si="7"/>
        <v>988.78187075665528</v>
      </c>
      <c r="E34" s="182">
        <f t="shared" si="7"/>
        <v>722.0090589824905</v>
      </c>
      <c r="F34" s="182">
        <f t="shared" si="7"/>
        <v>249.79341142576379</v>
      </c>
      <c r="G34" s="182">
        <f t="shared" si="7"/>
        <v>287.18067592013574</v>
      </c>
      <c r="H34" s="182">
        <f t="shared" si="7"/>
        <v>9085.8361567580851</v>
      </c>
    </row>
    <row r="35" spans="1:8" x14ac:dyDescent="0.2">
      <c r="A35" s="33"/>
      <c r="B35" s="214"/>
      <c r="C35" s="182"/>
      <c r="D35" s="182"/>
      <c r="E35" s="182"/>
      <c r="F35" s="182"/>
      <c r="G35" s="182"/>
      <c r="H35" s="182"/>
    </row>
    <row r="36" spans="1:8" x14ac:dyDescent="0.2">
      <c r="A36" s="33" t="s">
        <v>81</v>
      </c>
      <c r="B36" s="214">
        <f t="shared" ref="B36:B41" si="8">B12</f>
        <v>22505</v>
      </c>
      <c r="C36" s="182">
        <f t="shared" ref="C36:H41" si="9">C12/$B36</f>
        <v>6909.6098338147076</v>
      </c>
      <c r="D36" s="182">
        <f t="shared" si="9"/>
        <v>1327.6616143079316</v>
      </c>
      <c r="E36" s="182">
        <f t="shared" si="9"/>
        <v>671.53062119529</v>
      </c>
      <c r="F36" s="182">
        <f t="shared" si="9"/>
        <v>181.85738369251277</v>
      </c>
      <c r="G36" s="182">
        <f t="shared" si="9"/>
        <v>437.5414499000222</v>
      </c>
      <c r="H36" s="182">
        <f t="shared" si="9"/>
        <v>9528.2009029104647</v>
      </c>
    </row>
    <row r="37" spans="1:8" x14ac:dyDescent="0.2">
      <c r="A37" s="33" t="s">
        <v>82</v>
      </c>
      <c r="B37" s="214">
        <f t="shared" si="8"/>
        <v>7979</v>
      </c>
      <c r="C37" s="182">
        <f t="shared" si="9"/>
        <v>7166.9489998746712</v>
      </c>
      <c r="D37" s="182">
        <f t="shared" si="9"/>
        <v>943.98909763128211</v>
      </c>
      <c r="E37" s="182">
        <f t="shared" si="9"/>
        <v>977.6479245519489</v>
      </c>
      <c r="F37" s="182">
        <f t="shared" si="9"/>
        <v>757.05606968291761</v>
      </c>
      <c r="G37" s="182">
        <f t="shared" si="9"/>
        <v>167.86152274721144</v>
      </c>
      <c r="H37" s="182">
        <f t="shared" si="9"/>
        <v>10013.503614488032</v>
      </c>
    </row>
    <row r="38" spans="1:8" x14ac:dyDescent="0.2">
      <c r="A38" s="33" t="s">
        <v>83</v>
      </c>
      <c r="B38" s="214">
        <f t="shared" si="8"/>
        <v>5389</v>
      </c>
      <c r="C38" s="182">
        <f t="shared" si="9"/>
        <v>7371.6036221933573</v>
      </c>
      <c r="D38" s="182">
        <f t="shared" si="9"/>
        <v>1420.4290870291334</v>
      </c>
      <c r="E38" s="182">
        <f t="shared" si="9"/>
        <v>1135.8857227686028</v>
      </c>
      <c r="F38" s="182">
        <f t="shared" si="9"/>
        <v>540.82641491927996</v>
      </c>
      <c r="G38" s="182">
        <f t="shared" si="9"/>
        <v>281.91696604193726</v>
      </c>
      <c r="H38" s="182">
        <f t="shared" si="9"/>
        <v>10750.66181295231</v>
      </c>
    </row>
    <row r="39" spans="1:8" x14ac:dyDescent="0.2">
      <c r="A39" s="33" t="s">
        <v>84</v>
      </c>
      <c r="B39" s="214">
        <f t="shared" si="8"/>
        <v>5197</v>
      </c>
      <c r="C39" s="182">
        <f t="shared" si="9"/>
        <v>8182.9737252260929</v>
      </c>
      <c r="D39" s="182">
        <f t="shared" si="9"/>
        <v>1684.2912776601884</v>
      </c>
      <c r="E39" s="182">
        <f t="shared" si="9"/>
        <v>1439.1725303059457</v>
      </c>
      <c r="F39" s="182">
        <f t="shared" si="9"/>
        <v>614.29012892053106</v>
      </c>
      <c r="G39" s="182">
        <f t="shared" si="9"/>
        <v>478.96076582643838</v>
      </c>
      <c r="H39" s="182">
        <f t="shared" si="9"/>
        <v>12399.688427939196</v>
      </c>
    </row>
    <row r="40" spans="1:8" x14ac:dyDescent="0.2">
      <c r="A40" s="33" t="s">
        <v>85</v>
      </c>
      <c r="B40" s="220">
        <f t="shared" si="8"/>
        <v>1480</v>
      </c>
      <c r="C40" s="183">
        <f t="shared" si="9"/>
        <v>11699.151560810809</v>
      </c>
      <c r="D40" s="183">
        <f t="shared" si="9"/>
        <v>3017.3316283783788</v>
      </c>
      <c r="E40" s="183">
        <f t="shared" si="9"/>
        <v>2302.5114594594602</v>
      </c>
      <c r="F40" s="183">
        <f t="shared" si="9"/>
        <v>3218.8619121621628</v>
      </c>
      <c r="G40" s="183">
        <f t="shared" si="9"/>
        <v>188.03839189189191</v>
      </c>
      <c r="H40" s="183">
        <f t="shared" si="9"/>
        <v>20425.894952702703</v>
      </c>
    </row>
    <row r="41" spans="1:8" x14ac:dyDescent="0.2">
      <c r="A41" s="33" t="s">
        <v>104</v>
      </c>
      <c r="B41" s="214">
        <f t="shared" si="8"/>
        <v>42550</v>
      </c>
      <c r="C41" s="182">
        <f t="shared" si="9"/>
        <v>7338.4979097532314</v>
      </c>
      <c r="D41" s="182">
        <f t="shared" si="9"/>
        <v>1369.7936209165689</v>
      </c>
      <c r="E41" s="182">
        <f t="shared" si="9"/>
        <v>938.23347074030551</v>
      </c>
      <c r="F41" s="182">
        <f t="shared" si="9"/>
        <v>493.63444841363105</v>
      </c>
      <c r="G41" s="182">
        <f t="shared" si="9"/>
        <v>363.64145405405401</v>
      </c>
      <c r="H41" s="182">
        <f t="shared" si="9"/>
        <v>10503.800903877789</v>
      </c>
    </row>
    <row r="42" spans="1:8" x14ac:dyDescent="0.2">
      <c r="A42" s="33"/>
      <c r="B42" s="214"/>
      <c r="C42" s="182"/>
      <c r="D42" s="182"/>
      <c r="E42" s="182"/>
      <c r="F42" s="182"/>
      <c r="G42" s="182"/>
      <c r="H42" s="182"/>
    </row>
    <row r="43" spans="1:8" x14ac:dyDescent="0.2">
      <c r="A43" s="33" t="s">
        <v>86</v>
      </c>
      <c r="B43" s="214">
        <f>B19</f>
        <v>10157</v>
      </c>
      <c r="C43" s="182">
        <f t="shared" ref="C43:H45" si="10">C19/$B43</f>
        <v>6242.665094023826</v>
      </c>
      <c r="D43" s="182">
        <f t="shared" si="10"/>
        <v>1025.8946066751994</v>
      </c>
      <c r="E43" s="182">
        <f t="shared" si="10"/>
        <v>829.77524958156948</v>
      </c>
      <c r="F43" s="182">
        <f t="shared" si="10"/>
        <v>169.54989957664665</v>
      </c>
      <c r="G43" s="182">
        <f t="shared" si="10"/>
        <v>443.29396475337205</v>
      </c>
      <c r="H43" s="182">
        <f t="shared" si="10"/>
        <v>8711.1788146106137</v>
      </c>
    </row>
    <row r="44" spans="1:8" x14ac:dyDescent="0.2">
      <c r="A44" s="33" t="s">
        <v>87</v>
      </c>
      <c r="B44" s="220">
        <f>B20</f>
        <v>7489</v>
      </c>
      <c r="C44" s="183">
        <f t="shared" si="10"/>
        <v>9050.4418133262134</v>
      </c>
      <c r="D44" s="183">
        <f t="shared" si="10"/>
        <v>1616.8035892642542</v>
      </c>
      <c r="E44" s="183">
        <f t="shared" si="10"/>
        <v>1597.6071518226736</v>
      </c>
      <c r="F44" s="183">
        <f t="shared" si="10"/>
        <v>626.97346641741217</v>
      </c>
      <c r="G44" s="183">
        <f t="shared" si="10"/>
        <v>317.90856589664844</v>
      </c>
      <c r="H44" s="183">
        <f t="shared" si="10"/>
        <v>13209.734586727203</v>
      </c>
    </row>
    <row r="45" spans="1:8" x14ac:dyDescent="0.2">
      <c r="A45" s="33" t="s">
        <v>105</v>
      </c>
      <c r="B45" s="214">
        <f>B21</f>
        <v>17646</v>
      </c>
      <c r="C45" s="182">
        <f t="shared" si="10"/>
        <v>7434.29151649099</v>
      </c>
      <c r="D45" s="182">
        <f t="shared" si="10"/>
        <v>1276.677637991613</v>
      </c>
      <c r="E45" s="182">
        <f t="shared" si="10"/>
        <v>1155.6447449846992</v>
      </c>
      <c r="F45" s="182">
        <f t="shared" si="10"/>
        <v>363.68143601949453</v>
      </c>
      <c r="G45" s="182">
        <f t="shared" si="10"/>
        <v>390.08013430805846</v>
      </c>
      <c r="H45" s="182">
        <f t="shared" si="10"/>
        <v>10620.375469794855</v>
      </c>
    </row>
    <row r="46" spans="1:8" x14ac:dyDescent="0.2">
      <c r="A46" s="33"/>
      <c r="B46" s="214"/>
      <c r="C46" s="182"/>
      <c r="D46" s="182"/>
      <c r="E46" s="182"/>
      <c r="F46" s="182"/>
      <c r="G46" s="182"/>
      <c r="H46" s="182"/>
    </row>
    <row r="47" spans="1:8" ht="13.5" thickBot="1" x14ac:dyDescent="0.25">
      <c r="A47" s="33" t="s">
        <v>209</v>
      </c>
      <c r="B47" s="222">
        <f>B23</f>
        <v>149748</v>
      </c>
      <c r="C47" s="192">
        <f t="shared" ref="C47:H47" si="11">C23/$B47</f>
        <v>7050.5218157170721</v>
      </c>
      <c r="D47" s="192">
        <f t="shared" si="11"/>
        <v>1130.9691365494029</v>
      </c>
      <c r="E47" s="192">
        <f t="shared" si="11"/>
        <v>834.54668242647642</v>
      </c>
      <c r="F47" s="192">
        <f t="shared" si="11"/>
        <v>332.49971939525074</v>
      </c>
      <c r="G47" s="192">
        <f t="shared" si="11"/>
        <v>321.0320125143574</v>
      </c>
      <c r="H47" s="192">
        <f t="shared" si="11"/>
        <v>9669.5693666025581</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7</v>
      </c>
      <c r="B52" s="182"/>
      <c r="C52" s="182"/>
      <c r="D52" s="182"/>
      <c r="E52" s="182"/>
      <c r="F52" s="182"/>
      <c r="G52" s="182"/>
      <c r="H52" s="182"/>
    </row>
    <row r="53" spans="1:8" ht="33.75" x14ac:dyDescent="0.2">
      <c r="A53" s="155" t="s">
        <v>245</v>
      </c>
      <c r="B53" s="172" t="str">
        <f t="shared" ref="B53:H53" si="12">B3</f>
        <v>ANB09</v>
      </c>
      <c r="C53" s="172" t="str">
        <f t="shared" si="12"/>
        <v>09/Pupil Salaries &amp; Benefits</v>
      </c>
      <c r="D53" s="172" t="str">
        <f t="shared" si="12"/>
        <v>09/Pupil Purchased Services</v>
      </c>
      <c r="E53" s="172" t="str">
        <f t="shared" si="12"/>
        <v>09/Pupil Supplies</v>
      </c>
      <c r="F53" s="172" t="str">
        <f t="shared" si="12"/>
        <v>09/Pupil Capital Outlay</v>
      </c>
      <c r="G53" s="172" t="str">
        <f t="shared" si="12"/>
        <v>09/Pupil Other</v>
      </c>
      <c r="H53" s="172" t="str">
        <f t="shared" si="12"/>
        <v>09/Pupil Total Expenditures</v>
      </c>
    </row>
    <row r="54" spans="1:8" x14ac:dyDescent="0.2">
      <c r="A54" s="33" t="s">
        <v>102</v>
      </c>
      <c r="B54" s="214">
        <f t="shared" ref="B54:B59" si="13">B4</f>
        <v>37242</v>
      </c>
      <c r="C54" s="191">
        <f t="shared" ref="C54:H60" si="14">C28/$H28</f>
        <v>0.79452555282213722</v>
      </c>
      <c r="D54" s="191">
        <f t="shared" si="14"/>
        <v>0.1062929630234342</v>
      </c>
      <c r="E54" s="191">
        <f t="shared" si="14"/>
        <v>5.5897954441112008E-2</v>
      </c>
      <c r="F54" s="191">
        <f t="shared" si="14"/>
        <v>1.7642948967188082E-2</v>
      </c>
      <c r="G54" s="191">
        <f t="shared" si="14"/>
        <v>2.5640580746128291E-2</v>
      </c>
      <c r="H54" s="191">
        <f t="shared" si="14"/>
        <v>1</v>
      </c>
    </row>
    <row r="55" spans="1:8" x14ac:dyDescent="0.2">
      <c r="A55" s="33" t="s">
        <v>76</v>
      </c>
      <c r="B55" s="214">
        <f t="shared" si="13"/>
        <v>18748</v>
      </c>
      <c r="C55" s="191">
        <f t="shared" si="14"/>
        <v>0.75758984473830238</v>
      </c>
      <c r="D55" s="191">
        <f t="shared" si="14"/>
        <v>9.3050585343496042E-2</v>
      </c>
      <c r="E55" s="191">
        <f t="shared" si="14"/>
        <v>7.7282708879739329E-2</v>
      </c>
      <c r="F55" s="191">
        <f t="shared" si="14"/>
        <v>2.3463363555425314E-2</v>
      </c>
      <c r="G55" s="191">
        <f t="shared" si="14"/>
        <v>4.8613497483036915E-2</v>
      </c>
      <c r="H55" s="191">
        <f t="shared" si="14"/>
        <v>1</v>
      </c>
    </row>
    <row r="56" spans="1:8" x14ac:dyDescent="0.2">
      <c r="A56" s="33" t="s">
        <v>77</v>
      </c>
      <c r="B56" s="214">
        <f t="shared" si="13"/>
        <v>11756</v>
      </c>
      <c r="C56" s="191">
        <f t="shared" si="14"/>
        <v>0.7461513864583571</v>
      </c>
      <c r="D56" s="191">
        <f t="shared" si="14"/>
        <v>0.10564206057545208</v>
      </c>
      <c r="E56" s="191">
        <f t="shared" si="14"/>
        <v>9.0627974072540168E-2</v>
      </c>
      <c r="F56" s="191">
        <f t="shared" si="14"/>
        <v>2.9847416506263227E-2</v>
      </c>
      <c r="G56" s="191">
        <f t="shared" si="14"/>
        <v>2.7731162387387417E-2</v>
      </c>
      <c r="H56" s="191">
        <f t="shared" si="14"/>
        <v>1</v>
      </c>
    </row>
    <row r="57" spans="1:8" x14ac:dyDescent="0.2">
      <c r="A57" s="33" t="s">
        <v>78</v>
      </c>
      <c r="B57" s="214">
        <f t="shared" si="13"/>
        <v>14373</v>
      </c>
      <c r="C57" s="191">
        <f t="shared" si="14"/>
        <v>0.71837820454446866</v>
      </c>
      <c r="D57" s="191">
        <f t="shared" si="14"/>
        <v>0.11854594472423294</v>
      </c>
      <c r="E57" s="191">
        <f t="shared" si="14"/>
        <v>9.8491230122352919E-2</v>
      </c>
      <c r="F57" s="191">
        <f t="shared" si="14"/>
        <v>2.7361354451848872E-2</v>
      </c>
      <c r="G57" s="191">
        <f t="shared" si="14"/>
        <v>3.7223266157096674E-2</v>
      </c>
      <c r="H57" s="191">
        <f t="shared" si="14"/>
        <v>1</v>
      </c>
    </row>
    <row r="58" spans="1:8" x14ac:dyDescent="0.2">
      <c r="A58" s="33" t="s">
        <v>79</v>
      </c>
      <c r="B58" s="214">
        <f t="shared" si="13"/>
        <v>5804</v>
      </c>
      <c r="C58" s="191">
        <f t="shared" si="14"/>
        <v>0.66193637405397232</v>
      </c>
      <c r="D58" s="191">
        <f t="shared" si="14"/>
        <v>0.13003611805287493</v>
      </c>
      <c r="E58" s="191">
        <f t="shared" si="14"/>
        <v>0.11654668715883687</v>
      </c>
      <c r="F58" s="191">
        <f t="shared" si="14"/>
        <v>7.5238332437879418E-2</v>
      </c>
      <c r="G58" s="191">
        <f t="shared" si="14"/>
        <v>1.6242488296436552E-2</v>
      </c>
      <c r="H58" s="191">
        <f t="shared" si="14"/>
        <v>1</v>
      </c>
    </row>
    <row r="59" spans="1:8" x14ac:dyDescent="0.2">
      <c r="A59" s="33" t="s">
        <v>80</v>
      </c>
      <c r="B59" s="220">
        <f t="shared" si="13"/>
        <v>1629</v>
      </c>
      <c r="C59" s="193">
        <f t="shared" si="14"/>
        <v>0.6307993209823396</v>
      </c>
      <c r="D59" s="193">
        <f t="shared" si="14"/>
        <v>0.17515635979976449</v>
      </c>
      <c r="E59" s="193">
        <f t="shared" si="14"/>
        <v>0.14749022448593987</v>
      </c>
      <c r="F59" s="193">
        <f t="shared" si="14"/>
        <v>4.2247425103527414E-2</v>
      </c>
      <c r="G59" s="193">
        <f t="shared" si="14"/>
        <v>4.3066696284288306E-3</v>
      </c>
      <c r="H59" s="193">
        <f t="shared" si="14"/>
        <v>1</v>
      </c>
    </row>
    <row r="60" spans="1:8" x14ac:dyDescent="0.2">
      <c r="A60" s="33" t="s">
        <v>103</v>
      </c>
      <c r="B60" s="214">
        <f>SUM(B54:B59)</f>
        <v>89552</v>
      </c>
      <c r="C60" s="191">
        <f t="shared" si="14"/>
        <v>0.75260779764192109</v>
      </c>
      <c r="D60" s="191">
        <f t="shared" si="14"/>
        <v>0.1088267335770957</v>
      </c>
      <c r="E60" s="191">
        <f t="shared" si="14"/>
        <v>7.9465339956131281E-2</v>
      </c>
      <c r="F60" s="191">
        <f t="shared" si="14"/>
        <v>2.7492616762626338E-2</v>
      </c>
      <c r="G60" s="191">
        <f t="shared" si="14"/>
        <v>3.16075120622255E-2</v>
      </c>
      <c r="H60" s="191">
        <f t="shared" si="14"/>
        <v>1</v>
      </c>
    </row>
    <row r="61" spans="1:8" x14ac:dyDescent="0.2">
      <c r="A61" s="33"/>
      <c r="B61" s="214"/>
      <c r="C61" s="191"/>
      <c r="D61" s="191"/>
      <c r="E61" s="191"/>
      <c r="F61" s="191"/>
      <c r="G61" s="191"/>
      <c r="H61" s="191"/>
    </row>
    <row r="62" spans="1:8" x14ac:dyDescent="0.2">
      <c r="A62" s="33" t="s">
        <v>81</v>
      </c>
      <c r="B62" s="214">
        <f t="shared" ref="B62:B67" si="15">B12</f>
        <v>22505</v>
      </c>
      <c r="C62" s="191">
        <f t="shared" ref="C62:H67" si="16">C36/$H36</f>
        <v>0.72517465828245842</v>
      </c>
      <c r="D62" s="191">
        <f t="shared" si="16"/>
        <v>0.13934022045047212</v>
      </c>
      <c r="E62" s="191">
        <f t="shared" si="16"/>
        <v>7.0478218085238492E-2</v>
      </c>
      <c r="F62" s="191">
        <f t="shared" si="16"/>
        <v>1.9086224728632976E-2</v>
      </c>
      <c r="G62" s="191">
        <f t="shared" si="16"/>
        <v>4.5920678453197986E-2</v>
      </c>
      <c r="H62" s="191">
        <f t="shared" si="16"/>
        <v>1</v>
      </c>
    </row>
    <row r="63" spans="1:8" x14ac:dyDescent="0.2">
      <c r="A63" s="33" t="s">
        <v>82</v>
      </c>
      <c r="B63" s="214">
        <f t="shared" si="15"/>
        <v>7979</v>
      </c>
      <c r="C63" s="191">
        <f t="shared" si="16"/>
        <v>0.71572840793757486</v>
      </c>
      <c r="D63" s="191">
        <f t="shared" si="16"/>
        <v>9.4271609016595551E-2</v>
      </c>
      <c r="E63" s="191">
        <f t="shared" si="16"/>
        <v>9.763295267976331E-2</v>
      </c>
      <c r="F63" s="191">
        <f t="shared" si="16"/>
        <v>7.560351489638166E-2</v>
      </c>
      <c r="G63" s="191">
        <f t="shared" si="16"/>
        <v>1.6763515469684465E-2</v>
      </c>
      <c r="H63" s="191">
        <f t="shared" si="16"/>
        <v>1</v>
      </c>
    </row>
    <row r="64" spans="1:8" x14ac:dyDescent="0.2">
      <c r="A64" s="33" t="s">
        <v>83</v>
      </c>
      <c r="B64" s="214">
        <f t="shared" si="15"/>
        <v>5389</v>
      </c>
      <c r="C64" s="191">
        <f t="shared" si="16"/>
        <v>0.68568835579146481</v>
      </c>
      <c r="D64" s="191">
        <f t="shared" si="16"/>
        <v>0.132124804197432</v>
      </c>
      <c r="E64" s="191">
        <f t="shared" si="16"/>
        <v>0.10565728347998975</v>
      </c>
      <c r="F64" s="191">
        <f t="shared" si="16"/>
        <v>5.0306336886878598E-2</v>
      </c>
      <c r="G64" s="191">
        <f t="shared" si="16"/>
        <v>2.6223219644234925E-2</v>
      </c>
      <c r="H64" s="191">
        <f t="shared" si="16"/>
        <v>1</v>
      </c>
    </row>
    <row r="65" spans="1:8" x14ac:dyDescent="0.2">
      <c r="A65" s="33" t="s">
        <v>84</v>
      </c>
      <c r="B65" s="214">
        <f t="shared" si="15"/>
        <v>5197</v>
      </c>
      <c r="C65" s="191">
        <f t="shared" si="16"/>
        <v>0.65993381791659156</v>
      </c>
      <c r="D65" s="191">
        <f t="shared" si="16"/>
        <v>0.1358333548014895</v>
      </c>
      <c r="E65" s="191">
        <f t="shared" si="16"/>
        <v>0.11606521717619749</v>
      </c>
      <c r="F65" s="191">
        <f t="shared" si="16"/>
        <v>4.9540771325866685E-2</v>
      </c>
      <c r="G65" s="191">
        <f t="shared" si="16"/>
        <v>3.8626838779854789E-2</v>
      </c>
      <c r="H65" s="191">
        <f t="shared" si="16"/>
        <v>1</v>
      </c>
    </row>
    <row r="66" spans="1:8" x14ac:dyDescent="0.2">
      <c r="A66" s="33" t="s">
        <v>85</v>
      </c>
      <c r="B66" s="220">
        <f t="shared" si="15"/>
        <v>1480</v>
      </c>
      <c r="C66" s="193">
        <f t="shared" si="16"/>
        <v>0.57276078173812439</v>
      </c>
      <c r="D66" s="193">
        <f t="shared" si="16"/>
        <v>0.1477209020885096</v>
      </c>
      <c r="E66" s="193">
        <f t="shared" si="16"/>
        <v>0.11272511999063217</v>
      </c>
      <c r="F66" s="193">
        <f t="shared" si="16"/>
        <v>0.15758731353586303</v>
      </c>
      <c r="G66" s="193">
        <f t="shared" si="16"/>
        <v>9.2058826468708107E-3</v>
      </c>
      <c r="H66" s="193">
        <f t="shared" si="16"/>
        <v>1</v>
      </c>
    </row>
    <row r="67" spans="1:8" x14ac:dyDescent="0.2">
      <c r="A67" s="33" t="s">
        <v>104</v>
      </c>
      <c r="B67" s="214">
        <f t="shared" si="15"/>
        <v>42550</v>
      </c>
      <c r="C67" s="191">
        <f t="shared" si="16"/>
        <v>0.69865165732949186</v>
      </c>
      <c r="D67" s="191">
        <f t="shared" si="16"/>
        <v>0.1304093283423593</v>
      </c>
      <c r="E67" s="191">
        <f t="shared" si="16"/>
        <v>8.9323234448772618E-2</v>
      </c>
      <c r="F67" s="191">
        <f t="shared" si="16"/>
        <v>4.6995792564136593E-2</v>
      </c>
      <c r="G67" s="191">
        <f t="shared" si="16"/>
        <v>3.461998731523986E-2</v>
      </c>
      <c r="H67" s="191">
        <f t="shared" si="16"/>
        <v>1</v>
      </c>
    </row>
    <row r="68" spans="1:8" x14ac:dyDescent="0.2">
      <c r="A68" s="33"/>
      <c r="B68" s="214"/>
      <c r="C68" s="191"/>
      <c r="D68" s="191"/>
      <c r="E68" s="191"/>
      <c r="F68" s="191"/>
      <c r="G68" s="191"/>
      <c r="H68" s="191"/>
    </row>
    <row r="69" spans="1:8" x14ac:dyDescent="0.2">
      <c r="A69" s="33" t="s">
        <v>86</v>
      </c>
      <c r="B69" s="214">
        <f>B19</f>
        <v>10157</v>
      </c>
      <c r="C69" s="191">
        <f t="shared" ref="C69:H71" si="17">C43/$H43</f>
        <v>0.71662690284275499</v>
      </c>
      <c r="D69" s="191">
        <f t="shared" si="17"/>
        <v>0.1177675982215567</v>
      </c>
      <c r="E69" s="191">
        <f t="shared" si="17"/>
        <v>9.5254071491432252E-2</v>
      </c>
      <c r="F69" s="191">
        <f t="shared" si="17"/>
        <v>1.946348515912372E-2</v>
      </c>
      <c r="G69" s="191">
        <f t="shared" si="17"/>
        <v>5.0887942285132291E-2</v>
      </c>
      <c r="H69" s="191">
        <f t="shared" si="17"/>
        <v>1</v>
      </c>
    </row>
    <row r="70" spans="1:8" x14ac:dyDescent="0.2">
      <c r="A70" s="33" t="s">
        <v>87</v>
      </c>
      <c r="B70" s="220">
        <f>B20</f>
        <v>7489</v>
      </c>
      <c r="C70" s="193">
        <f t="shared" si="17"/>
        <v>0.68513426624179574</v>
      </c>
      <c r="D70" s="193">
        <f t="shared" si="17"/>
        <v>0.12239485802302011</v>
      </c>
      <c r="E70" s="193">
        <f t="shared" si="17"/>
        <v>0.12094165415162145</v>
      </c>
      <c r="F70" s="193">
        <f t="shared" si="17"/>
        <v>4.7462987412887063E-2</v>
      </c>
      <c r="G70" s="193">
        <f t="shared" si="17"/>
        <v>2.4066234170675518E-2</v>
      </c>
      <c r="H70" s="193">
        <f t="shared" si="17"/>
        <v>1</v>
      </c>
    </row>
    <row r="71" spans="1:8" x14ac:dyDescent="0.2">
      <c r="A71" s="33" t="s">
        <v>105</v>
      </c>
      <c r="B71" s="214">
        <f>B21</f>
        <v>17646</v>
      </c>
      <c r="C71" s="191">
        <f t="shared" si="17"/>
        <v>0.70000270118835939</v>
      </c>
      <c r="D71" s="191">
        <f t="shared" si="17"/>
        <v>0.12021021682543899</v>
      </c>
      <c r="E71" s="191">
        <f t="shared" si="17"/>
        <v>0.10881392548422036</v>
      </c>
      <c r="F71" s="191">
        <f t="shared" si="17"/>
        <v>3.4243745624044253E-2</v>
      </c>
      <c r="G71" s="191">
        <f t="shared" si="17"/>
        <v>3.6729410877937005E-2</v>
      </c>
      <c r="H71" s="191">
        <f t="shared" si="17"/>
        <v>1</v>
      </c>
    </row>
    <row r="72" spans="1:8" x14ac:dyDescent="0.2">
      <c r="A72" s="33"/>
      <c r="B72" s="214"/>
      <c r="C72" s="191"/>
      <c r="D72" s="191"/>
      <c r="E72" s="191"/>
      <c r="F72" s="191"/>
      <c r="G72" s="191"/>
      <c r="H72" s="191"/>
    </row>
    <row r="73" spans="1:8" ht="13.5" thickBot="1" x14ac:dyDescent="0.25">
      <c r="A73" s="33" t="s">
        <v>230</v>
      </c>
      <c r="B73" s="222">
        <f>B71+B67+B60</f>
        <v>149748</v>
      </c>
      <c r="C73" s="195">
        <f t="shared" ref="C73:H73" si="18">C47/$H47</f>
        <v>0.72914537849727434</v>
      </c>
      <c r="D73" s="195">
        <f t="shared" si="18"/>
        <v>0.11696168605559872</v>
      </c>
      <c r="E73" s="195">
        <f t="shared" si="18"/>
        <v>8.6306499367892503E-2</v>
      </c>
      <c r="F73" s="195">
        <f t="shared" si="18"/>
        <v>3.4386197232698049E-2</v>
      </c>
      <c r="G73" s="195">
        <f t="shared" si="18"/>
        <v>3.320023884653648E-2</v>
      </c>
      <c r="H73" s="195">
        <f t="shared" si="18"/>
        <v>1</v>
      </c>
    </row>
    <row r="74" spans="1:8" ht="13.5" thickTop="1" x14ac:dyDescent="0.2">
      <c r="A74" s="33"/>
      <c r="B74" s="182"/>
      <c r="C74" s="33"/>
      <c r="D74" s="33"/>
      <c r="E74" s="33"/>
      <c r="F74" s="33"/>
      <c r="G74" s="33"/>
      <c r="H74" s="191"/>
    </row>
  </sheetData>
  <phoneticPr fontId="7" type="noConversion"/>
  <pageMargins left="0.5" right="0.5" top="0.5" bottom="0.5" header="0.5" footer="0.5"/>
  <pageSetup scale="54" orientation="landscape" verticalDpi="0"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68"/>
  <dimension ref="A1:H74"/>
  <sheetViews>
    <sheetView zoomScaleNormal="100" workbookViewId="0">
      <selection activeCell="P21" sqref="P2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3" max="13" width="14.140625" bestFit="1" customWidth="1"/>
    <col min="14" max="14" width="12.85546875" bestFit="1" customWidth="1"/>
    <col min="15" max="15" width="12.140625" bestFit="1" customWidth="1"/>
    <col min="16" max="16" width="14.42578125" bestFit="1" customWidth="1"/>
    <col min="17" max="17" width="12" bestFit="1" customWidth="1"/>
  </cols>
  <sheetData>
    <row r="1" spans="1:8" x14ac:dyDescent="0.2">
      <c r="A1" s="36" t="s">
        <v>247</v>
      </c>
      <c r="B1" s="22"/>
      <c r="C1" s="22"/>
      <c r="D1" s="22"/>
      <c r="E1" s="22"/>
      <c r="F1" s="22"/>
      <c r="G1" s="22"/>
      <c r="H1" s="22"/>
    </row>
    <row r="2" spans="1:8" x14ac:dyDescent="0.2">
      <c r="A2" s="22" t="s">
        <v>584</v>
      </c>
    </row>
    <row r="3" spans="1:8" ht="33.75" x14ac:dyDescent="0.2">
      <c r="A3" s="22" t="s">
        <v>245</v>
      </c>
      <c r="B3" s="21" t="s">
        <v>593</v>
      </c>
      <c r="C3" s="141" t="s">
        <v>585</v>
      </c>
      <c r="D3" s="141" t="s">
        <v>586</v>
      </c>
      <c r="E3" s="141" t="s">
        <v>587</v>
      </c>
      <c r="F3" s="141" t="s">
        <v>588</v>
      </c>
      <c r="G3" s="141" t="s">
        <v>589</v>
      </c>
      <c r="H3" s="141" t="s">
        <v>590</v>
      </c>
    </row>
    <row r="4" spans="1:8" x14ac:dyDescent="0.2">
      <c r="A4" s="182" t="s">
        <v>102</v>
      </c>
      <c r="B4" s="221">
        <v>37120</v>
      </c>
      <c r="C4" s="221">
        <v>239600281.72999999</v>
      </c>
      <c r="D4" s="221">
        <v>30770137.850000001</v>
      </c>
      <c r="E4" s="221">
        <v>15502938.25</v>
      </c>
      <c r="F4" s="221">
        <v>5075245.13</v>
      </c>
      <c r="G4" s="221">
        <v>9162199.9799999986</v>
      </c>
      <c r="H4" s="214">
        <f t="shared" ref="H4:H9" si="0">SUM(C4:G4)</f>
        <v>300110802.94</v>
      </c>
    </row>
    <row r="5" spans="1:8" x14ac:dyDescent="0.2">
      <c r="A5" s="33" t="s">
        <v>76</v>
      </c>
      <c r="B5" s="221">
        <v>18592</v>
      </c>
      <c r="C5" s="221">
        <v>127964241.63000001</v>
      </c>
      <c r="D5" s="221">
        <v>14702956.239999998</v>
      </c>
      <c r="E5" s="221">
        <v>13226875.459999999</v>
      </c>
      <c r="F5" s="221">
        <v>13469789.389999999</v>
      </c>
      <c r="G5" s="221">
        <v>8020578.5200000014</v>
      </c>
      <c r="H5" s="214">
        <f t="shared" si="0"/>
        <v>177384441.24000001</v>
      </c>
    </row>
    <row r="6" spans="1:8" x14ac:dyDescent="0.2">
      <c r="A6" s="33" t="s">
        <v>77</v>
      </c>
      <c r="B6" s="221">
        <v>11316</v>
      </c>
      <c r="C6" s="221">
        <v>79751177.609999985</v>
      </c>
      <c r="D6" s="221">
        <v>10940056.770000003</v>
      </c>
      <c r="E6" s="221">
        <v>10189502.689999998</v>
      </c>
      <c r="F6" s="221">
        <v>3658061.13</v>
      </c>
      <c r="G6" s="221">
        <v>2313821.42</v>
      </c>
      <c r="H6" s="214">
        <f t="shared" si="0"/>
        <v>106852619.61999999</v>
      </c>
    </row>
    <row r="7" spans="1:8" x14ac:dyDescent="0.2">
      <c r="A7" s="33" t="s">
        <v>78</v>
      </c>
      <c r="B7" s="221">
        <v>15720</v>
      </c>
      <c r="C7" s="221">
        <v>103017821.23999996</v>
      </c>
      <c r="D7" s="221">
        <v>16011955.919999994</v>
      </c>
      <c r="E7" s="221">
        <v>15041778.840000002</v>
      </c>
      <c r="F7" s="221">
        <v>4636671.51</v>
      </c>
      <c r="G7" s="221">
        <v>6005088.9399999995</v>
      </c>
      <c r="H7" s="214">
        <f t="shared" si="0"/>
        <v>144713316.44999996</v>
      </c>
    </row>
    <row r="8" spans="1:8" x14ac:dyDescent="0.2">
      <c r="A8" s="33" t="s">
        <v>79</v>
      </c>
      <c r="B8" s="221">
        <v>5238</v>
      </c>
      <c r="C8" s="221">
        <v>39026853.800000027</v>
      </c>
      <c r="D8" s="221">
        <v>7862384.2499999972</v>
      </c>
      <c r="E8" s="221">
        <v>6933511.6999999993</v>
      </c>
      <c r="F8" s="221">
        <v>3545459.7</v>
      </c>
      <c r="G8" s="221">
        <v>676026.09</v>
      </c>
      <c r="H8" s="214">
        <f t="shared" si="0"/>
        <v>58044235.540000036</v>
      </c>
    </row>
    <row r="9" spans="1:8" x14ac:dyDescent="0.2">
      <c r="A9" s="33" t="s">
        <v>80</v>
      </c>
      <c r="B9" s="233">
        <v>1630</v>
      </c>
      <c r="C9" s="234">
        <v>10035031.719999997</v>
      </c>
      <c r="D9" s="220">
        <v>3138031.76</v>
      </c>
      <c r="E9" s="220">
        <v>2601784.14</v>
      </c>
      <c r="F9" s="220">
        <v>558111.72</v>
      </c>
      <c r="G9" s="220">
        <v>91245</v>
      </c>
      <c r="H9" s="220">
        <f t="shared" si="0"/>
        <v>16424204.339999998</v>
      </c>
    </row>
    <row r="10" spans="1:8" x14ac:dyDescent="0.2">
      <c r="A10" s="33" t="s">
        <v>103</v>
      </c>
      <c r="B10" s="221">
        <f t="shared" ref="B10:H10" si="1">SUM(B4:B9)</f>
        <v>89616</v>
      </c>
      <c r="C10" s="221">
        <f t="shared" si="1"/>
        <v>599395407.73000014</v>
      </c>
      <c r="D10" s="221">
        <f t="shared" si="1"/>
        <v>83425522.790000007</v>
      </c>
      <c r="E10" s="221">
        <f t="shared" si="1"/>
        <v>63496391.079999998</v>
      </c>
      <c r="F10" s="221">
        <f t="shared" si="1"/>
        <v>30943338.579999994</v>
      </c>
      <c r="G10" s="221">
        <f t="shared" si="1"/>
        <v>26268959.949999999</v>
      </c>
      <c r="H10" s="214">
        <f t="shared" si="1"/>
        <v>803529620.13</v>
      </c>
    </row>
    <row r="11" spans="1:8" x14ac:dyDescent="0.2">
      <c r="A11" s="33"/>
      <c r="B11" s="182"/>
      <c r="C11" s="221"/>
      <c r="D11" s="221"/>
      <c r="E11" s="221"/>
      <c r="F11" s="221"/>
      <c r="G11" s="221"/>
      <c r="H11" s="214"/>
    </row>
    <row r="12" spans="1:8" x14ac:dyDescent="0.2">
      <c r="A12" s="33" t="s">
        <v>81</v>
      </c>
      <c r="B12" s="221">
        <v>22683</v>
      </c>
      <c r="C12" s="221">
        <v>146235437.32999998</v>
      </c>
      <c r="D12" s="221">
        <v>28329075.84</v>
      </c>
      <c r="E12" s="221">
        <v>15377951.370000001</v>
      </c>
      <c r="F12" s="221">
        <v>4824362.03</v>
      </c>
      <c r="G12" s="221">
        <v>9091725.629999999</v>
      </c>
      <c r="H12" s="214">
        <f>SUM(C12:G12)</f>
        <v>203858552.19999999</v>
      </c>
    </row>
    <row r="13" spans="1:8" x14ac:dyDescent="0.2">
      <c r="A13" s="33" t="s">
        <v>82</v>
      </c>
      <c r="B13" s="221">
        <v>8960</v>
      </c>
      <c r="C13" s="221">
        <v>60641603.24000001</v>
      </c>
      <c r="D13" s="221">
        <v>7958612.6999999993</v>
      </c>
      <c r="E13" s="221">
        <v>8346874.0899999989</v>
      </c>
      <c r="F13" s="221">
        <v>6115886.6399999987</v>
      </c>
      <c r="G13" s="221">
        <v>1641040.67</v>
      </c>
      <c r="H13" s="214">
        <f>SUM(C13:G13)</f>
        <v>84704017.340000018</v>
      </c>
    </row>
    <row r="14" spans="1:8" x14ac:dyDescent="0.2">
      <c r="A14" s="33" t="s">
        <v>83</v>
      </c>
      <c r="B14" s="221">
        <v>4842</v>
      </c>
      <c r="C14" s="221">
        <v>35668079.210000001</v>
      </c>
      <c r="D14" s="221">
        <v>6513495.2599999998</v>
      </c>
      <c r="E14" s="221">
        <v>5455501.7500000009</v>
      </c>
      <c r="F14" s="221">
        <v>3462072.81</v>
      </c>
      <c r="G14" s="221">
        <v>1649363</v>
      </c>
      <c r="H14" s="214">
        <f>SUM(C14:G14)</f>
        <v>52748512.030000001</v>
      </c>
    </row>
    <row r="15" spans="1:8" x14ac:dyDescent="0.2">
      <c r="A15" s="33" t="s">
        <v>84</v>
      </c>
      <c r="B15" s="221">
        <v>4878</v>
      </c>
      <c r="C15" s="221">
        <v>39788915.200000003</v>
      </c>
      <c r="D15" s="221">
        <v>8365123.7899999991</v>
      </c>
      <c r="E15" s="221">
        <v>7141119.919999999</v>
      </c>
      <c r="F15" s="221">
        <v>3097997.02</v>
      </c>
      <c r="G15" s="221">
        <v>2108870.4300000002</v>
      </c>
      <c r="H15" s="214">
        <f>SUM(C15:G15)</f>
        <v>60502026.360000007</v>
      </c>
    </row>
    <row r="16" spans="1:8" x14ac:dyDescent="0.2">
      <c r="A16" s="33" t="s">
        <v>85</v>
      </c>
      <c r="B16" s="233">
        <v>1657</v>
      </c>
      <c r="C16" s="234">
        <v>17813921.819999997</v>
      </c>
      <c r="D16" s="220">
        <v>4890349.4400000004</v>
      </c>
      <c r="E16" s="220">
        <v>3655904.27</v>
      </c>
      <c r="F16" s="220">
        <v>3134684.41</v>
      </c>
      <c r="G16" s="220">
        <v>245526.42</v>
      </c>
      <c r="H16" s="220">
        <f>SUM(C16:G16)</f>
        <v>29740386.359999999</v>
      </c>
    </row>
    <row r="17" spans="1:8" x14ac:dyDescent="0.2">
      <c r="A17" s="33" t="s">
        <v>104</v>
      </c>
      <c r="B17" s="221">
        <f t="shared" ref="B17:H17" si="2">SUM(B12:B16)</f>
        <v>43020</v>
      </c>
      <c r="C17" s="221">
        <f t="shared" si="2"/>
        <v>300147956.80000001</v>
      </c>
      <c r="D17" s="221">
        <f t="shared" si="2"/>
        <v>56056657.029999994</v>
      </c>
      <c r="E17" s="221">
        <f t="shared" si="2"/>
        <v>39977351.400000006</v>
      </c>
      <c r="F17" s="221">
        <f t="shared" si="2"/>
        <v>20635002.91</v>
      </c>
      <c r="G17" s="221">
        <f t="shared" si="2"/>
        <v>14736526.149999999</v>
      </c>
      <c r="H17" s="221">
        <f t="shared" si="2"/>
        <v>431553494.29000008</v>
      </c>
    </row>
    <row r="18" spans="1:8" x14ac:dyDescent="0.2">
      <c r="A18" s="33"/>
      <c r="B18" s="182"/>
      <c r="C18" s="221"/>
      <c r="D18" s="221"/>
      <c r="E18" s="221"/>
      <c r="F18" s="221"/>
      <c r="G18" s="221"/>
      <c r="H18" s="214"/>
    </row>
    <row r="19" spans="1:8" x14ac:dyDescent="0.2">
      <c r="A19" s="33" t="s">
        <v>86</v>
      </c>
      <c r="B19" s="221">
        <v>10550</v>
      </c>
      <c r="C19" s="221">
        <v>64688224.790000007</v>
      </c>
      <c r="D19" s="221">
        <v>10564024.32</v>
      </c>
      <c r="E19" s="221">
        <v>7844537.8099999996</v>
      </c>
      <c r="F19" s="221">
        <v>1950404.31</v>
      </c>
      <c r="G19" s="221">
        <v>3967567.64</v>
      </c>
      <c r="H19" s="214">
        <f>SUM(C19:G19)</f>
        <v>89014758.87000002</v>
      </c>
    </row>
    <row r="20" spans="1:8" x14ac:dyDescent="0.2">
      <c r="A20" s="33" t="s">
        <v>87</v>
      </c>
      <c r="B20" s="233">
        <v>6971</v>
      </c>
      <c r="C20" s="234">
        <v>60288189.399999999</v>
      </c>
      <c r="D20" s="220">
        <v>10977330.83</v>
      </c>
      <c r="E20" s="220">
        <v>10387398.439999996</v>
      </c>
      <c r="F20" s="220">
        <v>4436475.28</v>
      </c>
      <c r="G20" s="220">
        <v>1787677.98</v>
      </c>
      <c r="H20" s="220">
        <f>SUM(C20:G20)</f>
        <v>87877071.930000007</v>
      </c>
    </row>
    <row r="21" spans="1:8" x14ac:dyDescent="0.2">
      <c r="A21" s="33" t="s">
        <v>105</v>
      </c>
      <c r="B21" s="221">
        <f t="shared" ref="B21:H21" si="3">SUM(B19:B20)</f>
        <v>17521</v>
      </c>
      <c r="C21" s="221">
        <f t="shared" si="3"/>
        <v>124976414.19</v>
      </c>
      <c r="D21" s="221">
        <f t="shared" si="3"/>
        <v>21541355.149999999</v>
      </c>
      <c r="E21" s="221">
        <f t="shared" si="3"/>
        <v>18231936.249999996</v>
      </c>
      <c r="F21" s="221">
        <f t="shared" si="3"/>
        <v>6386879.5899999999</v>
      </c>
      <c r="G21" s="221">
        <f t="shared" si="3"/>
        <v>5755245.6200000001</v>
      </c>
      <c r="H21" s="221">
        <f t="shared" si="3"/>
        <v>176891830.80000001</v>
      </c>
    </row>
    <row r="22" spans="1:8" x14ac:dyDescent="0.2">
      <c r="A22" s="33"/>
      <c r="B22" s="214"/>
      <c r="C22" s="214"/>
      <c r="D22" s="214"/>
      <c r="E22" s="214"/>
      <c r="F22" s="214"/>
      <c r="G22" s="214"/>
      <c r="H22" s="214"/>
    </row>
    <row r="23" spans="1:8" ht="13.5" thickBot="1" x14ac:dyDescent="0.25">
      <c r="A23" s="33" t="s">
        <v>209</v>
      </c>
      <c r="B23" s="222">
        <f t="shared" ref="B23:H23" si="4">B21+B17+B10</f>
        <v>150157</v>
      </c>
      <c r="C23" s="222">
        <f t="shared" si="4"/>
        <v>1024519778.7200001</v>
      </c>
      <c r="D23" s="222">
        <f t="shared" si="4"/>
        <v>161023534.97</v>
      </c>
      <c r="E23" s="222">
        <f t="shared" si="4"/>
        <v>121705678.73</v>
      </c>
      <c r="F23" s="222">
        <f t="shared" si="4"/>
        <v>57965221.079999998</v>
      </c>
      <c r="G23" s="222">
        <f t="shared" si="4"/>
        <v>46760731.719999999</v>
      </c>
      <c r="H23" s="222">
        <f t="shared" si="4"/>
        <v>1411974945.2200003</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592</v>
      </c>
      <c r="B26" s="22"/>
      <c r="C26" s="22"/>
      <c r="D26" s="22"/>
      <c r="E26" s="22"/>
      <c r="F26" s="22"/>
      <c r="G26" s="22"/>
      <c r="H26" s="22"/>
    </row>
    <row r="27" spans="1:8" ht="33.75" x14ac:dyDescent="0.2">
      <c r="A27" s="155" t="s">
        <v>245</v>
      </c>
      <c r="B27" s="155" t="str">
        <f>B3</f>
        <v>ANB08</v>
      </c>
      <c r="C27" s="141" t="s">
        <v>585</v>
      </c>
      <c r="D27" s="141" t="s">
        <v>586</v>
      </c>
      <c r="E27" s="141" t="s">
        <v>587</v>
      </c>
      <c r="F27" s="141" t="s">
        <v>588</v>
      </c>
      <c r="G27" s="141" t="s">
        <v>589</v>
      </c>
      <c r="H27" s="141" t="s">
        <v>590</v>
      </c>
    </row>
    <row r="28" spans="1:8" x14ac:dyDescent="0.2">
      <c r="A28" s="33" t="s">
        <v>102</v>
      </c>
      <c r="B28" s="214">
        <f t="shared" ref="B28:B34" si="5">B4</f>
        <v>37120</v>
      </c>
      <c r="C28" s="182">
        <f t="shared" ref="C28:H34" si="6">C4/$B28</f>
        <v>6454.7489690193961</v>
      </c>
      <c r="D28" s="182">
        <f t="shared" si="6"/>
        <v>828.93690328663797</v>
      </c>
      <c r="E28" s="182">
        <f t="shared" si="6"/>
        <v>417.64381061422415</v>
      </c>
      <c r="F28" s="182">
        <f t="shared" si="6"/>
        <v>136.72535371767242</v>
      </c>
      <c r="G28" s="182">
        <f t="shared" si="6"/>
        <v>246.82650808189652</v>
      </c>
      <c r="H28" s="182">
        <f t="shared" si="6"/>
        <v>8084.8815447198276</v>
      </c>
    </row>
    <row r="29" spans="1:8" x14ac:dyDescent="0.2">
      <c r="A29" s="33" t="s">
        <v>76</v>
      </c>
      <c r="B29" s="214">
        <f t="shared" si="5"/>
        <v>18592</v>
      </c>
      <c r="C29" s="182">
        <f t="shared" si="6"/>
        <v>6882.7582632314979</v>
      </c>
      <c r="D29" s="182">
        <f t="shared" si="6"/>
        <v>790.82165662650596</v>
      </c>
      <c r="E29" s="182">
        <f t="shared" si="6"/>
        <v>711.42832723752144</v>
      </c>
      <c r="F29" s="182">
        <f t="shared" si="6"/>
        <v>724.49383552065399</v>
      </c>
      <c r="G29" s="182">
        <f t="shared" si="6"/>
        <v>431.39944707401042</v>
      </c>
      <c r="H29" s="182">
        <f t="shared" si="6"/>
        <v>9540.9015296901907</v>
      </c>
    </row>
    <row r="30" spans="1:8" x14ac:dyDescent="0.2">
      <c r="A30" s="33" t="s">
        <v>77</v>
      </c>
      <c r="B30" s="214">
        <f t="shared" si="5"/>
        <v>11316</v>
      </c>
      <c r="C30" s="182">
        <f t="shared" si="6"/>
        <v>7047.647367444325</v>
      </c>
      <c r="D30" s="182">
        <f t="shared" si="6"/>
        <v>966.77772799575848</v>
      </c>
      <c r="E30" s="182">
        <f t="shared" si="6"/>
        <v>900.45092700600901</v>
      </c>
      <c r="F30" s="182">
        <f t="shared" si="6"/>
        <v>323.26450424178154</v>
      </c>
      <c r="G30" s="182">
        <f t="shared" si="6"/>
        <v>204.47343761046307</v>
      </c>
      <c r="H30" s="182">
        <f t="shared" si="6"/>
        <v>9442.613964298338</v>
      </c>
    </row>
    <row r="31" spans="1:8" x14ac:dyDescent="0.2">
      <c r="A31" s="33" t="s">
        <v>78</v>
      </c>
      <c r="B31" s="214">
        <f t="shared" si="5"/>
        <v>15720</v>
      </c>
      <c r="C31" s="182">
        <f t="shared" si="6"/>
        <v>6553.296516539438</v>
      </c>
      <c r="D31" s="182">
        <f t="shared" si="6"/>
        <v>1018.5722595419844</v>
      </c>
      <c r="E31" s="182">
        <f t="shared" si="6"/>
        <v>956.85616030534356</v>
      </c>
      <c r="F31" s="182">
        <f t="shared" si="6"/>
        <v>294.95365839694654</v>
      </c>
      <c r="G31" s="182">
        <f t="shared" si="6"/>
        <v>382.00311323155211</v>
      </c>
      <c r="H31" s="182">
        <f t="shared" si="6"/>
        <v>9205.681708015265</v>
      </c>
    </row>
    <row r="32" spans="1:8" x14ac:dyDescent="0.2">
      <c r="A32" s="33" t="s">
        <v>79</v>
      </c>
      <c r="B32" s="214">
        <f t="shared" si="5"/>
        <v>5238</v>
      </c>
      <c r="C32" s="182">
        <f t="shared" si="6"/>
        <v>7450.7166475754157</v>
      </c>
      <c r="D32" s="182">
        <f t="shared" si="6"/>
        <v>1501.0279209621988</v>
      </c>
      <c r="E32" s="182">
        <f t="shared" si="6"/>
        <v>1323.6944826269566</v>
      </c>
      <c r="F32" s="182">
        <f t="shared" si="6"/>
        <v>676.87279495990845</v>
      </c>
      <c r="G32" s="182">
        <f t="shared" si="6"/>
        <v>129.06187285223368</v>
      </c>
      <c r="H32" s="182">
        <f t="shared" si="6"/>
        <v>11081.373718976716</v>
      </c>
    </row>
    <row r="33" spans="1:8" x14ac:dyDescent="0.2">
      <c r="A33" s="33" t="s">
        <v>80</v>
      </c>
      <c r="B33" s="220">
        <f t="shared" si="5"/>
        <v>1630</v>
      </c>
      <c r="C33" s="183">
        <f t="shared" si="6"/>
        <v>6156.4611779141087</v>
      </c>
      <c r="D33" s="183">
        <f t="shared" si="6"/>
        <v>1925.1728588957053</v>
      </c>
      <c r="E33" s="183">
        <f t="shared" si="6"/>
        <v>1596.1865889570554</v>
      </c>
      <c r="F33" s="183">
        <f t="shared" si="6"/>
        <v>342.39982822085886</v>
      </c>
      <c r="G33" s="183">
        <f t="shared" si="6"/>
        <v>55.978527607361961</v>
      </c>
      <c r="H33" s="183">
        <f t="shared" si="6"/>
        <v>10076.198981595091</v>
      </c>
    </row>
    <row r="34" spans="1:8" x14ac:dyDescent="0.2">
      <c r="A34" s="33" t="s">
        <v>103</v>
      </c>
      <c r="B34" s="214">
        <f t="shared" si="5"/>
        <v>89616</v>
      </c>
      <c r="C34" s="182">
        <f t="shared" si="6"/>
        <v>6688.4865172513855</v>
      </c>
      <c r="D34" s="182">
        <f t="shared" si="6"/>
        <v>930.92218789055528</v>
      </c>
      <c r="E34" s="182">
        <f t="shared" si="6"/>
        <v>708.53855427602207</v>
      </c>
      <c r="F34" s="182">
        <f t="shared" si="6"/>
        <v>345.28810234779496</v>
      </c>
      <c r="G34" s="182">
        <f t="shared" si="6"/>
        <v>293.12801229691127</v>
      </c>
      <c r="H34" s="182">
        <f t="shared" si="6"/>
        <v>8966.3633740626665</v>
      </c>
    </row>
    <row r="35" spans="1:8" x14ac:dyDescent="0.2">
      <c r="A35" s="33"/>
      <c r="B35" s="214"/>
      <c r="C35" s="182"/>
      <c r="D35" s="182"/>
      <c r="E35" s="182"/>
      <c r="F35" s="182"/>
      <c r="G35" s="182"/>
      <c r="H35" s="182"/>
    </row>
    <row r="36" spans="1:8" x14ac:dyDescent="0.2">
      <c r="A36" s="33" t="s">
        <v>81</v>
      </c>
      <c r="B36" s="214">
        <f t="shared" ref="B36:B41" si="7">B12</f>
        <v>22683</v>
      </c>
      <c r="C36" s="182">
        <f t="shared" ref="C36:H41" si="8">C12/$B36</f>
        <v>6446.9178384693378</v>
      </c>
      <c r="D36" s="182">
        <f t="shared" si="8"/>
        <v>1248.9122179605872</v>
      </c>
      <c r="E36" s="182">
        <f t="shared" si="8"/>
        <v>677.9505078693295</v>
      </c>
      <c r="F36" s="182">
        <f t="shared" si="8"/>
        <v>212.68624211964908</v>
      </c>
      <c r="G36" s="182">
        <f t="shared" si="8"/>
        <v>400.81671868800419</v>
      </c>
      <c r="H36" s="182">
        <f t="shared" si="8"/>
        <v>8987.2835251069082</v>
      </c>
    </row>
    <row r="37" spans="1:8" x14ac:dyDescent="0.2">
      <c r="A37" s="33" t="s">
        <v>82</v>
      </c>
      <c r="B37" s="214">
        <f t="shared" si="7"/>
        <v>8960</v>
      </c>
      <c r="C37" s="182">
        <f t="shared" si="8"/>
        <v>6768.0360758928582</v>
      </c>
      <c r="D37" s="182">
        <f t="shared" si="8"/>
        <v>888.23802455357134</v>
      </c>
      <c r="E37" s="182">
        <f t="shared" si="8"/>
        <v>931.57076897321417</v>
      </c>
      <c r="F37" s="182">
        <f t="shared" si="8"/>
        <v>682.57663392857125</v>
      </c>
      <c r="G37" s="182">
        <f t="shared" si="8"/>
        <v>183.15186049107143</v>
      </c>
      <c r="H37" s="182">
        <f t="shared" si="8"/>
        <v>9453.5733638392885</v>
      </c>
    </row>
    <row r="38" spans="1:8" x14ac:dyDescent="0.2">
      <c r="A38" s="33" t="s">
        <v>83</v>
      </c>
      <c r="B38" s="214">
        <f t="shared" si="7"/>
        <v>4842</v>
      </c>
      <c r="C38" s="182">
        <f t="shared" si="8"/>
        <v>7366.3938888888888</v>
      </c>
      <c r="D38" s="182">
        <f t="shared" si="8"/>
        <v>1345.2076125567946</v>
      </c>
      <c r="E38" s="182">
        <f t="shared" si="8"/>
        <v>1126.7042028087569</v>
      </c>
      <c r="F38" s="182">
        <f t="shared" si="8"/>
        <v>715.00884138785625</v>
      </c>
      <c r="G38" s="182">
        <f t="shared" si="8"/>
        <v>340.63672036348618</v>
      </c>
      <c r="H38" s="182">
        <f t="shared" si="8"/>
        <v>10893.951266005783</v>
      </c>
    </row>
    <row r="39" spans="1:8" x14ac:dyDescent="0.2">
      <c r="A39" s="33" t="s">
        <v>84</v>
      </c>
      <c r="B39" s="214">
        <f t="shared" si="7"/>
        <v>4878</v>
      </c>
      <c r="C39" s="182">
        <f t="shared" si="8"/>
        <v>8156.8091840918414</v>
      </c>
      <c r="D39" s="182">
        <f t="shared" si="8"/>
        <v>1714.8675256252561</v>
      </c>
      <c r="E39" s="182">
        <f t="shared" si="8"/>
        <v>1463.9442230422303</v>
      </c>
      <c r="F39" s="182">
        <f t="shared" si="8"/>
        <v>635.09574005740058</v>
      </c>
      <c r="G39" s="182">
        <f t="shared" si="8"/>
        <v>432.3227613776138</v>
      </c>
      <c r="H39" s="182">
        <f t="shared" si="8"/>
        <v>12403.039434194343</v>
      </c>
    </row>
    <row r="40" spans="1:8" x14ac:dyDescent="0.2">
      <c r="A40" s="33" t="s">
        <v>85</v>
      </c>
      <c r="B40" s="220">
        <f t="shared" si="7"/>
        <v>1657</v>
      </c>
      <c r="C40" s="183">
        <f t="shared" si="8"/>
        <v>10750.707193723594</v>
      </c>
      <c r="D40" s="183">
        <f t="shared" si="8"/>
        <v>2951.3273627036815</v>
      </c>
      <c r="E40" s="183">
        <f t="shared" si="8"/>
        <v>2206.3393301146652</v>
      </c>
      <c r="F40" s="183">
        <f t="shared" si="8"/>
        <v>1891.7829873264936</v>
      </c>
      <c r="G40" s="183">
        <f t="shared" si="8"/>
        <v>148.1752685576343</v>
      </c>
      <c r="H40" s="183">
        <f t="shared" si="8"/>
        <v>17948.332142426072</v>
      </c>
    </row>
    <row r="41" spans="1:8" x14ac:dyDescent="0.2">
      <c r="A41" s="33" t="s">
        <v>104</v>
      </c>
      <c r="B41" s="214">
        <f t="shared" si="7"/>
        <v>43020</v>
      </c>
      <c r="C41" s="182">
        <f t="shared" si="8"/>
        <v>6976.9399535099956</v>
      </c>
      <c r="D41" s="182">
        <f t="shared" si="8"/>
        <v>1303.037122966062</v>
      </c>
      <c r="E41" s="182">
        <f t="shared" si="8"/>
        <v>929.27362622036276</v>
      </c>
      <c r="F41" s="182">
        <f t="shared" si="8"/>
        <v>479.66069060901907</v>
      </c>
      <c r="G41" s="182">
        <f t="shared" si="8"/>
        <v>342.5505846118084</v>
      </c>
      <c r="H41" s="182">
        <f t="shared" si="8"/>
        <v>10031.46197791725</v>
      </c>
    </row>
    <row r="42" spans="1:8" x14ac:dyDescent="0.2">
      <c r="A42" s="33"/>
      <c r="B42" s="214"/>
      <c r="C42" s="182"/>
      <c r="D42" s="182"/>
      <c r="E42" s="182"/>
      <c r="F42" s="182"/>
      <c r="G42" s="182"/>
      <c r="H42" s="182"/>
    </row>
    <row r="43" spans="1:8" x14ac:dyDescent="0.2">
      <c r="A43" s="33" t="s">
        <v>86</v>
      </c>
      <c r="B43" s="214">
        <f>B19</f>
        <v>10550</v>
      </c>
      <c r="C43" s="182">
        <f t="shared" ref="C43:H45" si="9">C19/$B43</f>
        <v>6131.5852881516594</v>
      </c>
      <c r="D43" s="182">
        <f t="shared" si="9"/>
        <v>1001.3293194312796</v>
      </c>
      <c r="E43" s="182">
        <f t="shared" si="9"/>
        <v>743.55808625592408</v>
      </c>
      <c r="F43" s="182">
        <f t="shared" si="9"/>
        <v>184.87244644549764</v>
      </c>
      <c r="G43" s="182">
        <f t="shared" si="9"/>
        <v>376.07276208530806</v>
      </c>
      <c r="H43" s="182">
        <f t="shared" si="9"/>
        <v>8437.4179023696706</v>
      </c>
    </row>
    <row r="44" spans="1:8" x14ac:dyDescent="0.2">
      <c r="A44" s="33" t="s">
        <v>87</v>
      </c>
      <c r="B44" s="220">
        <f>B20</f>
        <v>6971</v>
      </c>
      <c r="C44" s="183">
        <f t="shared" si="9"/>
        <v>8648.4276861282451</v>
      </c>
      <c r="D44" s="183">
        <f t="shared" si="9"/>
        <v>1574.7139334385311</v>
      </c>
      <c r="E44" s="183">
        <f t="shared" si="9"/>
        <v>1490.0872815951793</v>
      </c>
      <c r="F44" s="183">
        <f t="shared" si="9"/>
        <v>636.41877492468802</v>
      </c>
      <c r="G44" s="183">
        <f t="shared" si="9"/>
        <v>256.44498350308419</v>
      </c>
      <c r="H44" s="183">
        <f t="shared" si="9"/>
        <v>12606.092659589729</v>
      </c>
    </row>
    <row r="45" spans="1:8" x14ac:dyDescent="0.2">
      <c r="A45" s="33" t="s">
        <v>105</v>
      </c>
      <c r="B45" s="214">
        <f>B21</f>
        <v>17521</v>
      </c>
      <c r="C45" s="182">
        <f t="shared" si="9"/>
        <v>7132.9498424747444</v>
      </c>
      <c r="D45" s="182">
        <f t="shared" si="9"/>
        <v>1229.4592289252896</v>
      </c>
      <c r="E45" s="182">
        <f t="shared" si="9"/>
        <v>1040.576237086924</v>
      </c>
      <c r="F45" s="182">
        <f t="shared" si="9"/>
        <v>364.52711546144627</v>
      </c>
      <c r="G45" s="182">
        <f t="shared" si="9"/>
        <v>328.4770058786599</v>
      </c>
      <c r="H45" s="182">
        <f t="shared" si="9"/>
        <v>10095.989429827065</v>
      </c>
    </row>
    <row r="46" spans="1:8" x14ac:dyDescent="0.2">
      <c r="A46" s="33"/>
      <c r="B46" s="214"/>
      <c r="C46" s="182"/>
      <c r="D46" s="182"/>
      <c r="E46" s="182"/>
      <c r="F46" s="182"/>
      <c r="G46" s="182"/>
      <c r="H46" s="182"/>
    </row>
    <row r="47" spans="1:8" ht="13.5" thickBot="1" x14ac:dyDescent="0.25">
      <c r="A47" s="33" t="s">
        <v>209</v>
      </c>
      <c r="B47" s="222">
        <f>B23</f>
        <v>150157</v>
      </c>
      <c r="C47" s="192">
        <f t="shared" ref="C47:H47" si="10">C23/$B47</f>
        <v>6822.9904614503494</v>
      </c>
      <c r="D47" s="192">
        <f t="shared" si="10"/>
        <v>1072.3678214801841</v>
      </c>
      <c r="E47" s="192">
        <f t="shared" si="10"/>
        <v>810.52284428964356</v>
      </c>
      <c r="F47" s="192">
        <f t="shared" si="10"/>
        <v>386.0307616694526</v>
      </c>
      <c r="G47" s="192">
        <f t="shared" si="10"/>
        <v>311.41226662759647</v>
      </c>
      <c r="H47" s="192">
        <f t="shared" si="10"/>
        <v>9403.3241555172262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591</v>
      </c>
      <c r="B52" s="182"/>
      <c r="C52" s="182"/>
      <c r="D52" s="182"/>
      <c r="E52" s="182"/>
      <c r="F52" s="182"/>
      <c r="G52" s="182"/>
      <c r="H52" s="182"/>
    </row>
    <row r="53" spans="1:8" ht="33.75" x14ac:dyDescent="0.2">
      <c r="A53" s="155" t="s">
        <v>245</v>
      </c>
      <c r="B53" s="155" t="str">
        <f>B3</f>
        <v>ANB08</v>
      </c>
      <c r="C53" s="141" t="s">
        <v>585</v>
      </c>
      <c r="D53" s="141" t="s">
        <v>586</v>
      </c>
      <c r="E53" s="141" t="s">
        <v>587</v>
      </c>
      <c r="F53" s="141" t="s">
        <v>588</v>
      </c>
      <c r="G53" s="141" t="s">
        <v>589</v>
      </c>
      <c r="H53" s="141" t="s">
        <v>590</v>
      </c>
    </row>
    <row r="54" spans="1:8" x14ac:dyDescent="0.2">
      <c r="A54" s="33" t="s">
        <v>102</v>
      </c>
      <c r="B54" s="214">
        <f t="shared" ref="B54:B59" si="11">B4</f>
        <v>37120</v>
      </c>
      <c r="C54" s="191">
        <f t="shared" ref="C54:H60" si="12">C28/$H28</f>
        <v>0.79837273228015837</v>
      </c>
      <c r="D54" s="191">
        <f t="shared" si="12"/>
        <v>0.10252925768937333</v>
      </c>
      <c r="E54" s="191">
        <f t="shared" si="12"/>
        <v>5.1657381534177704E-2</v>
      </c>
      <c r="F54" s="191">
        <f t="shared" si="12"/>
        <v>1.6911237717139673E-2</v>
      </c>
      <c r="G54" s="191">
        <f t="shared" si="12"/>
        <v>3.0529390779150865E-2</v>
      </c>
      <c r="H54" s="191">
        <f t="shared" si="12"/>
        <v>1</v>
      </c>
    </row>
    <row r="55" spans="1:8" x14ac:dyDescent="0.2">
      <c r="A55" s="33" t="s">
        <v>76</v>
      </c>
      <c r="B55" s="214">
        <f t="shared" si="11"/>
        <v>18592</v>
      </c>
      <c r="C55" s="191">
        <f t="shared" si="12"/>
        <v>0.72139495851761426</v>
      </c>
      <c r="D55" s="191">
        <f t="shared" si="12"/>
        <v>8.2887518979790298E-2</v>
      </c>
      <c r="E55" s="191">
        <f t="shared" si="12"/>
        <v>7.4566153420998857E-2</v>
      </c>
      <c r="F55" s="191">
        <f t="shared" si="12"/>
        <v>7.5935574145285151E-2</v>
      </c>
      <c r="G55" s="191">
        <f t="shared" si="12"/>
        <v>4.5215794936311296E-2</v>
      </c>
      <c r="H55" s="191">
        <f t="shared" si="12"/>
        <v>1</v>
      </c>
    </row>
    <row r="56" spans="1:8" x14ac:dyDescent="0.2">
      <c r="A56" s="33" t="s">
        <v>77</v>
      </c>
      <c r="B56" s="214">
        <f t="shared" si="11"/>
        <v>11316</v>
      </c>
      <c r="C56" s="191">
        <f t="shared" si="12"/>
        <v>0.74636614332544327</v>
      </c>
      <c r="D56" s="191">
        <f t="shared" si="12"/>
        <v>0.10238454432756193</v>
      </c>
      <c r="E56" s="191">
        <f t="shared" si="12"/>
        <v>9.5360345176720332E-2</v>
      </c>
      <c r="F56" s="191">
        <f t="shared" si="12"/>
        <v>3.4234641537186118E-2</v>
      </c>
      <c r="G56" s="191">
        <f t="shared" si="12"/>
        <v>2.1654325633088303E-2</v>
      </c>
      <c r="H56" s="191">
        <f t="shared" si="12"/>
        <v>1</v>
      </c>
    </row>
    <row r="57" spans="1:8" x14ac:dyDescent="0.2">
      <c r="A57" s="33" t="s">
        <v>78</v>
      </c>
      <c r="B57" s="214">
        <f t="shared" si="11"/>
        <v>15720</v>
      </c>
      <c r="C57" s="191">
        <f t="shared" si="12"/>
        <v>0.71187520103302826</v>
      </c>
      <c r="D57" s="191">
        <f t="shared" si="12"/>
        <v>0.11064604359013706</v>
      </c>
      <c r="E57" s="191">
        <f t="shared" si="12"/>
        <v>0.1039419122510201</v>
      </c>
      <c r="F57" s="191">
        <f t="shared" si="12"/>
        <v>3.204039285218109E-2</v>
      </c>
      <c r="G57" s="191">
        <f t="shared" si="12"/>
        <v>4.1496450273633412E-2</v>
      </c>
      <c r="H57" s="191">
        <f t="shared" si="12"/>
        <v>1</v>
      </c>
    </row>
    <row r="58" spans="1:8" x14ac:dyDescent="0.2">
      <c r="A58" s="33" t="s">
        <v>79</v>
      </c>
      <c r="B58" s="214">
        <f t="shared" si="11"/>
        <v>5238</v>
      </c>
      <c r="C58" s="191">
        <f t="shared" si="12"/>
        <v>0.67236398992808577</v>
      </c>
      <c r="D58" s="191">
        <f t="shared" si="12"/>
        <v>0.13545504005443901</v>
      </c>
      <c r="E58" s="191">
        <f t="shared" si="12"/>
        <v>0.11945220116167964</v>
      </c>
      <c r="F58" s="191">
        <f t="shared" si="12"/>
        <v>6.1082029369767768E-2</v>
      </c>
      <c r="G58" s="191">
        <f t="shared" si="12"/>
        <v>1.1646739486027513E-2</v>
      </c>
      <c r="H58" s="191">
        <f t="shared" si="12"/>
        <v>1</v>
      </c>
    </row>
    <row r="59" spans="1:8" x14ac:dyDescent="0.2">
      <c r="A59" s="33" t="s">
        <v>80</v>
      </c>
      <c r="B59" s="220">
        <f t="shared" si="11"/>
        <v>1630</v>
      </c>
      <c r="C59" s="193">
        <f t="shared" si="12"/>
        <v>0.6109904329161554</v>
      </c>
      <c r="D59" s="193">
        <f t="shared" si="12"/>
        <v>0.19106141734717361</v>
      </c>
      <c r="E59" s="193">
        <f t="shared" si="12"/>
        <v>0.1584115787979779</v>
      </c>
      <c r="F59" s="193">
        <f t="shared" si="12"/>
        <v>3.3981050676577251E-2</v>
      </c>
      <c r="G59" s="193">
        <f t="shared" si="12"/>
        <v>5.5555202621157844E-3</v>
      </c>
      <c r="H59" s="193">
        <f t="shared" si="12"/>
        <v>1</v>
      </c>
    </row>
    <row r="60" spans="1:8" x14ac:dyDescent="0.2">
      <c r="A60" s="33" t="s">
        <v>103</v>
      </c>
      <c r="B60" s="214">
        <f>SUM(B54:B59)</f>
        <v>89616</v>
      </c>
      <c r="C60" s="191">
        <f t="shared" si="12"/>
        <v>0.74595309583363745</v>
      </c>
      <c r="D60" s="191">
        <f t="shared" si="12"/>
        <v>0.10382383013647077</v>
      </c>
      <c r="E60" s="191">
        <f t="shared" si="12"/>
        <v>7.9021842492535826E-2</v>
      </c>
      <c r="F60" s="191">
        <f t="shared" si="12"/>
        <v>3.850926935959597E-2</v>
      </c>
      <c r="G60" s="191">
        <f t="shared" si="12"/>
        <v>3.2691962177760228E-2</v>
      </c>
      <c r="H60" s="191">
        <f t="shared" si="12"/>
        <v>1</v>
      </c>
    </row>
    <row r="61" spans="1:8" x14ac:dyDescent="0.2">
      <c r="A61" s="33"/>
      <c r="B61" s="214"/>
      <c r="C61" s="191"/>
      <c r="D61" s="191"/>
      <c r="E61" s="191"/>
      <c r="F61" s="191"/>
      <c r="G61" s="191"/>
      <c r="H61" s="191"/>
    </row>
    <row r="62" spans="1:8" x14ac:dyDescent="0.2">
      <c r="A62" s="33" t="s">
        <v>81</v>
      </c>
      <c r="B62" s="214">
        <f t="shared" ref="B62:B67" si="13">B12</f>
        <v>22683</v>
      </c>
      <c r="C62" s="191">
        <f t="shared" ref="C62:H67" si="14">C36/$H36</f>
        <v>0.71733776067698374</v>
      </c>
      <c r="D62" s="191">
        <f t="shared" si="14"/>
        <v>0.13896437276865933</v>
      </c>
      <c r="E62" s="191">
        <f t="shared" si="14"/>
        <v>7.5434418640004455E-2</v>
      </c>
      <c r="F62" s="191">
        <f t="shared" si="14"/>
        <v>2.3665242286558336E-2</v>
      </c>
      <c r="G62" s="191">
        <f t="shared" si="14"/>
        <v>4.459820562779411E-2</v>
      </c>
      <c r="H62" s="191">
        <f t="shared" si="14"/>
        <v>1</v>
      </c>
    </row>
    <row r="63" spans="1:8" x14ac:dyDescent="0.2">
      <c r="A63" s="33" t="s">
        <v>82</v>
      </c>
      <c r="B63" s="214">
        <f t="shared" si="13"/>
        <v>8960</v>
      </c>
      <c r="C63" s="191">
        <f t="shared" si="14"/>
        <v>0.71592357888511915</v>
      </c>
      <c r="D63" s="191">
        <f t="shared" si="14"/>
        <v>9.3957913094656495E-2</v>
      </c>
      <c r="E63" s="191">
        <f t="shared" si="14"/>
        <v>9.8541655426989172E-2</v>
      </c>
      <c r="F63" s="191">
        <f t="shared" si="14"/>
        <v>7.2203029231198881E-2</v>
      </c>
      <c r="G63" s="191">
        <f t="shared" si="14"/>
        <v>1.9373823362036059E-2</v>
      </c>
      <c r="H63" s="191">
        <f t="shared" si="14"/>
        <v>1</v>
      </c>
    </row>
    <row r="64" spans="1:8" x14ac:dyDescent="0.2">
      <c r="A64" s="33" t="s">
        <v>83</v>
      </c>
      <c r="B64" s="214">
        <f t="shared" si="13"/>
        <v>4842</v>
      </c>
      <c r="C64" s="191">
        <f t="shared" si="14"/>
        <v>0.67619119170061637</v>
      </c>
      <c r="D64" s="191">
        <f t="shared" si="14"/>
        <v>0.12348206630540663</v>
      </c>
      <c r="E64" s="191">
        <f t="shared" si="14"/>
        <v>0.10342475152469247</v>
      </c>
      <c r="F64" s="191">
        <f t="shared" si="14"/>
        <v>6.5633563426983357E-2</v>
      </c>
      <c r="G64" s="191">
        <f t="shared" si="14"/>
        <v>3.1268427042301164E-2</v>
      </c>
      <c r="H64" s="191">
        <f t="shared" si="14"/>
        <v>1</v>
      </c>
    </row>
    <row r="65" spans="1:8" x14ac:dyDescent="0.2">
      <c r="A65" s="33" t="s">
        <v>84</v>
      </c>
      <c r="B65" s="214">
        <f t="shared" si="13"/>
        <v>4878</v>
      </c>
      <c r="C65" s="191">
        <f t="shared" si="14"/>
        <v>0.65764599293331838</v>
      </c>
      <c r="D65" s="191">
        <f t="shared" si="14"/>
        <v>0.13826187804398027</v>
      </c>
      <c r="E65" s="191">
        <f t="shared" si="14"/>
        <v>0.11803108671945643</v>
      </c>
      <c r="F65" s="191">
        <f t="shared" si="14"/>
        <v>5.1204847281746478E-2</v>
      </c>
      <c r="G65" s="191">
        <f t="shared" si="14"/>
        <v>3.4856195021498448E-2</v>
      </c>
      <c r="H65" s="191">
        <f t="shared" si="14"/>
        <v>1</v>
      </c>
    </row>
    <row r="66" spans="1:8" x14ac:dyDescent="0.2">
      <c r="A66" s="33" t="s">
        <v>85</v>
      </c>
      <c r="B66" s="220">
        <f t="shared" si="13"/>
        <v>1657</v>
      </c>
      <c r="C66" s="193">
        <f t="shared" si="14"/>
        <v>0.59898084726832024</v>
      </c>
      <c r="D66" s="193">
        <f t="shared" si="14"/>
        <v>0.16443463043161352</v>
      </c>
      <c r="E66" s="193">
        <f t="shared" si="14"/>
        <v>0.12292726213258247</v>
      </c>
      <c r="F66" s="193">
        <f t="shared" si="14"/>
        <v>0.10540160346457583</v>
      </c>
      <c r="G66" s="193">
        <f t="shared" si="14"/>
        <v>8.2556567029077425E-3</v>
      </c>
      <c r="H66" s="193">
        <f t="shared" si="14"/>
        <v>1</v>
      </c>
    </row>
    <row r="67" spans="1:8" x14ac:dyDescent="0.2">
      <c r="A67" s="33" t="s">
        <v>104</v>
      </c>
      <c r="B67" s="214">
        <f t="shared" si="13"/>
        <v>43020</v>
      </c>
      <c r="C67" s="191">
        <f t="shared" si="14"/>
        <v>0.69550579654976274</v>
      </c>
      <c r="D67" s="191">
        <f t="shared" si="14"/>
        <v>0.12989503681861145</v>
      </c>
      <c r="E67" s="191">
        <f t="shared" si="14"/>
        <v>9.2635911721144784E-2</v>
      </c>
      <c r="F67" s="191">
        <f t="shared" si="14"/>
        <v>4.7815631626269402E-2</v>
      </c>
      <c r="G67" s="191">
        <f t="shared" si="14"/>
        <v>3.4147623284211399E-2</v>
      </c>
      <c r="H67" s="191">
        <f t="shared" si="14"/>
        <v>1</v>
      </c>
    </row>
    <row r="68" spans="1:8" x14ac:dyDescent="0.2">
      <c r="A68" s="33"/>
      <c r="B68" s="214"/>
      <c r="C68" s="191"/>
      <c r="D68" s="191"/>
      <c r="E68" s="191"/>
      <c r="F68" s="191"/>
      <c r="G68" s="191"/>
      <c r="H68" s="191"/>
    </row>
    <row r="69" spans="1:8" x14ac:dyDescent="0.2">
      <c r="A69" s="33" t="s">
        <v>86</v>
      </c>
      <c r="B69" s="214">
        <f>B19</f>
        <v>10550</v>
      </c>
      <c r="C69" s="191">
        <f t="shared" ref="C69:H71" si="15">C43/$H43</f>
        <v>0.72671347550885057</v>
      </c>
      <c r="D69" s="191">
        <f t="shared" si="15"/>
        <v>0.11867722222814799</v>
      </c>
      <c r="E69" s="191">
        <f t="shared" si="15"/>
        <v>8.8126260291918682E-2</v>
      </c>
      <c r="F69" s="191">
        <f t="shared" si="15"/>
        <v>2.191102166381681E-2</v>
      </c>
      <c r="G69" s="191">
        <f t="shared" si="15"/>
        <v>4.4572020307265689E-2</v>
      </c>
      <c r="H69" s="191">
        <f t="shared" si="15"/>
        <v>1</v>
      </c>
    </row>
    <row r="70" spans="1:8" x14ac:dyDescent="0.2">
      <c r="A70" s="33" t="s">
        <v>87</v>
      </c>
      <c r="B70" s="220">
        <f>B20</f>
        <v>6971</v>
      </c>
      <c r="C70" s="193">
        <f t="shared" si="15"/>
        <v>0.68605141336552034</v>
      </c>
      <c r="D70" s="193">
        <f t="shared" si="15"/>
        <v>0.12491689343887313</v>
      </c>
      <c r="E70" s="193">
        <f t="shared" si="15"/>
        <v>0.11820373860742944</v>
      </c>
      <c r="F70" s="193">
        <f t="shared" si="15"/>
        <v>5.0485014834517374E-2</v>
      </c>
      <c r="G70" s="193">
        <f t="shared" si="15"/>
        <v>2.0342939753659587E-2</v>
      </c>
      <c r="H70" s="193">
        <f t="shared" si="15"/>
        <v>1</v>
      </c>
    </row>
    <row r="71" spans="1:8" x14ac:dyDescent="0.2">
      <c r="A71" s="33" t="s">
        <v>105</v>
      </c>
      <c r="B71" s="214">
        <f>B21</f>
        <v>17521</v>
      </c>
      <c r="C71" s="191">
        <f t="shared" si="15"/>
        <v>0.70651320428303233</v>
      </c>
      <c r="D71" s="191">
        <f t="shared" si="15"/>
        <v>0.1217769924850594</v>
      </c>
      <c r="E71" s="191">
        <f t="shared" si="15"/>
        <v>0.1030682771925949</v>
      </c>
      <c r="F71" s="191">
        <f t="shared" si="15"/>
        <v>3.6106130854743804E-2</v>
      </c>
      <c r="G71" s="191">
        <f t="shared" si="15"/>
        <v>3.2535395184569486E-2</v>
      </c>
      <c r="H71" s="191">
        <f t="shared" si="15"/>
        <v>1</v>
      </c>
    </row>
    <row r="72" spans="1:8" x14ac:dyDescent="0.2">
      <c r="A72" s="33"/>
      <c r="B72" s="214"/>
      <c r="C72" s="191"/>
      <c r="D72" s="191"/>
      <c r="E72" s="191"/>
      <c r="F72" s="191"/>
      <c r="G72" s="191"/>
      <c r="H72" s="191"/>
    </row>
    <row r="73" spans="1:8" ht="13.5" thickBot="1" x14ac:dyDescent="0.25">
      <c r="A73" s="33" t="s">
        <v>230</v>
      </c>
      <c r="B73" s="222">
        <f>B71+B67+B60</f>
        <v>150157</v>
      </c>
      <c r="C73" s="195">
        <f t="shared" ref="C73:H73" si="16">C47/$H47</f>
        <v>0.72559345488978877</v>
      </c>
      <c r="D73" s="195">
        <f t="shared" si="16"/>
        <v>0.11404135428544088</v>
      </c>
      <c r="E73" s="195">
        <f t="shared" si="16"/>
        <v>8.6195352928898475E-2</v>
      </c>
      <c r="F73" s="195">
        <f t="shared" si="16"/>
        <v>4.1052584733342008E-2</v>
      </c>
      <c r="G73" s="195">
        <f t="shared" si="16"/>
        <v>3.3117253162529878E-2</v>
      </c>
      <c r="H73" s="195">
        <f t="shared" si="16"/>
        <v>1</v>
      </c>
    </row>
    <row r="74" spans="1:8" ht="13.5" thickTop="1" x14ac:dyDescent="0.2">
      <c r="A74" s="33"/>
      <c r="B74" s="182"/>
      <c r="C74" s="33"/>
      <c r="D74" s="33"/>
      <c r="E74" s="33"/>
      <c r="F74" s="33"/>
      <c r="G74" s="33"/>
      <c r="H74" s="191"/>
    </row>
  </sheetData>
  <phoneticPr fontId="7" type="noConversion"/>
  <pageMargins left="0.5" right="0.5" top="0.5" bottom="0.5" header="0.5" footer="0.5"/>
  <pageSetup scale="54" orientation="landscape" verticalDpi="0"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69"/>
  <dimension ref="A1:H74"/>
  <sheetViews>
    <sheetView workbookViewId="0">
      <selection activeCell="AB27" sqref="AB27"/>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6" t="s">
        <v>247</v>
      </c>
      <c r="B1" s="22"/>
      <c r="C1" s="22"/>
      <c r="D1" s="22"/>
      <c r="E1" s="22"/>
      <c r="F1" s="22"/>
      <c r="G1" s="22"/>
      <c r="H1" s="22"/>
    </row>
    <row r="2" spans="1:8" x14ac:dyDescent="0.2">
      <c r="A2" s="22" t="s">
        <v>45</v>
      </c>
    </row>
    <row r="3" spans="1:8" ht="33.75" x14ac:dyDescent="0.2">
      <c r="A3" s="22" t="s">
        <v>245</v>
      </c>
      <c r="B3" s="21" t="s">
        <v>583</v>
      </c>
      <c r="C3" s="141" t="s">
        <v>46</v>
      </c>
      <c r="D3" s="141" t="s">
        <v>47</v>
      </c>
      <c r="E3" s="141" t="s">
        <v>48</v>
      </c>
      <c r="F3" s="141" t="s">
        <v>49</v>
      </c>
      <c r="G3" s="141" t="s">
        <v>39</v>
      </c>
      <c r="H3" s="141" t="s">
        <v>50</v>
      </c>
    </row>
    <row r="4" spans="1:8" x14ac:dyDescent="0.2">
      <c r="A4" s="182" t="s">
        <v>102</v>
      </c>
      <c r="B4" s="212">
        <v>35547</v>
      </c>
      <c r="C4" s="227">
        <v>223624696.69</v>
      </c>
      <c r="D4" s="227">
        <v>30053628.129999999</v>
      </c>
      <c r="E4" s="227">
        <v>14916644.970000001</v>
      </c>
      <c r="F4" s="227">
        <v>4277126.58</v>
      </c>
      <c r="G4" s="227">
        <v>8639147.8000000007</v>
      </c>
      <c r="H4" s="208">
        <v>281511244.17000002</v>
      </c>
    </row>
    <row r="5" spans="1:8" x14ac:dyDescent="0.2">
      <c r="A5" s="33" t="s">
        <v>76</v>
      </c>
      <c r="B5" s="212">
        <v>17831</v>
      </c>
      <c r="C5" s="227">
        <v>120927770.62</v>
      </c>
      <c r="D5" s="227">
        <v>14073662.98</v>
      </c>
      <c r="E5" s="227">
        <v>12822487.619999999</v>
      </c>
      <c r="F5" s="227">
        <v>2760899.36</v>
      </c>
      <c r="G5" s="227">
        <v>6513698.4299999997</v>
      </c>
      <c r="H5" s="208">
        <v>157098519.01000002</v>
      </c>
    </row>
    <row r="6" spans="1:8" x14ac:dyDescent="0.2">
      <c r="A6" s="33" t="s">
        <v>77</v>
      </c>
      <c r="B6" s="212">
        <v>10574</v>
      </c>
      <c r="C6" s="227">
        <v>73910821.230000004</v>
      </c>
      <c r="D6" s="227">
        <v>9132344.1500000004</v>
      </c>
      <c r="E6" s="227">
        <v>9713039.5</v>
      </c>
      <c r="F6" s="227">
        <v>2579154.73</v>
      </c>
      <c r="G6" s="227">
        <v>1763573.35</v>
      </c>
      <c r="H6" s="208">
        <v>97098932.960000008</v>
      </c>
    </row>
    <row r="7" spans="1:8" x14ac:dyDescent="0.2">
      <c r="A7" s="33" t="s">
        <v>78</v>
      </c>
      <c r="B7" s="212">
        <v>15113</v>
      </c>
      <c r="C7" s="227">
        <v>98327083.939999998</v>
      </c>
      <c r="D7" s="227">
        <v>14975081.43</v>
      </c>
      <c r="E7" s="227">
        <v>14948389.210000001</v>
      </c>
      <c r="F7" s="227">
        <v>3380328.79</v>
      </c>
      <c r="G7" s="227">
        <v>5245609.1900000004</v>
      </c>
      <c r="H7" s="208">
        <v>136876492.56000003</v>
      </c>
    </row>
    <row r="8" spans="1:8" x14ac:dyDescent="0.2">
      <c r="A8" s="33" t="s">
        <v>79</v>
      </c>
      <c r="B8" s="212">
        <v>5509</v>
      </c>
      <c r="C8" s="227">
        <v>39788917.630000003</v>
      </c>
      <c r="D8" s="227">
        <v>7352681.5300000003</v>
      </c>
      <c r="E8" s="227">
        <v>6969029.0999999996</v>
      </c>
      <c r="F8" s="227">
        <v>3510861.46</v>
      </c>
      <c r="G8" s="227">
        <v>734312.36</v>
      </c>
      <c r="H8" s="208">
        <v>58355802.080000006</v>
      </c>
    </row>
    <row r="9" spans="1:8" x14ac:dyDescent="0.2">
      <c r="A9" s="33" t="s">
        <v>80</v>
      </c>
      <c r="B9" s="209">
        <v>1723</v>
      </c>
      <c r="C9" s="228">
        <v>9832124.0700000003</v>
      </c>
      <c r="D9" s="228">
        <v>3130191.48</v>
      </c>
      <c r="E9" s="228">
        <v>2679693.98</v>
      </c>
      <c r="F9" s="228">
        <v>502839.92</v>
      </c>
      <c r="G9" s="228">
        <v>94917.41</v>
      </c>
      <c r="H9" s="209">
        <v>16239766.860000001</v>
      </c>
    </row>
    <row r="10" spans="1:8" x14ac:dyDescent="0.2">
      <c r="A10" s="33" t="s">
        <v>103</v>
      </c>
      <c r="B10" s="212">
        <f t="shared" ref="B10:H10" si="0">SUM(B4:B9)</f>
        <v>86297</v>
      </c>
      <c r="C10" s="208">
        <f t="shared" si="0"/>
        <v>566411414.18000007</v>
      </c>
      <c r="D10" s="208">
        <f t="shared" si="0"/>
        <v>78717589.700000003</v>
      </c>
      <c r="E10" s="208">
        <f t="shared" si="0"/>
        <v>62049284.380000003</v>
      </c>
      <c r="F10" s="208">
        <f t="shared" si="0"/>
        <v>17011210.840000004</v>
      </c>
      <c r="G10" s="208">
        <f t="shared" si="0"/>
        <v>22991258.540000003</v>
      </c>
      <c r="H10" s="208">
        <f t="shared" si="0"/>
        <v>747180757.64000022</v>
      </c>
    </row>
    <row r="11" spans="1:8" x14ac:dyDescent="0.2">
      <c r="A11" s="33"/>
      <c r="B11" s="182"/>
      <c r="C11" s="208"/>
      <c r="D11" s="208"/>
      <c r="E11" s="208"/>
      <c r="F11" s="208"/>
      <c r="G11" s="208"/>
      <c r="H11" s="208"/>
    </row>
    <row r="12" spans="1:8" x14ac:dyDescent="0.2">
      <c r="A12" s="33" t="s">
        <v>81</v>
      </c>
      <c r="B12" s="212">
        <v>22695</v>
      </c>
      <c r="C12" s="227">
        <v>140642251.91</v>
      </c>
      <c r="D12" s="227">
        <v>25897661.18</v>
      </c>
      <c r="E12" s="227">
        <v>14322928.91</v>
      </c>
      <c r="F12" s="227">
        <v>3612893.29</v>
      </c>
      <c r="G12" s="227">
        <v>8467141.0999999996</v>
      </c>
      <c r="H12" s="208">
        <v>192942876.38999999</v>
      </c>
    </row>
    <row r="13" spans="1:8" x14ac:dyDescent="0.2">
      <c r="A13" s="33" t="s">
        <v>82</v>
      </c>
      <c r="B13" s="212">
        <v>9003</v>
      </c>
      <c r="C13" s="227">
        <v>58185509.560000002</v>
      </c>
      <c r="D13" s="227">
        <v>7796818.79</v>
      </c>
      <c r="E13" s="227">
        <v>7981779.2599999998</v>
      </c>
      <c r="F13" s="227">
        <v>5740938</v>
      </c>
      <c r="G13" s="227">
        <v>1160821.81</v>
      </c>
      <c r="H13" s="208">
        <v>80865867.420000002</v>
      </c>
    </row>
    <row r="14" spans="1:8" x14ac:dyDescent="0.2">
      <c r="A14" s="33" t="s">
        <v>83</v>
      </c>
      <c r="B14" s="212">
        <v>4976</v>
      </c>
      <c r="C14" s="227">
        <v>34714607.869999997</v>
      </c>
      <c r="D14" s="227">
        <v>6325633.3600000003</v>
      </c>
      <c r="E14" s="227">
        <v>5520664.9000000004</v>
      </c>
      <c r="F14" s="227">
        <v>2226247.94</v>
      </c>
      <c r="G14" s="227">
        <v>1557766.12</v>
      </c>
      <c r="H14" s="208">
        <v>50344920.18999999</v>
      </c>
    </row>
    <row r="15" spans="1:8" x14ac:dyDescent="0.2">
      <c r="A15" s="33" t="s">
        <v>84</v>
      </c>
      <c r="B15" s="212">
        <v>5244</v>
      </c>
      <c r="C15" s="227">
        <v>41459606.189999998</v>
      </c>
      <c r="D15" s="227">
        <v>9140228.7799999993</v>
      </c>
      <c r="E15" s="227">
        <v>7434759.2000000002</v>
      </c>
      <c r="F15" s="227">
        <v>3300604.8</v>
      </c>
      <c r="G15" s="227">
        <v>1662108.27</v>
      </c>
      <c r="H15" s="208">
        <v>62997307.240000002</v>
      </c>
    </row>
    <row r="16" spans="1:8" x14ac:dyDescent="0.2">
      <c r="A16" s="33" t="s">
        <v>85</v>
      </c>
      <c r="B16" s="209">
        <v>1341</v>
      </c>
      <c r="C16" s="228">
        <v>14561037.109999999</v>
      </c>
      <c r="D16" s="228">
        <v>3503019.37</v>
      </c>
      <c r="E16" s="228">
        <v>3057983.64</v>
      </c>
      <c r="F16" s="228">
        <v>2279623.96</v>
      </c>
      <c r="G16" s="228">
        <v>189129.44</v>
      </c>
      <c r="H16" s="209">
        <v>23590793.520000003</v>
      </c>
    </row>
    <row r="17" spans="1:8" x14ac:dyDescent="0.2">
      <c r="A17" s="33" t="s">
        <v>104</v>
      </c>
      <c r="B17" s="212">
        <f>SUM(B12:B16)</f>
        <v>43259</v>
      </c>
      <c r="C17" s="212">
        <f t="shared" ref="C17:H17" si="1">SUM(C12:C16)</f>
        <v>289563012.63999999</v>
      </c>
      <c r="D17" s="212">
        <f t="shared" si="1"/>
        <v>52663361.479999997</v>
      </c>
      <c r="E17" s="212">
        <f t="shared" si="1"/>
        <v>38318115.910000004</v>
      </c>
      <c r="F17" s="212">
        <f t="shared" si="1"/>
        <v>17160307.989999998</v>
      </c>
      <c r="G17" s="212">
        <f t="shared" si="1"/>
        <v>13036966.74</v>
      </c>
      <c r="H17" s="212">
        <f t="shared" si="1"/>
        <v>410741764.75999999</v>
      </c>
    </row>
    <row r="18" spans="1:8" x14ac:dyDescent="0.2">
      <c r="A18" s="33"/>
      <c r="B18" s="182"/>
      <c r="C18" s="208"/>
      <c r="D18" s="208"/>
      <c r="E18" s="208"/>
      <c r="F18" s="208"/>
      <c r="G18" s="208"/>
      <c r="H18" s="208"/>
    </row>
    <row r="19" spans="1:8" x14ac:dyDescent="0.2">
      <c r="A19" s="33" t="s">
        <v>86</v>
      </c>
      <c r="B19" s="212">
        <v>10509</v>
      </c>
      <c r="C19" s="227">
        <v>61311742.68</v>
      </c>
      <c r="D19" s="227">
        <v>9916532.2300000004</v>
      </c>
      <c r="E19" s="227">
        <v>7868682.3499999996</v>
      </c>
      <c r="F19" s="227">
        <v>1776096.41</v>
      </c>
      <c r="G19" s="227">
        <v>3389364.48</v>
      </c>
      <c r="H19" s="208">
        <v>84262418.149999991</v>
      </c>
    </row>
    <row r="20" spans="1:8" x14ac:dyDescent="0.2">
      <c r="A20" s="33" t="s">
        <v>87</v>
      </c>
      <c r="B20" s="209">
        <v>6954</v>
      </c>
      <c r="C20" s="228">
        <v>58634246.539999999</v>
      </c>
      <c r="D20" s="228">
        <v>10738377.939999999</v>
      </c>
      <c r="E20" s="228">
        <v>10319588.74</v>
      </c>
      <c r="F20" s="228">
        <v>4162587.06</v>
      </c>
      <c r="G20" s="228">
        <v>1752469.02</v>
      </c>
      <c r="H20" s="209">
        <v>85607269.299999997</v>
      </c>
    </row>
    <row r="21" spans="1:8" x14ac:dyDescent="0.2">
      <c r="A21" s="33" t="s">
        <v>105</v>
      </c>
      <c r="B21" s="212">
        <f>SUM(B19:B20)</f>
        <v>17463</v>
      </c>
      <c r="C21" s="212">
        <f t="shared" ref="C21:H21" si="2">SUM(C19:C20)</f>
        <v>119945989.22</v>
      </c>
      <c r="D21" s="212">
        <f t="shared" si="2"/>
        <v>20654910.170000002</v>
      </c>
      <c r="E21" s="212">
        <f t="shared" si="2"/>
        <v>18188271.09</v>
      </c>
      <c r="F21" s="212">
        <f t="shared" si="2"/>
        <v>5938683.4699999997</v>
      </c>
      <c r="G21" s="212">
        <f t="shared" si="2"/>
        <v>5141833.5</v>
      </c>
      <c r="H21" s="212">
        <f t="shared" si="2"/>
        <v>169869687.44999999</v>
      </c>
    </row>
    <row r="22" spans="1:8" x14ac:dyDescent="0.2">
      <c r="A22" s="33"/>
      <c r="B22" s="208"/>
      <c r="C22" s="208"/>
      <c r="D22" s="208"/>
      <c r="E22" s="208"/>
      <c r="F22" s="208"/>
      <c r="G22" s="208"/>
      <c r="H22" s="208"/>
    </row>
    <row r="23" spans="1:8" ht="13.5" thickBot="1" x14ac:dyDescent="0.25">
      <c r="A23" s="33" t="s">
        <v>209</v>
      </c>
      <c r="B23" s="213">
        <f>B21+B17+B10</f>
        <v>147019</v>
      </c>
      <c r="C23" s="213">
        <f t="shared" ref="C23:H23" si="3">C21+C17+C10</f>
        <v>975920416.04000008</v>
      </c>
      <c r="D23" s="213">
        <f t="shared" si="3"/>
        <v>152035861.35000002</v>
      </c>
      <c r="E23" s="213">
        <f t="shared" si="3"/>
        <v>118555671.38</v>
      </c>
      <c r="F23" s="213">
        <f t="shared" si="3"/>
        <v>40110202.299999997</v>
      </c>
      <c r="G23" s="213">
        <f t="shared" si="3"/>
        <v>41170058.780000001</v>
      </c>
      <c r="H23" s="213">
        <f t="shared" si="3"/>
        <v>1327792209.8500004</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43</v>
      </c>
      <c r="B26" s="22"/>
      <c r="C26" s="22"/>
      <c r="D26" s="22"/>
      <c r="E26" s="22"/>
      <c r="F26" s="22"/>
      <c r="G26" s="22"/>
      <c r="H26" s="22"/>
    </row>
    <row r="27" spans="1:8" ht="33.75" x14ac:dyDescent="0.2">
      <c r="A27" s="155" t="s">
        <v>245</v>
      </c>
      <c r="B27" s="155" t="s">
        <v>583</v>
      </c>
      <c r="C27" s="141" t="s">
        <v>46</v>
      </c>
      <c r="D27" s="141" t="s">
        <v>47</v>
      </c>
      <c r="E27" s="141" t="s">
        <v>48</v>
      </c>
      <c r="F27" s="141" t="s">
        <v>49</v>
      </c>
      <c r="G27" s="141" t="s">
        <v>39</v>
      </c>
      <c r="H27" s="141" t="s">
        <v>50</v>
      </c>
    </row>
    <row r="28" spans="1:8" x14ac:dyDescent="0.2">
      <c r="A28" s="33" t="s">
        <v>102</v>
      </c>
      <c r="B28" s="208">
        <f>B4</f>
        <v>35547</v>
      </c>
      <c r="C28" s="182">
        <f t="shared" ref="C28:H34" si="4">C4/$B28</f>
        <v>6290.9583562607249</v>
      </c>
      <c r="D28" s="182">
        <f t="shared" si="4"/>
        <v>845.46173038512393</v>
      </c>
      <c r="E28" s="182">
        <f t="shared" si="4"/>
        <v>419.63161363828175</v>
      </c>
      <c r="F28" s="182">
        <f t="shared" si="4"/>
        <v>120.32313781753734</v>
      </c>
      <c r="G28" s="182">
        <f t="shared" si="4"/>
        <v>243.03451205446314</v>
      </c>
      <c r="H28" s="182">
        <f t="shared" si="4"/>
        <v>7919.4093501561319</v>
      </c>
    </row>
    <row r="29" spans="1:8" x14ac:dyDescent="0.2">
      <c r="A29" s="33" t="s">
        <v>76</v>
      </c>
      <c r="B29" s="208">
        <f t="shared" ref="B29:B47" si="5">B5</f>
        <v>17831</v>
      </c>
      <c r="C29" s="182">
        <f t="shared" si="4"/>
        <v>6781.8838326510013</v>
      </c>
      <c r="D29" s="182">
        <f t="shared" si="4"/>
        <v>789.28063372777751</v>
      </c>
      <c r="E29" s="182">
        <f t="shared" si="4"/>
        <v>719.1120868150972</v>
      </c>
      <c r="F29" s="182">
        <f t="shared" si="4"/>
        <v>154.83704559475072</v>
      </c>
      <c r="G29" s="182">
        <f t="shared" si="4"/>
        <v>365.30191408221634</v>
      </c>
      <c r="H29" s="182">
        <f t="shared" si="4"/>
        <v>8810.4155128708444</v>
      </c>
    </row>
    <row r="30" spans="1:8" x14ac:dyDescent="0.2">
      <c r="A30" s="33" t="s">
        <v>77</v>
      </c>
      <c r="B30" s="208">
        <f t="shared" si="5"/>
        <v>10574</v>
      </c>
      <c r="C30" s="182">
        <f t="shared" si="4"/>
        <v>6989.8639332324574</v>
      </c>
      <c r="D30" s="182">
        <f t="shared" si="4"/>
        <v>863.66031303196519</v>
      </c>
      <c r="E30" s="182">
        <f t="shared" si="4"/>
        <v>918.57759599016458</v>
      </c>
      <c r="F30" s="182">
        <f t="shared" si="4"/>
        <v>243.91476546245508</v>
      </c>
      <c r="G30" s="182">
        <f t="shared" si="4"/>
        <v>166.78393701532062</v>
      </c>
      <c r="H30" s="182">
        <f t="shared" si="4"/>
        <v>9182.8005447323631</v>
      </c>
    </row>
    <row r="31" spans="1:8" x14ac:dyDescent="0.2">
      <c r="A31" s="33" t="s">
        <v>78</v>
      </c>
      <c r="B31" s="208">
        <f t="shared" si="5"/>
        <v>15113</v>
      </c>
      <c r="C31" s="182">
        <f t="shared" si="4"/>
        <v>6506.1261126182753</v>
      </c>
      <c r="D31" s="182">
        <f t="shared" si="4"/>
        <v>990.87417653675641</v>
      </c>
      <c r="E31" s="182">
        <f t="shared" si="4"/>
        <v>989.10800039700928</v>
      </c>
      <c r="F31" s="182">
        <f t="shared" si="4"/>
        <v>223.67026996625421</v>
      </c>
      <c r="G31" s="182">
        <f t="shared" si="4"/>
        <v>347.09251571494741</v>
      </c>
      <c r="H31" s="182">
        <f t="shared" si="4"/>
        <v>9056.8710752332445</v>
      </c>
    </row>
    <row r="32" spans="1:8" x14ac:dyDescent="0.2">
      <c r="A32" s="33" t="s">
        <v>79</v>
      </c>
      <c r="B32" s="208">
        <f t="shared" si="5"/>
        <v>5509</v>
      </c>
      <c r="C32" s="182">
        <f t="shared" si="4"/>
        <v>7222.5299745870398</v>
      </c>
      <c r="D32" s="182">
        <f t="shared" si="4"/>
        <v>1334.6671864222183</v>
      </c>
      <c r="E32" s="182">
        <f t="shared" si="4"/>
        <v>1265.0261571973135</v>
      </c>
      <c r="F32" s="182">
        <f t="shared" si="4"/>
        <v>637.29559992739155</v>
      </c>
      <c r="G32" s="182">
        <f t="shared" si="4"/>
        <v>133.29322200036304</v>
      </c>
      <c r="H32" s="182">
        <f t="shared" si="4"/>
        <v>10592.812140134327</v>
      </c>
    </row>
    <row r="33" spans="1:8" x14ac:dyDescent="0.2">
      <c r="A33" s="33" t="s">
        <v>80</v>
      </c>
      <c r="B33" s="209">
        <f t="shared" si="5"/>
        <v>1723</v>
      </c>
      <c r="C33" s="183">
        <f t="shared" si="4"/>
        <v>5706.3981834010447</v>
      </c>
      <c r="D33" s="183">
        <f t="shared" si="4"/>
        <v>1816.7100870574579</v>
      </c>
      <c r="E33" s="183">
        <f t="shared" si="4"/>
        <v>1555.2489727219966</v>
      </c>
      <c r="F33" s="183">
        <f t="shared" si="4"/>
        <v>291.83976784677884</v>
      </c>
      <c r="G33" s="183">
        <f t="shared" si="4"/>
        <v>55.088456181079515</v>
      </c>
      <c r="H33" s="183">
        <f t="shared" si="4"/>
        <v>9425.2854672083577</v>
      </c>
    </row>
    <row r="34" spans="1:8" x14ac:dyDescent="0.2">
      <c r="A34" s="33" t="s">
        <v>103</v>
      </c>
      <c r="B34" s="208">
        <f t="shared" si="5"/>
        <v>86297</v>
      </c>
      <c r="C34" s="182">
        <f t="shared" si="4"/>
        <v>6563.5122215140746</v>
      </c>
      <c r="D34" s="182">
        <f t="shared" si="4"/>
        <v>912.17063976731527</v>
      </c>
      <c r="E34" s="182">
        <f t="shared" si="4"/>
        <v>719.02017891699597</v>
      </c>
      <c r="F34" s="182">
        <f t="shared" si="4"/>
        <v>197.12401172694305</v>
      </c>
      <c r="G34" s="182">
        <f t="shared" si="4"/>
        <v>266.42013673708243</v>
      </c>
      <c r="H34" s="182">
        <f t="shared" si="4"/>
        <v>8658.2471886624135</v>
      </c>
    </row>
    <row r="35" spans="1:8" x14ac:dyDescent="0.2">
      <c r="A35" s="33"/>
      <c r="B35" s="208"/>
      <c r="C35" s="182"/>
      <c r="D35" s="182"/>
      <c r="E35" s="182"/>
      <c r="F35" s="182"/>
      <c r="G35" s="182"/>
      <c r="H35" s="182"/>
    </row>
    <row r="36" spans="1:8" x14ac:dyDescent="0.2">
      <c r="A36" s="33" t="s">
        <v>81</v>
      </c>
      <c r="B36" s="208">
        <f t="shared" si="5"/>
        <v>22695</v>
      </c>
      <c r="C36" s="182">
        <f t="shared" ref="C36:H41" si="6">C12/$B36</f>
        <v>6197.0589076889182</v>
      </c>
      <c r="D36" s="182">
        <f t="shared" si="6"/>
        <v>1141.1174787398106</v>
      </c>
      <c r="E36" s="182">
        <f t="shared" si="6"/>
        <v>631.10504119850191</v>
      </c>
      <c r="F36" s="182">
        <f t="shared" si="6"/>
        <v>159.19335933024897</v>
      </c>
      <c r="G36" s="182">
        <f t="shared" si="6"/>
        <v>373.08398766248069</v>
      </c>
      <c r="H36" s="182">
        <f t="shared" si="6"/>
        <v>8501.5587746199599</v>
      </c>
    </row>
    <row r="37" spans="1:8" x14ac:dyDescent="0.2">
      <c r="A37" s="33" t="s">
        <v>82</v>
      </c>
      <c r="B37" s="208">
        <f t="shared" si="5"/>
        <v>9003</v>
      </c>
      <c r="C37" s="182">
        <f t="shared" si="6"/>
        <v>6462.9023170054425</v>
      </c>
      <c r="D37" s="182">
        <f t="shared" si="6"/>
        <v>866.02452404753967</v>
      </c>
      <c r="E37" s="182">
        <f t="shared" si="6"/>
        <v>886.5688392757969</v>
      </c>
      <c r="F37" s="182">
        <f t="shared" si="6"/>
        <v>637.66944351882705</v>
      </c>
      <c r="G37" s="182">
        <f t="shared" si="6"/>
        <v>128.93722203709876</v>
      </c>
      <c r="H37" s="182">
        <f t="shared" si="6"/>
        <v>8982.1023458847048</v>
      </c>
    </row>
    <row r="38" spans="1:8" x14ac:dyDescent="0.2">
      <c r="A38" s="33" t="s">
        <v>83</v>
      </c>
      <c r="B38" s="208">
        <f t="shared" si="5"/>
        <v>4976</v>
      </c>
      <c r="C38" s="182">
        <f t="shared" si="6"/>
        <v>6976.4083340032148</v>
      </c>
      <c r="D38" s="182">
        <f t="shared" si="6"/>
        <v>1271.228569131833</v>
      </c>
      <c r="E38" s="182">
        <f t="shared" si="6"/>
        <v>1109.4583802250804</v>
      </c>
      <c r="F38" s="182">
        <f t="shared" si="6"/>
        <v>447.39709405144691</v>
      </c>
      <c r="G38" s="182">
        <f t="shared" si="6"/>
        <v>313.05589228295821</v>
      </c>
      <c r="H38" s="182">
        <f t="shared" si="6"/>
        <v>10117.548269694531</v>
      </c>
    </row>
    <row r="39" spans="1:8" x14ac:dyDescent="0.2">
      <c r="A39" s="33" t="s">
        <v>84</v>
      </c>
      <c r="B39" s="208">
        <f t="shared" si="5"/>
        <v>5244</v>
      </c>
      <c r="C39" s="182">
        <f t="shared" si="6"/>
        <v>7906.1033924485118</v>
      </c>
      <c r="D39" s="182">
        <f t="shared" si="6"/>
        <v>1742.9879443173149</v>
      </c>
      <c r="E39" s="182">
        <f t="shared" si="6"/>
        <v>1417.7649122807018</v>
      </c>
      <c r="F39" s="182">
        <f t="shared" si="6"/>
        <v>629.40594965675052</v>
      </c>
      <c r="G39" s="182">
        <f t="shared" si="6"/>
        <v>316.95428489702516</v>
      </c>
      <c r="H39" s="182">
        <f t="shared" si="6"/>
        <v>12013.216483600305</v>
      </c>
    </row>
    <row r="40" spans="1:8" x14ac:dyDescent="0.2">
      <c r="A40" s="33" t="s">
        <v>85</v>
      </c>
      <c r="B40" s="209">
        <f t="shared" si="5"/>
        <v>1341</v>
      </c>
      <c r="C40" s="183">
        <f t="shared" si="6"/>
        <v>10858.342363907532</v>
      </c>
      <c r="D40" s="183">
        <f t="shared" si="6"/>
        <v>2612.2441237882176</v>
      </c>
      <c r="E40" s="183">
        <f t="shared" si="6"/>
        <v>2280.3755704697987</v>
      </c>
      <c r="F40" s="183">
        <f t="shared" si="6"/>
        <v>1699.9432960477257</v>
      </c>
      <c r="G40" s="183">
        <f t="shared" si="6"/>
        <v>141.03612229679345</v>
      </c>
      <c r="H40" s="183">
        <f t="shared" si="6"/>
        <v>17591.94147651007</v>
      </c>
    </row>
    <row r="41" spans="1:8" x14ac:dyDescent="0.2">
      <c r="A41" s="33" t="s">
        <v>104</v>
      </c>
      <c r="B41" s="208">
        <f t="shared" si="5"/>
        <v>43259</v>
      </c>
      <c r="C41" s="182">
        <f t="shared" si="6"/>
        <v>6693.7056483043989</v>
      </c>
      <c r="D41" s="182">
        <f t="shared" si="6"/>
        <v>1217.3966453223607</v>
      </c>
      <c r="E41" s="182">
        <f t="shared" si="6"/>
        <v>885.78367299290335</v>
      </c>
      <c r="F41" s="182">
        <f t="shared" si="6"/>
        <v>396.68757923206726</v>
      </c>
      <c r="G41" s="182">
        <f t="shared" si="6"/>
        <v>301.37004415266188</v>
      </c>
      <c r="H41" s="182">
        <f t="shared" si="6"/>
        <v>9494.9435900043918</v>
      </c>
    </row>
    <row r="42" spans="1:8" x14ac:dyDescent="0.2">
      <c r="A42" s="33"/>
      <c r="B42" s="208"/>
      <c r="C42" s="182"/>
      <c r="D42" s="182"/>
      <c r="E42" s="182"/>
      <c r="F42" s="182"/>
      <c r="G42" s="182"/>
      <c r="H42" s="182"/>
    </row>
    <row r="43" spans="1:8" x14ac:dyDescent="0.2">
      <c r="A43" s="33" t="s">
        <v>86</v>
      </c>
      <c r="B43" s="208">
        <f t="shared" si="5"/>
        <v>10509</v>
      </c>
      <c r="C43" s="182">
        <f t="shared" ref="C43:H45" si="7">C19/$B43</f>
        <v>5834.2128347131029</v>
      </c>
      <c r="D43" s="182">
        <f t="shared" si="7"/>
        <v>943.62282139118849</v>
      </c>
      <c r="E43" s="182">
        <f t="shared" si="7"/>
        <v>748.75652773812919</v>
      </c>
      <c r="F43" s="182">
        <f t="shared" si="7"/>
        <v>169.00717575411551</v>
      </c>
      <c r="G43" s="182">
        <f t="shared" si="7"/>
        <v>322.52017128175851</v>
      </c>
      <c r="H43" s="182">
        <f t="shared" si="7"/>
        <v>8018.1195308782935</v>
      </c>
    </row>
    <row r="44" spans="1:8" x14ac:dyDescent="0.2">
      <c r="A44" s="33" t="s">
        <v>87</v>
      </c>
      <c r="B44" s="209">
        <f t="shared" si="5"/>
        <v>6954</v>
      </c>
      <c r="C44" s="183">
        <f t="shared" si="7"/>
        <v>8431.7294420477429</v>
      </c>
      <c r="D44" s="183">
        <f t="shared" si="7"/>
        <v>1544.2016019557088</v>
      </c>
      <c r="E44" s="183">
        <f t="shared" si="7"/>
        <v>1483.9788236985908</v>
      </c>
      <c r="F44" s="183">
        <f t="shared" si="7"/>
        <v>598.58887834339953</v>
      </c>
      <c r="G44" s="183">
        <f t="shared" si="7"/>
        <v>252.00877480586712</v>
      </c>
      <c r="H44" s="183">
        <f t="shared" si="7"/>
        <v>12310.507520851308</v>
      </c>
    </row>
    <row r="45" spans="1:8" x14ac:dyDescent="0.2">
      <c r="A45" s="33" t="s">
        <v>105</v>
      </c>
      <c r="B45" s="208">
        <f t="shared" si="5"/>
        <v>17463</v>
      </c>
      <c r="C45" s="182">
        <f t="shared" si="7"/>
        <v>6868.5786646051647</v>
      </c>
      <c r="D45" s="182">
        <f t="shared" si="7"/>
        <v>1182.7813187882953</v>
      </c>
      <c r="E45" s="182">
        <f t="shared" si="7"/>
        <v>1041.531872530493</v>
      </c>
      <c r="F45" s="182">
        <f t="shared" si="7"/>
        <v>340.07235125694325</v>
      </c>
      <c r="G45" s="182">
        <f t="shared" si="7"/>
        <v>294.44159079196015</v>
      </c>
      <c r="H45" s="182">
        <f t="shared" si="7"/>
        <v>9727.4057979728568</v>
      </c>
    </row>
    <row r="46" spans="1:8" x14ac:dyDescent="0.2">
      <c r="A46" s="33"/>
      <c r="B46" s="208"/>
      <c r="C46" s="182"/>
      <c r="D46" s="182"/>
      <c r="E46" s="182"/>
      <c r="F46" s="182"/>
      <c r="G46" s="182"/>
      <c r="H46" s="182"/>
    </row>
    <row r="47" spans="1:8" ht="13.5" thickBot="1" x14ac:dyDescent="0.25">
      <c r="A47" s="33" t="s">
        <v>209</v>
      </c>
      <c r="B47" s="213">
        <f t="shared" si="5"/>
        <v>147019</v>
      </c>
      <c r="C47" s="192">
        <f t="shared" ref="C47:H47" si="8">C23/$B47</f>
        <v>6638.056414749115</v>
      </c>
      <c r="D47" s="192">
        <f t="shared" si="8"/>
        <v>1034.1238979315601</v>
      </c>
      <c r="E47" s="192">
        <f t="shared" si="8"/>
        <v>806.39693767472227</v>
      </c>
      <c r="F47" s="192">
        <f t="shared" si="8"/>
        <v>272.82325617777292</v>
      </c>
      <c r="G47" s="192">
        <f t="shared" si="8"/>
        <v>280.03223243254274</v>
      </c>
      <c r="H47" s="192">
        <f t="shared" si="8"/>
        <v>9031.4327389657137</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51</v>
      </c>
      <c r="B52" s="182"/>
      <c r="C52" s="182"/>
      <c r="D52" s="182"/>
      <c r="E52" s="182"/>
      <c r="F52" s="182"/>
      <c r="G52" s="182"/>
      <c r="H52" s="182"/>
    </row>
    <row r="53" spans="1:8" ht="33.75" x14ac:dyDescent="0.2">
      <c r="A53" s="155" t="s">
        <v>245</v>
      </c>
      <c r="B53" s="155" t="s">
        <v>583</v>
      </c>
      <c r="C53" s="141" t="s">
        <v>46</v>
      </c>
      <c r="D53" s="141" t="s">
        <v>47</v>
      </c>
      <c r="E53" s="141" t="s">
        <v>48</v>
      </c>
      <c r="F53" s="141" t="s">
        <v>49</v>
      </c>
      <c r="G53" s="141" t="s">
        <v>39</v>
      </c>
      <c r="H53" s="141" t="s">
        <v>50</v>
      </c>
    </row>
    <row r="54" spans="1:8" x14ac:dyDescent="0.2">
      <c r="A54" s="33" t="s">
        <v>102</v>
      </c>
      <c r="B54" s="208">
        <f>B4</f>
        <v>35547</v>
      </c>
      <c r="C54" s="191">
        <f t="shared" ref="C54:H60" si="9">C28/$H28</f>
        <v>0.79437216566368019</v>
      </c>
      <c r="D54" s="191">
        <f t="shared" si="9"/>
        <v>0.10675818018782619</v>
      </c>
      <c r="E54" s="191">
        <f t="shared" si="9"/>
        <v>5.2987741267599545E-2</v>
      </c>
      <c r="F54" s="191">
        <f t="shared" si="9"/>
        <v>1.5193448462815621E-2</v>
      </c>
      <c r="G54" s="191">
        <f t="shared" si="9"/>
        <v>3.068846441807831E-2</v>
      </c>
      <c r="H54" s="191">
        <f t="shared" si="9"/>
        <v>1</v>
      </c>
    </row>
    <row r="55" spans="1:8" x14ac:dyDescent="0.2">
      <c r="A55" s="33" t="s">
        <v>76</v>
      </c>
      <c r="B55" s="208">
        <f t="shared" ref="B55:B71" si="10">B5</f>
        <v>17831</v>
      </c>
      <c r="C55" s="191">
        <f t="shared" si="9"/>
        <v>0.76975754693335086</v>
      </c>
      <c r="D55" s="191">
        <f t="shared" si="9"/>
        <v>8.9584950059931182E-2</v>
      </c>
      <c r="E55" s="191">
        <f t="shared" si="9"/>
        <v>8.1620677908388103E-2</v>
      </c>
      <c r="F55" s="191">
        <f t="shared" si="9"/>
        <v>1.7574318188348145E-2</v>
      </c>
      <c r="G55" s="191">
        <f t="shared" si="9"/>
        <v>4.1462506909981586E-2</v>
      </c>
      <c r="H55" s="191">
        <f t="shared" si="9"/>
        <v>1</v>
      </c>
    </row>
    <row r="56" spans="1:8" x14ac:dyDescent="0.2">
      <c r="A56" s="33" t="s">
        <v>77</v>
      </c>
      <c r="B56" s="208">
        <f t="shared" si="10"/>
        <v>10574</v>
      </c>
      <c r="C56" s="191">
        <f t="shared" si="9"/>
        <v>0.76119086973332273</v>
      </c>
      <c r="D56" s="191">
        <f t="shared" si="9"/>
        <v>9.4051951670386297E-2</v>
      </c>
      <c r="E56" s="191">
        <f t="shared" si="9"/>
        <v>0.10003240204504921</v>
      </c>
      <c r="F56" s="191">
        <f t="shared" si="9"/>
        <v>2.6562132573202273E-2</v>
      </c>
      <c r="G56" s="191">
        <f t="shared" si="9"/>
        <v>1.8162643978039447E-2</v>
      </c>
      <c r="H56" s="191">
        <f t="shared" si="9"/>
        <v>1</v>
      </c>
    </row>
    <row r="57" spans="1:8" x14ac:dyDescent="0.2">
      <c r="A57" s="33" t="s">
        <v>78</v>
      </c>
      <c r="B57" s="208">
        <f t="shared" si="10"/>
        <v>15113</v>
      </c>
      <c r="C57" s="191">
        <f t="shared" si="9"/>
        <v>0.71836355608614211</v>
      </c>
      <c r="D57" s="191">
        <f t="shared" si="9"/>
        <v>0.10940579459570568</v>
      </c>
      <c r="E57" s="191">
        <f t="shared" si="9"/>
        <v>0.10921078506922839</v>
      </c>
      <c r="F57" s="191">
        <f t="shared" si="9"/>
        <v>2.4696196744800628E-2</v>
      </c>
      <c r="G57" s="191">
        <f t="shared" si="9"/>
        <v>3.8323667504122957E-2</v>
      </c>
      <c r="H57" s="191">
        <f t="shared" si="9"/>
        <v>1</v>
      </c>
    </row>
    <row r="58" spans="1:8" x14ac:dyDescent="0.2">
      <c r="A58" s="33" t="s">
        <v>79</v>
      </c>
      <c r="B58" s="208">
        <f t="shared" si="10"/>
        <v>5509</v>
      </c>
      <c r="C58" s="191">
        <f t="shared" si="9"/>
        <v>0.6818331033382653</v>
      </c>
      <c r="D58" s="191">
        <f t="shared" si="9"/>
        <v>0.12599743757990345</v>
      </c>
      <c r="E58" s="191">
        <f t="shared" si="9"/>
        <v>0.11942307108462247</v>
      </c>
      <c r="F58" s="191">
        <f t="shared" si="9"/>
        <v>6.0163022953346745E-2</v>
      </c>
      <c r="G58" s="191">
        <f t="shared" si="9"/>
        <v>1.2583365043861976E-2</v>
      </c>
      <c r="H58" s="191">
        <f t="shared" si="9"/>
        <v>1</v>
      </c>
    </row>
    <row r="59" spans="1:8" x14ac:dyDescent="0.2">
      <c r="A59" s="33" t="s">
        <v>80</v>
      </c>
      <c r="B59" s="209">
        <f t="shared" si="10"/>
        <v>1723</v>
      </c>
      <c r="C59" s="193">
        <f t="shared" si="9"/>
        <v>0.60543505056204971</v>
      </c>
      <c r="D59" s="193">
        <f t="shared" si="9"/>
        <v>0.19274854786923953</v>
      </c>
      <c r="E59" s="193">
        <f t="shared" si="9"/>
        <v>0.16500815578826605</v>
      </c>
      <c r="F59" s="193">
        <f t="shared" si="9"/>
        <v>3.0963493770254775E-2</v>
      </c>
      <c r="G59" s="193">
        <f t="shared" si="9"/>
        <v>5.8447520101898801E-3</v>
      </c>
      <c r="H59" s="193">
        <f t="shared" si="9"/>
        <v>1</v>
      </c>
    </row>
    <row r="60" spans="1:8" x14ac:dyDescent="0.2">
      <c r="A60" s="33" t="s">
        <v>103</v>
      </c>
      <c r="B60" s="208">
        <f>SUM(B54:B59)</f>
        <v>86297</v>
      </c>
      <c r="C60" s="191">
        <f t="shared" si="9"/>
        <v>0.75806477668005368</v>
      </c>
      <c r="D60" s="191">
        <f t="shared" si="9"/>
        <v>0.10535280639270288</v>
      </c>
      <c r="E60" s="191">
        <f t="shared" si="9"/>
        <v>8.3044542763634724E-2</v>
      </c>
      <c r="F60" s="191">
        <f t="shared" si="9"/>
        <v>2.276719611159498E-2</v>
      </c>
      <c r="G60" s="191">
        <f t="shared" si="9"/>
        <v>3.0770678052013535E-2</v>
      </c>
      <c r="H60" s="191">
        <f t="shared" si="9"/>
        <v>1</v>
      </c>
    </row>
    <row r="61" spans="1:8" x14ac:dyDescent="0.2">
      <c r="A61" s="33"/>
      <c r="B61" s="208"/>
      <c r="C61" s="191"/>
      <c r="D61" s="191"/>
      <c r="E61" s="191"/>
      <c r="F61" s="191"/>
      <c r="G61" s="191"/>
      <c r="H61" s="191"/>
    </row>
    <row r="62" spans="1:8" x14ac:dyDescent="0.2">
      <c r="A62" s="33" t="s">
        <v>81</v>
      </c>
      <c r="B62" s="208">
        <f t="shared" si="10"/>
        <v>22695</v>
      </c>
      <c r="C62" s="191">
        <f t="shared" ref="C62:H67" si="11">C36/$H36</f>
        <v>0.72893207845474683</v>
      </c>
      <c r="D62" s="191">
        <f t="shared" si="11"/>
        <v>0.13422450035238642</v>
      </c>
      <c r="E62" s="191">
        <f t="shared" si="11"/>
        <v>7.4234038478045314E-2</v>
      </c>
      <c r="F62" s="191">
        <f t="shared" si="11"/>
        <v>1.8725196584595195E-2</v>
      </c>
      <c r="G62" s="191">
        <f t="shared" si="11"/>
        <v>4.3884186130226273E-2</v>
      </c>
      <c r="H62" s="191">
        <f t="shared" si="11"/>
        <v>1</v>
      </c>
    </row>
    <row r="63" spans="1:8" x14ac:dyDescent="0.2">
      <c r="A63" s="33" t="s">
        <v>82</v>
      </c>
      <c r="B63" s="208">
        <f t="shared" si="10"/>
        <v>9003</v>
      </c>
      <c r="C63" s="191">
        <f t="shared" si="11"/>
        <v>0.71953113738082997</v>
      </c>
      <c r="D63" s="191">
        <f t="shared" si="11"/>
        <v>9.6416684056636559E-2</v>
      </c>
      <c r="E63" s="191">
        <f t="shared" si="11"/>
        <v>9.8703934238958291E-2</v>
      </c>
      <c r="F63" s="191">
        <f t="shared" si="11"/>
        <v>7.0993339750908713E-2</v>
      </c>
      <c r="G63" s="191">
        <f t="shared" si="11"/>
        <v>1.4354904572666491E-2</v>
      </c>
      <c r="H63" s="191">
        <f t="shared" si="11"/>
        <v>1</v>
      </c>
    </row>
    <row r="64" spans="1:8" x14ac:dyDescent="0.2">
      <c r="A64" s="33" t="s">
        <v>83</v>
      </c>
      <c r="B64" s="208">
        <f t="shared" si="10"/>
        <v>4976</v>
      </c>
      <c r="C64" s="191">
        <f t="shared" si="11"/>
        <v>0.68953546333946436</v>
      </c>
      <c r="D64" s="191">
        <f t="shared" si="11"/>
        <v>0.12564591097030803</v>
      </c>
      <c r="E64" s="191">
        <f t="shared" si="11"/>
        <v>0.10965684083250508</v>
      </c>
      <c r="F64" s="191">
        <f t="shared" si="11"/>
        <v>4.4219911991085041E-2</v>
      </c>
      <c r="G64" s="191">
        <f t="shared" si="11"/>
        <v>3.094187286663768E-2</v>
      </c>
      <c r="H64" s="191">
        <f t="shared" si="11"/>
        <v>1</v>
      </c>
    </row>
    <row r="65" spans="1:8" x14ac:dyDescent="0.2">
      <c r="A65" s="33" t="s">
        <v>84</v>
      </c>
      <c r="B65" s="208">
        <f t="shared" si="10"/>
        <v>5244</v>
      </c>
      <c r="C65" s="191">
        <f t="shared" si="11"/>
        <v>0.6581171165309001</v>
      </c>
      <c r="D65" s="191">
        <f t="shared" si="11"/>
        <v>0.14508919794267702</v>
      </c>
      <c r="E65" s="191">
        <f t="shared" si="11"/>
        <v>0.11801709510655586</v>
      </c>
      <c r="F65" s="191">
        <f t="shared" si="11"/>
        <v>5.2392791765300852E-2</v>
      </c>
      <c r="G65" s="191">
        <f t="shared" si="11"/>
        <v>2.6383798654566113E-2</v>
      </c>
      <c r="H65" s="191">
        <f t="shared" si="11"/>
        <v>1</v>
      </c>
    </row>
    <row r="66" spans="1:8" x14ac:dyDescent="0.2">
      <c r="A66" s="33" t="s">
        <v>85</v>
      </c>
      <c r="B66" s="209">
        <f t="shared" si="10"/>
        <v>1341</v>
      </c>
      <c r="C66" s="193">
        <f t="shared" si="11"/>
        <v>0.61723388395796519</v>
      </c>
      <c r="D66" s="193">
        <f t="shared" si="11"/>
        <v>0.14849095122765499</v>
      </c>
      <c r="E66" s="193">
        <f t="shared" si="11"/>
        <v>0.12962614578468828</v>
      </c>
      <c r="F66" s="193">
        <f t="shared" si="11"/>
        <v>9.6631932201320866E-2</v>
      </c>
      <c r="G66" s="193">
        <f t="shared" si="11"/>
        <v>8.0170868283704934E-3</v>
      </c>
      <c r="H66" s="193">
        <f t="shared" si="11"/>
        <v>1</v>
      </c>
    </row>
    <row r="67" spans="1:8" x14ac:dyDescent="0.2">
      <c r="A67" s="33" t="s">
        <v>104</v>
      </c>
      <c r="B67" s="208">
        <f t="shared" si="10"/>
        <v>43259</v>
      </c>
      <c r="C67" s="191">
        <f t="shared" si="11"/>
        <v>0.70497582053579133</v>
      </c>
      <c r="D67" s="191">
        <f t="shared" si="11"/>
        <v>0.12821525834065514</v>
      </c>
      <c r="E67" s="191">
        <f t="shared" si="11"/>
        <v>9.3290040598597551E-2</v>
      </c>
      <c r="F67" s="191">
        <f t="shared" si="11"/>
        <v>4.1778824220680154E-2</v>
      </c>
      <c r="G67" s="191">
        <f t="shared" si="11"/>
        <v>3.1740056304275788E-2</v>
      </c>
      <c r="H67" s="191">
        <f t="shared" si="11"/>
        <v>1</v>
      </c>
    </row>
    <row r="68" spans="1:8" x14ac:dyDescent="0.2">
      <c r="A68" s="33"/>
      <c r="B68" s="208"/>
      <c r="C68" s="191"/>
      <c r="D68" s="191"/>
      <c r="E68" s="191"/>
      <c r="F68" s="191"/>
      <c r="G68" s="191"/>
      <c r="H68" s="191"/>
    </row>
    <row r="69" spans="1:8" x14ac:dyDescent="0.2">
      <c r="A69" s="33" t="s">
        <v>86</v>
      </c>
      <c r="B69" s="208">
        <f t="shared" si="10"/>
        <v>10509</v>
      </c>
      <c r="C69" s="191">
        <f t="shared" ref="C69:H71" si="12">C43/$H43</f>
        <v>0.72762856830023226</v>
      </c>
      <c r="D69" s="191">
        <f t="shared" si="12"/>
        <v>0.11768630010530978</v>
      </c>
      <c r="E69" s="191">
        <f t="shared" si="12"/>
        <v>9.3383058815052544E-2</v>
      </c>
      <c r="F69" s="191">
        <f t="shared" si="12"/>
        <v>2.1078156181540825E-2</v>
      </c>
      <c r="G69" s="191">
        <f t="shared" si="12"/>
        <v>4.0223916597864701E-2</v>
      </c>
      <c r="H69" s="191">
        <f t="shared" si="12"/>
        <v>1</v>
      </c>
    </row>
    <row r="70" spans="1:8" x14ac:dyDescent="0.2">
      <c r="A70" s="33" t="s">
        <v>87</v>
      </c>
      <c r="B70" s="209">
        <f t="shared" si="10"/>
        <v>6954</v>
      </c>
      <c r="C70" s="193">
        <f t="shared" si="12"/>
        <v>0.6849213509488733</v>
      </c>
      <c r="D70" s="193">
        <f t="shared" si="12"/>
        <v>0.12543768803521455</v>
      </c>
      <c r="E70" s="193">
        <f t="shared" si="12"/>
        <v>0.12054570627450209</v>
      </c>
      <c r="F70" s="193">
        <f t="shared" si="12"/>
        <v>4.8624224251479546E-2</v>
      </c>
      <c r="G70" s="193">
        <f t="shared" si="12"/>
        <v>2.0471030489930604E-2</v>
      </c>
      <c r="H70" s="193">
        <f t="shared" si="12"/>
        <v>1</v>
      </c>
    </row>
    <row r="71" spans="1:8" x14ac:dyDescent="0.2">
      <c r="A71" s="33" t="s">
        <v>105</v>
      </c>
      <c r="B71" s="208">
        <f t="shared" si="10"/>
        <v>17463</v>
      </c>
      <c r="C71" s="191">
        <f t="shared" si="12"/>
        <v>0.70610590400541762</v>
      </c>
      <c r="D71" s="191">
        <f t="shared" si="12"/>
        <v>0.12159267777589591</v>
      </c>
      <c r="E71" s="191">
        <f t="shared" si="12"/>
        <v>0.10707190531185028</v>
      </c>
      <c r="F71" s="191">
        <f t="shared" si="12"/>
        <v>3.4960230745982923E-2</v>
      </c>
      <c r="G71" s="191">
        <f t="shared" si="12"/>
        <v>3.0269282160853239E-2</v>
      </c>
      <c r="H71" s="191">
        <f t="shared" si="12"/>
        <v>1</v>
      </c>
    </row>
    <row r="72" spans="1:8" x14ac:dyDescent="0.2">
      <c r="A72" s="33"/>
      <c r="B72" s="208"/>
      <c r="C72" s="191"/>
      <c r="D72" s="191"/>
      <c r="E72" s="191"/>
      <c r="F72" s="191"/>
      <c r="G72" s="191"/>
      <c r="H72" s="191"/>
    </row>
    <row r="73" spans="1:8" ht="13.5" thickBot="1" x14ac:dyDescent="0.25">
      <c r="A73" s="33" t="s">
        <v>230</v>
      </c>
      <c r="B73" s="213">
        <f>B71+B67+B60</f>
        <v>147019</v>
      </c>
      <c r="C73" s="195">
        <f t="shared" ref="C73:H73" si="13">C47/$H47</f>
        <v>0.73499483488478157</v>
      </c>
      <c r="D73" s="195">
        <f t="shared" si="13"/>
        <v>0.11450275142612519</v>
      </c>
      <c r="E73" s="195">
        <f t="shared" si="13"/>
        <v>8.9287819660723231E-2</v>
      </c>
      <c r="F73" s="195">
        <f t="shared" si="13"/>
        <v>3.020819221746392E-2</v>
      </c>
      <c r="G73" s="195">
        <f t="shared" si="13"/>
        <v>3.1006401810906057E-2</v>
      </c>
      <c r="H73" s="195">
        <f t="shared" si="13"/>
        <v>1</v>
      </c>
    </row>
    <row r="74" spans="1:8" ht="13.5" thickTop="1" x14ac:dyDescent="0.2">
      <c r="A74" s="33"/>
      <c r="B74" s="182"/>
      <c r="C74" s="33"/>
      <c r="D74" s="33"/>
      <c r="E74" s="33"/>
      <c r="F74" s="33"/>
      <c r="G74" s="33"/>
      <c r="H74" s="191"/>
    </row>
  </sheetData>
  <phoneticPr fontId="7" type="noConversion"/>
  <pageMargins left="0.75" right="0.75" top="1" bottom="1" header="0.5" footer="0.5"/>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70"/>
  <dimension ref="A1:H74"/>
  <sheetViews>
    <sheetView workbookViewId="0">
      <selection activeCell="L21" sqref="L21"/>
    </sheetView>
  </sheetViews>
  <sheetFormatPr defaultRowHeight="12.75" x14ac:dyDescent="0.2"/>
  <cols>
    <col min="1" max="1" width="28.7109375" customWidth="1"/>
    <col min="2" max="2" width="7.7109375" bestFit="1" customWidth="1"/>
    <col min="3" max="5" width="10.7109375" bestFit="1" customWidth="1"/>
    <col min="6" max="7" width="9.85546875" bestFit="1" customWidth="1"/>
    <col min="8" max="8" width="12" bestFit="1" customWidth="1"/>
  </cols>
  <sheetData>
    <row r="1" spans="1:8" x14ac:dyDescent="0.2">
      <c r="A1" s="36" t="s">
        <v>247</v>
      </c>
      <c r="B1" s="22"/>
      <c r="C1" s="22"/>
      <c r="D1" s="22"/>
      <c r="E1" s="22"/>
      <c r="F1" s="22"/>
      <c r="G1" s="22"/>
      <c r="H1" s="22"/>
    </row>
    <row r="2" spans="1:8" x14ac:dyDescent="0.2">
      <c r="A2" s="22" t="s">
        <v>568</v>
      </c>
    </row>
    <row r="3" spans="1:8" ht="33.75" x14ac:dyDescent="0.2">
      <c r="A3" s="22" t="s">
        <v>245</v>
      </c>
      <c r="B3" s="155" t="s">
        <v>54</v>
      </c>
      <c r="C3" s="141" t="s">
        <v>570</v>
      </c>
      <c r="D3" s="141" t="s">
        <v>571</v>
      </c>
      <c r="E3" s="141" t="s">
        <v>572</v>
      </c>
      <c r="F3" s="141" t="s">
        <v>573</v>
      </c>
      <c r="G3" s="141" t="s">
        <v>53</v>
      </c>
      <c r="H3" s="141" t="s">
        <v>574</v>
      </c>
    </row>
    <row r="4" spans="1:8" x14ac:dyDescent="0.2">
      <c r="A4" s="182" t="s">
        <v>102</v>
      </c>
      <c r="B4" s="208">
        <v>35880</v>
      </c>
      <c r="C4" s="208">
        <v>211557483.89999998</v>
      </c>
      <c r="D4" s="208">
        <v>29574011.039999999</v>
      </c>
      <c r="E4" s="208">
        <v>14713917.240000002</v>
      </c>
      <c r="F4" s="208">
        <v>5221671.4400000004</v>
      </c>
      <c r="G4" s="208">
        <v>8466311.7000000011</v>
      </c>
      <c r="H4" s="208">
        <v>269533395.31999999</v>
      </c>
    </row>
    <row r="5" spans="1:8" x14ac:dyDescent="0.2">
      <c r="A5" s="33" t="s">
        <v>76</v>
      </c>
      <c r="B5" s="208">
        <v>18007</v>
      </c>
      <c r="C5" s="208">
        <v>116105050.36000001</v>
      </c>
      <c r="D5" s="208">
        <v>13920372.65</v>
      </c>
      <c r="E5" s="208">
        <v>11984804.340000004</v>
      </c>
      <c r="F5" s="208">
        <v>2513890.56</v>
      </c>
      <c r="G5" s="208">
        <v>6076801.2700000033</v>
      </c>
      <c r="H5" s="208">
        <v>150600919.18000004</v>
      </c>
    </row>
    <row r="6" spans="1:8" x14ac:dyDescent="0.2">
      <c r="A6" s="33" t="s">
        <v>77</v>
      </c>
      <c r="B6" s="208">
        <v>11214</v>
      </c>
      <c r="C6" s="208">
        <v>72706240.060000002</v>
      </c>
      <c r="D6" s="208">
        <v>9876797.7800000012</v>
      </c>
      <c r="E6" s="208">
        <v>9569216.6900000013</v>
      </c>
      <c r="F6" s="208">
        <v>3594435.25</v>
      </c>
      <c r="G6" s="208">
        <v>2062324.55</v>
      </c>
      <c r="H6" s="208">
        <v>97809014.329999998</v>
      </c>
    </row>
    <row r="7" spans="1:8" x14ac:dyDescent="0.2">
      <c r="A7" s="33" t="s">
        <v>78</v>
      </c>
      <c r="B7" s="208">
        <v>15199</v>
      </c>
      <c r="C7" s="208">
        <v>92495087.439999998</v>
      </c>
      <c r="D7" s="208">
        <v>14213810.239999998</v>
      </c>
      <c r="E7" s="208">
        <v>12581681.160000002</v>
      </c>
      <c r="F7" s="208">
        <v>2962550.875</v>
      </c>
      <c r="G7" s="208">
        <v>4622813.7300000004</v>
      </c>
      <c r="H7" s="208">
        <v>126875943.44499999</v>
      </c>
    </row>
    <row r="8" spans="1:8" x14ac:dyDescent="0.2">
      <c r="A8" s="33" t="s">
        <v>79</v>
      </c>
      <c r="B8" s="208">
        <v>5522</v>
      </c>
      <c r="C8" s="208">
        <v>37827851.809999987</v>
      </c>
      <c r="D8" s="208">
        <v>7196426.9900000002</v>
      </c>
      <c r="E8" s="208">
        <v>6571310.8699999992</v>
      </c>
      <c r="F8" s="208">
        <v>1894482.645</v>
      </c>
      <c r="G8" s="208">
        <v>1035838.05</v>
      </c>
      <c r="H8" s="208">
        <v>54525910.364999987</v>
      </c>
    </row>
    <row r="9" spans="1:8" x14ac:dyDescent="0.2">
      <c r="A9" s="33" t="s">
        <v>80</v>
      </c>
      <c r="B9" s="209">
        <v>1621</v>
      </c>
      <c r="C9" s="209">
        <v>8489381.2000000011</v>
      </c>
      <c r="D9" s="209">
        <v>2799148.87</v>
      </c>
      <c r="E9" s="209">
        <v>2325924.2000000002</v>
      </c>
      <c r="F9" s="209">
        <v>639445.07999999996</v>
      </c>
      <c r="G9" s="209">
        <v>35586.69</v>
      </c>
      <c r="H9" s="209">
        <v>14289486.039999999</v>
      </c>
    </row>
    <row r="10" spans="1:8" x14ac:dyDescent="0.2">
      <c r="A10" s="33" t="s">
        <v>103</v>
      </c>
      <c r="B10" s="212">
        <v>87443</v>
      </c>
      <c r="C10" s="208">
        <v>539181094.76999998</v>
      </c>
      <c r="D10" s="208">
        <v>77580567.569999993</v>
      </c>
      <c r="E10" s="208">
        <v>57746854.500000015</v>
      </c>
      <c r="F10" s="208">
        <v>16826475.849999998</v>
      </c>
      <c r="G10" s="208">
        <v>22299675.99000001</v>
      </c>
      <c r="H10" s="208">
        <v>713634668.67999995</v>
      </c>
    </row>
    <row r="11" spans="1:8" x14ac:dyDescent="0.2">
      <c r="A11" s="33"/>
      <c r="B11" s="182"/>
      <c r="C11" s="208"/>
      <c r="D11" s="208"/>
      <c r="E11" s="208"/>
      <c r="F11" s="208"/>
      <c r="G11" s="208"/>
      <c r="H11" s="208"/>
    </row>
    <row r="12" spans="1:8" x14ac:dyDescent="0.2">
      <c r="A12" s="33" t="s">
        <v>81</v>
      </c>
      <c r="B12" s="208">
        <v>22784</v>
      </c>
      <c r="C12" s="208">
        <v>137002680.54000002</v>
      </c>
      <c r="D12" s="208">
        <v>24468133.899999999</v>
      </c>
      <c r="E12" s="208">
        <v>13459801.369999999</v>
      </c>
      <c r="F12" s="208">
        <v>4986857.03</v>
      </c>
      <c r="G12" s="208">
        <v>7896549.1099999994</v>
      </c>
      <c r="H12" s="208">
        <v>187814021.95000005</v>
      </c>
    </row>
    <row r="13" spans="1:8" x14ac:dyDescent="0.2">
      <c r="A13" s="33" t="s">
        <v>82</v>
      </c>
      <c r="B13" s="208">
        <v>9015</v>
      </c>
      <c r="C13" s="208">
        <v>54831115.909999996</v>
      </c>
      <c r="D13" s="208">
        <v>7687882.6799999997</v>
      </c>
      <c r="E13" s="208">
        <v>7691274.8500000006</v>
      </c>
      <c r="F13" s="208">
        <v>4038484.11</v>
      </c>
      <c r="G13" s="208">
        <v>1518005.87</v>
      </c>
      <c r="H13" s="208">
        <v>75766763.420000002</v>
      </c>
    </row>
    <row r="14" spans="1:8" x14ac:dyDescent="0.2">
      <c r="A14" s="33" t="s">
        <v>83</v>
      </c>
      <c r="B14" s="208">
        <v>5035</v>
      </c>
      <c r="C14" s="208">
        <v>31927201.640000001</v>
      </c>
      <c r="D14" s="208">
        <v>5856681.8399999999</v>
      </c>
      <c r="E14" s="208">
        <v>5154423.4000000004</v>
      </c>
      <c r="F14" s="208">
        <v>2277570.9900000002</v>
      </c>
      <c r="G14" s="208">
        <v>1577058.89</v>
      </c>
      <c r="H14" s="208">
        <v>46792936.760000005</v>
      </c>
    </row>
    <row r="15" spans="1:8" x14ac:dyDescent="0.2">
      <c r="A15" s="33" t="s">
        <v>84</v>
      </c>
      <c r="B15" s="208">
        <v>5261</v>
      </c>
      <c r="C15" s="208">
        <v>39237322.790000007</v>
      </c>
      <c r="D15" s="208">
        <v>8369699.5999999996</v>
      </c>
      <c r="E15" s="208">
        <v>7651658.9999999991</v>
      </c>
      <c r="F15" s="208">
        <v>2992750.1</v>
      </c>
      <c r="G15" s="208">
        <v>1615898.16</v>
      </c>
      <c r="H15" s="208">
        <v>59867329.650000006</v>
      </c>
    </row>
    <row r="16" spans="1:8" x14ac:dyDescent="0.2">
      <c r="A16" s="33" t="s">
        <v>85</v>
      </c>
      <c r="B16" s="209">
        <v>1470</v>
      </c>
      <c r="C16" s="209">
        <v>15013068.110000003</v>
      </c>
      <c r="D16" s="209">
        <v>3821087.97</v>
      </c>
      <c r="E16" s="209">
        <v>2887366.4</v>
      </c>
      <c r="F16" s="209">
        <v>1310299.6599999999</v>
      </c>
      <c r="G16" s="209">
        <v>199863.46</v>
      </c>
      <c r="H16" s="209">
        <v>23231685.600000001</v>
      </c>
    </row>
    <row r="17" spans="1:8" x14ac:dyDescent="0.2">
      <c r="A17" s="33" t="s">
        <v>104</v>
      </c>
      <c r="B17" s="208">
        <v>43565</v>
      </c>
      <c r="C17" s="208">
        <v>278011388.99000007</v>
      </c>
      <c r="D17" s="208">
        <v>50203485.990000002</v>
      </c>
      <c r="E17" s="208">
        <v>36844525.019999996</v>
      </c>
      <c r="F17" s="208">
        <v>15605961.890000001</v>
      </c>
      <c r="G17" s="208">
        <v>12807375.490000002</v>
      </c>
      <c r="H17" s="208">
        <v>393472737.38000011</v>
      </c>
    </row>
    <row r="18" spans="1:8" x14ac:dyDescent="0.2">
      <c r="A18" s="33"/>
      <c r="B18" s="182"/>
      <c r="C18" s="208"/>
      <c r="D18" s="208"/>
      <c r="E18" s="208"/>
      <c r="F18" s="208"/>
      <c r="G18" s="208"/>
      <c r="H18" s="208"/>
    </row>
    <row r="19" spans="1:8" x14ac:dyDescent="0.2">
      <c r="A19" s="33" t="s">
        <v>86</v>
      </c>
      <c r="B19" s="208">
        <v>10667</v>
      </c>
      <c r="C19" s="208">
        <v>58771801.480000004</v>
      </c>
      <c r="D19" s="208">
        <v>9814996.5600000005</v>
      </c>
      <c r="E19" s="208">
        <v>7084923.2400000012</v>
      </c>
      <c r="F19" s="208">
        <v>1731572.99</v>
      </c>
      <c r="G19" s="208">
        <v>3447051.6</v>
      </c>
      <c r="H19" s="208">
        <v>80850345.86999999</v>
      </c>
    </row>
    <row r="20" spans="1:8" x14ac:dyDescent="0.2">
      <c r="A20" s="33" t="s">
        <v>87</v>
      </c>
      <c r="B20" s="209">
        <v>7224</v>
      </c>
      <c r="C20" s="209">
        <v>55772570.740000002</v>
      </c>
      <c r="D20" s="209">
        <v>10545962.18</v>
      </c>
      <c r="E20" s="209">
        <v>10151879.02</v>
      </c>
      <c r="F20" s="209">
        <v>4204494.03</v>
      </c>
      <c r="G20" s="209">
        <v>1759671.46</v>
      </c>
      <c r="H20" s="209">
        <v>82434577.429999992</v>
      </c>
    </row>
    <row r="21" spans="1:8" x14ac:dyDescent="0.2">
      <c r="A21" s="33" t="s">
        <v>105</v>
      </c>
      <c r="B21" s="208">
        <v>17891</v>
      </c>
      <c r="C21" s="208">
        <v>114544372.22</v>
      </c>
      <c r="D21" s="208">
        <v>20360958.740000002</v>
      </c>
      <c r="E21" s="208">
        <v>17236802.260000002</v>
      </c>
      <c r="F21" s="208">
        <v>5936067.0200000005</v>
      </c>
      <c r="G21" s="208">
        <v>5206723.0599999996</v>
      </c>
      <c r="H21" s="208">
        <v>163284923.29999998</v>
      </c>
    </row>
    <row r="22" spans="1:8" x14ac:dyDescent="0.2">
      <c r="A22" s="33"/>
      <c r="B22" s="208"/>
      <c r="C22" s="208"/>
      <c r="D22" s="208"/>
      <c r="E22" s="208"/>
      <c r="F22" s="208"/>
      <c r="G22" s="208"/>
      <c r="H22" s="208"/>
    </row>
    <row r="23" spans="1:8" ht="13.5" thickBot="1" x14ac:dyDescent="0.25">
      <c r="A23" s="33" t="s">
        <v>209</v>
      </c>
      <c r="B23" s="213">
        <v>148899</v>
      </c>
      <c r="C23" s="213">
        <v>931736855.98000002</v>
      </c>
      <c r="D23" s="213">
        <v>148145012.30000001</v>
      </c>
      <c r="E23" s="213">
        <v>111828181.78000002</v>
      </c>
      <c r="F23" s="213">
        <v>38368504.759999998</v>
      </c>
      <c r="G23" s="213">
        <v>40313774.540000014</v>
      </c>
      <c r="H23" s="213">
        <v>1270392329.3599999</v>
      </c>
    </row>
    <row r="24" spans="1:8" ht="13.5" thickTop="1" x14ac:dyDescent="0.2">
      <c r="A24" s="33"/>
      <c r="B24" s="182"/>
      <c r="C24" s="182"/>
      <c r="D24" s="182"/>
      <c r="E24" s="182"/>
      <c r="F24" s="182"/>
      <c r="G24" s="182"/>
      <c r="H24" s="33"/>
    </row>
    <row r="25" spans="1:8" x14ac:dyDescent="0.2">
      <c r="A25" s="36" t="s">
        <v>247</v>
      </c>
      <c r="B25" s="22"/>
      <c r="C25" s="22"/>
      <c r="D25" s="22"/>
      <c r="E25" s="22"/>
      <c r="F25" s="22"/>
      <c r="G25" s="22"/>
      <c r="H25" s="22"/>
    </row>
    <row r="26" spans="1:8" x14ac:dyDescent="0.2">
      <c r="A26" s="36" t="s">
        <v>52</v>
      </c>
      <c r="B26" s="22"/>
      <c r="C26" s="22"/>
      <c r="D26" s="22"/>
      <c r="E26" s="22"/>
      <c r="F26" s="22"/>
      <c r="G26" s="22"/>
      <c r="H26" s="22"/>
    </row>
    <row r="27" spans="1:8" ht="33.75" x14ac:dyDescent="0.2">
      <c r="A27" s="155" t="s">
        <v>245</v>
      </c>
      <c r="B27" s="155" t="s">
        <v>54</v>
      </c>
      <c r="C27" s="141" t="s">
        <v>570</v>
      </c>
      <c r="D27" s="141" t="s">
        <v>571</v>
      </c>
      <c r="E27" s="141" t="s">
        <v>572</v>
      </c>
      <c r="F27" s="141" t="s">
        <v>573</v>
      </c>
      <c r="G27" s="141" t="s">
        <v>53</v>
      </c>
      <c r="H27" s="141" t="s">
        <v>574</v>
      </c>
    </row>
    <row r="28" spans="1:8" x14ac:dyDescent="0.2">
      <c r="A28" s="33" t="s">
        <v>102</v>
      </c>
      <c r="B28" s="208">
        <v>35880</v>
      </c>
      <c r="C28" s="182">
        <f t="shared" ref="C28:H28" si="0">C4/$B28</f>
        <v>5896.2509448160527</v>
      </c>
      <c r="D28" s="182">
        <f t="shared" si="0"/>
        <v>824.24779933110369</v>
      </c>
      <c r="E28" s="182">
        <f t="shared" si="0"/>
        <v>410.08687959866228</v>
      </c>
      <c r="F28" s="182">
        <f t="shared" si="0"/>
        <v>145.53153400222968</v>
      </c>
      <c r="G28" s="182">
        <f t="shared" si="0"/>
        <v>235.96186454849502</v>
      </c>
      <c r="H28" s="182">
        <f t="shared" si="0"/>
        <v>7512.0790222965443</v>
      </c>
    </row>
    <row r="29" spans="1:8" x14ac:dyDescent="0.2">
      <c r="A29" s="33" t="s">
        <v>76</v>
      </c>
      <c r="B29" s="208">
        <v>18007</v>
      </c>
      <c r="C29" s="182">
        <f t="shared" ref="C29:H29" si="1">C5/$B29</f>
        <v>6447.7731082356868</v>
      </c>
      <c r="D29" s="182">
        <f t="shared" si="1"/>
        <v>773.05340423168775</v>
      </c>
      <c r="E29" s="182">
        <f t="shared" si="1"/>
        <v>665.56363303159901</v>
      </c>
      <c r="F29" s="182">
        <f t="shared" si="1"/>
        <v>139.60629532959405</v>
      </c>
      <c r="G29" s="182">
        <f t="shared" si="1"/>
        <v>337.46883267618165</v>
      </c>
      <c r="H29" s="182">
        <f t="shared" si="1"/>
        <v>8363.4652735047493</v>
      </c>
    </row>
    <row r="30" spans="1:8" x14ac:dyDescent="0.2">
      <c r="A30" s="33" t="s">
        <v>77</v>
      </c>
      <c r="B30" s="208">
        <v>11214</v>
      </c>
      <c r="C30" s="182">
        <f t="shared" ref="C30:H30" si="2">C6/$B30</f>
        <v>6483.52417157125</v>
      </c>
      <c r="D30" s="182">
        <f t="shared" si="2"/>
        <v>880.75599964330308</v>
      </c>
      <c r="E30" s="182">
        <f t="shared" si="2"/>
        <v>853.32768771178894</v>
      </c>
      <c r="F30" s="182">
        <f t="shared" si="2"/>
        <v>320.5310549313358</v>
      </c>
      <c r="G30" s="182">
        <f t="shared" si="2"/>
        <v>183.90623773854111</v>
      </c>
      <c r="H30" s="182">
        <f t="shared" si="2"/>
        <v>8722.0451515962195</v>
      </c>
    </row>
    <row r="31" spans="1:8" x14ac:dyDescent="0.2">
      <c r="A31" s="33" t="s">
        <v>78</v>
      </c>
      <c r="B31" s="208">
        <v>15199</v>
      </c>
      <c r="C31" s="182">
        <f t="shared" ref="C31:H31" si="3">C7/$B31</f>
        <v>6085.6034897032696</v>
      </c>
      <c r="D31" s="182">
        <f t="shared" si="3"/>
        <v>935.18061977761681</v>
      </c>
      <c r="E31" s="182">
        <f t="shared" si="3"/>
        <v>827.79664188433458</v>
      </c>
      <c r="F31" s="182">
        <f t="shared" si="3"/>
        <v>194.91748634778605</v>
      </c>
      <c r="G31" s="182">
        <f t="shared" si="3"/>
        <v>304.15249226922828</v>
      </c>
      <c r="H31" s="182">
        <f t="shared" si="3"/>
        <v>8347.6507299822351</v>
      </c>
    </row>
    <row r="32" spans="1:8" x14ac:dyDescent="0.2">
      <c r="A32" s="33" t="s">
        <v>79</v>
      </c>
      <c r="B32" s="208">
        <v>5522</v>
      </c>
      <c r="C32" s="182">
        <f t="shared" ref="C32:H32" si="4">C8/$B32</f>
        <v>6850.3896794639604</v>
      </c>
      <c r="D32" s="182">
        <f t="shared" si="4"/>
        <v>1303.2283574791743</v>
      </c>
      <c r="E32" s="182">
        <f t="shared" si="4"/>
        <v>1190.0236997464685</v>
      </c>
      <c r="F32" s="182">
        <f t="shared" si="4"/>
        <v>343.07907370517927</v>
      </c>
      <c r="G32" s="182">
        <f t="shared" si="4"/>
        <v>187.58385548714236</v>
      </c>
      <c r="H32" s="182">
        <f t="shared" si="4"/>
        <v>9874.3046658819239</v>
      </c>
    </row>
    <row r="33" spans="1:8" x14ac:dyDescent="0.2">
      <c r="A33" s="33" t="s">
        <v>80</v>
      </c>
      <c r="B33" s="209">
        <v>1621</v>
      </c>
      <c r="C33" s="183">
        <f t="shared" ref="C33:H33" si="5">C9/$B33</f>
        <v>5237.1259716224558</v>
      </c>
      <c r="D33" s="183">
        <f t="shared" si="5"/>
        <v>1726.8037446020976</v>
      </c>
      <c r="E33" s="183">
        <f t="shared" si="5"/>
        <v>1434.8699568167799</v>
      </c>
      <c r="F33" s="183">
        <f t="shared" si="5"/>
        <v>394.47568167797652</v>
      </c>
      <c r="G33" s="183">
        <f t="shared" si="5"/>
        <v>21.953541024059223</v>
      </c>
      <c r="H33" s="183">
        <f t="shared" si="5"/>
        <v>8815.2288957433684</v>
      </c>
    </row>
    <row r="34" spans="1:8" x14ac:dyDescent="0.2">
      <c r="A34" s="33" t="s">
        <v>103</v>
      </c>
      <c r="B34" s="208">
        <v>87443</v>
      </c>
      <c r="C34" s="182">
        <f t="shared" ref="C34:H34" si="6">C10/$B34</f>
        <v>6166.0864193817688</v>
      </c>
      <c r="D34" s="182">
        <f t="shared" si="6"/>
        <v>887.21301384902154</v>
      </c>
      <c r="E34" s="182">
        <f t="shared" si="6"/>
        <v>660.39425111215326</v>
      </c>
      <c r="F34" s="182">
        <f t="shared" si="6"/>
        <v>192.42793419713411</v>
      </c>
      <c r="G34" s="182">
        <f t="shared" si="6"/>
        <v>255.01956691787805</v>
      </c>
      <c r="H34" s="182">
        <f t="shared" si="6"/>
        <v>8161.1411854579546</v>
      </c>
    </row>
    <row r="35" spans="1:8" x14ac:dyDescent="0.2">
      <c r="A35" s="33"/>
      <c r="B35" s="182"/>
      <c r="C35" s="182"/>
      <c r="D35" s="182"/>
      <c r="E35" s="182"/>
      <c r="F35" s="182"/>
      <c r="G35" s="182"/>
      <c r="H35" s="182"/>
    </row>
    <row r="36" spans="1:8" x14ac:dyDescent="0.2">
      <c r="A36" s="33" t="s">
        <v>81</v>
      </c>
      <c r="B36" s="208">
        <v>22784</v>
      </c>
      <c r="C36" s="182">
        <f t="shared" ref="C36:H36" si="7">C12/$B36</f>
        <v>6013.1092231390458</v>
      </c>
      <c r="D36" s="182">
        <f t="shared" si="7"/>
        <v>1073.9173937851124</v>
      </c>
      <c r="E36" s="182">
        <f t="shared" si="7"/>
        <v>590.75673147823034</v>
      </c>
      <c r="F36" s="182">
        <f t="shared" si="7"/>
        <v>218.87539633075843</v>
      </c>
      <c r="G36" s="182">
        <f t="shared" si="7"/>
        <v>346.5830894487359</v>
      </c>
      <c r="H36" s="182">
        <f t="shared" si="7"/>
        <v>8243.2418341818848</v>
      </c>
    </row>
    <row r="37" spans="1:8" x14ac:dyDescent="0.2">
      <c r="A37" s="33" t="s">
        <v>82</v>
      </c>
      <c r="B37" s="208">
        <v>9015</v>
      </c>
      <c r="C37" s="182">
        <f t="shared" ref="C37:H37" si="8">C13/$B37</f>
        <v>6082.2091968940649</v>
      </c>
      <c r="D37" s="182">
        <f t="shared" si="8"/>
        <v>852.78787354409315</v>
      </c>
      <c r="E37" s="182">
        <f t="shared" si="8"/>
        <v>853.16415418746544</v>
      </c>
      <c r="F37" s="182">
        <f t="shared" si="8"/>
        <v>447.97383361064891</v>
      </c>
      <c r="G37" s="182">
        <f t="shared" si="8"/>
        <v>168.38667443150305</v>
      </c>
      <c r="H37" s="182">
        <f t="shared" si="8"/>
        <v>8404.5217326677757</v>
      </c>
    </row>
    <row r="38" spans="1:8" x14ac:dyDescent="0.2">
      <c r="A38" s="33" t="s">
        <v>83</v>
      </c>
      <c r="B38" s="208">
        <v>5035</v>
      </c>
      <c r="C38" s="182">
        <f t="shared" ref="C38:H38" si="9">C14/$B38</f>
        <v>6341.052957298908</v>
      </c>
      <c r="D38" s="182">
        <f t="shared" si="9"/>
        <v>1163.1940099304866</v>
      </c>
      <c r="E38" s="182">
        <f t="shared" si="9"/>
        <v>1023.7186494538233</v>
      </c>
      <c r="F38" s="182">
        <f t="shared" si="9"/>
        <v>452.34776365441911</v>
      </c>
      <c r="G38" s="182">
        <f t="shared" si="9"/>
        <v>313.21924329692155</v>
      </c>
      <c r="H38" s="182">
        <f t="shared" si="9"/>
        <v>9293.5326236345591</v>
      </c>
    </row>
    <row r="39" spans="1:8" x14ac:dyDescent="0.2">
      <c r="A39" s="33" t="s">
        <v>84</v>
      </c>
      <c r="B39" s="208">
        <v>5261</v>
      </c>
      <c r="C39" s="182">
        <f t="shared" ref="C39:H39" si="10">C15/$B39</f>
        <v>7458.1491712602183</v>
      </c>
      <c r="D39" s="182">
        <f t="shared" si="10"/>
        <v>1590.8951910283215</v>
      </c>
      <c r="E39" s="182">
        <f t="shared" si="10"/>
        <v>1454.4115187226762</v>
      </c>
      <c r="F39" s="182">
        <f t="shared" si="10"/>
        <v>568.85574985744154</v>
      </c>
      <c r="G39" s="182">
        <f t="shared" si="10"/>
        <v>307.14658049800414</v>
      </c>
      <c r="H39" s="182">
        <f t="shared" si="10"/>
        <v>11379.458211366662</v>
      </c>
    </row>
    <row r="40" spans="1:8" x14ac:dyDescent="0.2">
      <c r="A40" s="33" t="s">
        <v>85</v>
      </c>
      <c r="B40" s="209">
        <v>1470</v>
      </c>
      <c r="C40" s="183">
        <f t="shared" ref="C40:H40" si="11">C16/$B40</f>
        <v>10212.971503401362</v>
      </c>
      <c r="D40" s="183">
        <f t="shared" si="11"/>
        <v>2599.3795714285716</v>
      </c>
      <c r="E40" s="183">
        <f t="shared" si="11"/>
        <v>1964.1948299319727</v>
      </c>
      <c r="F40" s="183">
        <f t="shared" si="11"/>
        <v>891.36031292516998</v>
      </c>
      <c r="G40" s="183">
        <f t="shared" si="11"/>
        <v>135.96153741496599</v>
      </c>
      <c r="H40" s="183">
        <f t="shared" si="11"/>
        <v>15803.867755102041</v>
      </c>
    </row>
    <row r="41" spans="1:8" x14ac:dyDescent="0.2">
      <c r="A41" s="33" t="s">
        <v>104</v>
      </c>
      <c r="B41" s="208">
        <v>43565</v>
      </c>
      <c r="C41" s="182">
        <f t="shared" ref="C41:H41" si="12">C17/$B41</f>
        <v>6381.530792838289</v>
      </c>
      <c r="D41" s="182">
        <f t="shared" si="12"/>
        <v>1152.3811773212442</v>
      </c>
      <c r="E41" s="182">
        <f t="shared" si="12"/>
        <v>845.73683048318594</v>
      </c>
      <c r="F41" s="182">
        <f t="shared" si="12"/>
        <v>358.22246964306208</v>
      </c>
      <c r="G41" s="182">
        <f t="shared" si="12"/>
        <v>293.98313990588781</v>
      </c>
      <c r="H41" s="182">
        <f t="shared" si="12"/>
        <v>9031.8544101916705</v>
      </c>
    </row>
    <row r="42" spans="1:8" x14ac:dyDescent="0.2">
      <c r="A42" s="33"/>
      <c r="B42" s="182"/>
      <c r="C42" s="182"/>
      <c r="D42" s="182"/>
      <c r="E42" s="182"/>
      <c r="F42" s="182"/>
      <c r="G42" s="182"/>
      <c r="H42" s="182"/>
    </row>
    <row r="43" spans="1:8" x14ac:dyDescent="0.2">
      <c r="A43" s="33" t="s">
        <v>86</v>
      </c>
      <c r="B43" s="208">
        <v>10667</v>
      </c>
      <c r="C43" s="182">
        <f t="shared" ref="C43:H43" si="13">C19/$B43</f>
        <v>5509.6842111184033</v>
      </c>
      <c r="D43" s="182">
        <f t="shared" si="13"/>
        <v>920.1271735258274</v>
      </c>
      <c r="E43" s="182">
        <f t="shared" si="13"/>
        <v>664.19079778756929</v>
      </c>
      <c r="F43" s="182">
        <f t="shared" si="13"/>
        <v>162.32989500328114</v>
      </c>
      <c r="G43" s="182">
        <f t="shared" si="13"/>
        <v>323.15098903159276</v>
      </c>
      <c r="H43" s="182">
        <f t="shared" si="13"/>
        <v>7579.4830664666715</v>
      </c>
    </row>
    <row r="44" spans="1:8" x14ac:dyDescent="0.2">
      <c r="A44" s="33" t="s">
        <v>87</v>
      </c>
      <c r="B44" s="209">
        <v>7224</v>
      </c>
      <c r="C44" s="183">
        <f t="shared" ref="C44:H44" si="14">C20/$B44</f>
        <v>7720.4555287929124</v>
      </c>
      <c r="D44" s="183">
        <f t="shared" si="14"/>
        <v>1459.8508001107418</v>
      </c>
      <c r="E44" s="183">
        <f t="shared" si="14"/>
        <v>1405.2988676633443</v>
      </c>
      <c r="F44" s="183">
        <f t="shared" si="14"/>
        <v>582.01744601328903</v>
      </c>
      <c r="G44" s="183">
        <f t="shared" si="14"/>
        <v>243.58685769656699</v>
      </c>
      <c r="H44" s="183">
        <f t="shared" si="14"/>
        <v>11411.209500276855</v>
      </c>
    </row>
    <row r="45" spans="1:8" x14ac:dyDescent="0.2">
      <c r="A45" s="33" t="s">
        <v>105</v>
      </c>
      <c r="B45" s="208">
        <v>17891</v>
      </c>
      <c r="C45" s="182">
        <f t="shared" ref="C45:H45" si="15">C21/$B45</f>
        <v>6402.3459963109945</v>
      </c>
      <c r="D45" s="182">
        <f t="shared" si="15"/>
        <v>1138.0559353865074</v>
      </c>
      <c r="E45" s="182">
        <f t="shared" si="15"/>
        <v>963.43425521211793</v>
      </c>
      <c r="F45" s="182">
        <f t="shared" si="15"/>
        <v>331.79067799452241</v>
      </c>
      <c r="G45" s="182">
        <f t="shared" si="15"/>
        <v>291.02470851265997</v>
      </c>
      <c r="H45" s="182">
        <f t="shared" si="15"/>
        <v>9126.6515734168006</v>
      </c>
    </row>
    <row r="46" spans="1:8" x14ac:dyDescent="0.2">
      <c r="A46" s="33"/>
      <c r="B46" s="208"/>
      <c r="C46" s="182"/>
      <c r="D46" s="182"/>
      <c r="E46" s="182"/>
      <c r="F46" s="182"/>
      <c r="G46" s="182"/>
      <c r="H46" s="182"/>
    </row>
    <row r="47" spans="1:8" ht="13.5" thickBot="1" x14ac:dyDescent="0.25">
      <c r="A47" s="33" t="s">
        <v>209</v>
      </c>
      <c r="B47" s="213">
        <v>148899</v>
      </c>
      <c r="C47" s="192">
        <f t="shared" ref="C47:H47" si="16">C23/$B47</f>
        <v>6257.5091570796312</v>
      </c>
      <c r="D47" s="192">
        <f t="shared" si="16"/>
        <v>994.93624738916992</v>
      </c>
      <c r="E47" s="192">
        <f t="shared" si="16"/>
        <v>751.0337999583611</v>
      </c>
      <c r="F47" s="192">
        <f t="shared" si="16"/>
        <v>257.68141330700672</v>
      </c>
      <c r="G47" s="192">
        <f t="shared" si="16"/>
        <v>270.74577089167832</v>
      </c>
      <c r="H47" s="192">
        <f t="shared" si="16"/>
        <v>8531.9063886258464</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569</v>
      </c>
      <c r="B52" s="182"/>
      <c r="C52" s="182"/>
      <c r="D52" s="182"/>
      <c r="E52" s="182"/>
      <c r="F52" s="182"/>
      <c r="G52" s="182"/>
      <c r="H52" s="182"/>
    </row>
    <row r="53" spans="1:8" ht="33.75" x14ac:dyDescent="0.2">
      <c r="A53" s="155" t="s">
        <v>245</v>
      </c>
      <c r="B53" s="155" t="s">
        <v>54</v>
      </c>
      <c r="C53" s="141" t="s">
        <v>570</v>
      </c>
      <c r="D53" s="141" t="s">
        <v>571</v>
      </c>
      <c r="E53" s="141" t="s">
        <v>572</v>
      </c>
      <c r="F53" s="141" t="s">
        <v>573</v>
      </c>
      <c r="G53" s="141" t="s">
        <v>53</v>
      </c>
      <c r="H53" s="141" t="s">
        <v>574</v>
      </c>
    </row>
    <row r="54" spans="1:8" x14ac:dyDescent="0.2">
      <c r="A54" s="33" t="s">
        <v>102</v>
      </c>
      <c r="B54" s="208">
        <v>35880</v>
      </c>
      <c r="C54" s="191">
        <f t="shared" ref="C54:H54" si="17">C28/$H28</f>
        <v>0.7849026783817683</v>
      </c>
      <c r="D54" s="191">
        <f t="shared" si="17"/>
        <v>0.10972299371248094</v>
      </c>
      <c r="E54" s="191">
        <f t="shared" si="17"/>
        <v>5.4590330903267467E-2</v>
      </c>
      <c r="F54" s="191">
        <f t="shared" si="17"/>
        <v>1.9373003607959745E-2</v>
      </c>
      <c r="G54" s="191">
        <f t="shared" si="17"/>
        <v>3.1410993394523461E-2</v>
      </c>
      <c r="H54" s="191">
        <f t="shared" si="17"/>
        <v>1</v>
      </c>
    </row>
    <row r="55" spans="1:8" x14ac:dyDescent="0.2">
      <c r="A55" s="33" t="s">
        <v>76</v>
      </c>
      <c r="B55" s="208">
        <v>18007</v>
      </c>
      <c r="C55" s="191">
        <f t="shared" ref="C55:H55" si="18">C29/$H29</f>
        <v>0.77094516416084991</v>
      </c>
      <c r="D55" s="191">
        <f t="shared" si="18"/>
        <v>9.2432189164544237E-2</v>
      </c>
      <c r="E55" s="191">
        <f t="shared" si="18"/>
        <v>7.9579888391488648E-2</v>
      </c>
      <c r="F55" s="191">
        <f t="shared" si="18"/>
        <v>1.6692398517138982E-2</v>
      </c>
      <c r="G55" s="191">
        <f t="shared" si="18"/>
        <v>4.0350359765978172E-2</v>
      </c>
      <c r="H55" s="191">
        <f t="shared" si="18"/>
        <v>1</v>
      </c>
    </row>
    <row r="56" spans="1:8" x14ac:dyDescent="0.2">
      <c r="A56" s="33" t="s">
        <v>77</v>
      </c>
      <c r="B56" s="208">
        <v>11214</v>
      </c>
      <c r="C56" s="191">
        <f t="shared" ref="C56:H56" si="19">C30/$H30</f>
        <v>0.74334907225109947</v>
      </c>
      <c r="D56" s="191">
        <f t="shared" si="19"/>
        <v>0.10098044487675188</v>
      </c>
      <c r="E56" s="191">
        <f t="shared" si="19"/>
        <v>9.7835733807869779E-2</v>
      </c>
      <c r="F56" s="191">
        <f t="shared" si="19"/>
        <v>3.674952942346045E-2</v>
      </c>
      <c r="G56" s="191">
        <f t="shared" si="19"/>
        <v>2.1085219640818356E-2</v>
      </c>
      <c r="H56" s="191">
        <f t="shared" si="19"/>
        <v>1</v>
      </c>
    </row>
    <row r="57" spans="1:8" x14ac:dyDescent="0.2">
      <c r="A57" s="33" t="s">
        <v>78</v>
      </c>
      <c r="B57" s="208">
        <v>15199</v>
      </c>
      <c r="C57" s="191">
        <f t="shared" ref="C57:H57" si="20">C31/$H31</f>
        <v>0.72901989871780615</v>
      </c>
      <c r="D57" s="191">
        <f t="shared" si="20"/>
        <v>0.1120291983969491</v>
      </c>
      <c r="E57" s="191">
        <f t="shared" si="20"/>
        <v>9.9165222487225008E-2</v>
      </c>
      <c r="F57" s="191">
        <f t="shared" si="20"/>
        <v>2.3349981048883781E-2</v>
      </c>
      <c r="G57" s="191">
        <f t="shared" si="20"/>
        <v>3.6435699349135986E-2</v>
      </c>
      <c r="H57" s="191">
        <f t="shared" si="20"/>
        <v>1</v>
      </c>
    </row>
    <row r="58" spans="1:8" x14ac:dyDescent="0.2">
      <c r="A58" s="33" t="s">
        <v>79</v>
      </c>
      <c r="B58" s="208">
        <v>5522</v>
      </c>
      <c r="C58" s="191">
        <f t="shared" ref="C58:H58" si="21">C32/$H32</f>
        <v>0.69375919735732783</v>
      </c>
      <c r="D58" s="191">
        <f t="shared" si="21"/>
        <v>0.13198178520682463</v>
      </c>
      <c r="E58" s="191">
        <f t="shared" si="21"/>
        <v>0.1205172151370095</v>
      </c>
      <c r="F58" s="191">
        <f t="shared" si="21"/>
        <v>3.4744631172926962E-2</v>
      </c>
      <c r="G58" s="191">
        <f t="shared" si="21"/>
        <v>1.8997171125911202E-2</v>
      </c>
      <c r="H58" s="191">
        <f t="shared" si="21"/>
        <v>1</v>
      </c>
    </row>
    <row r="59" spans="1:8" x14ac:dyDescent="0.2">
      <c r="A59" s="33" t="s">
        <v>80</v>
      </c>
      <c r="B59" s="209">
        <v>1621</v>
      </c>
      <c r="C59" s="193">
        <f t="shared" ref="C59:H59" si="22">C33/$H33</f>
        <v>0.59409982809990558</v>
      </c>
      <c r="D59" s="193">
        <f t="shared" si="22"/>
        <v>0.19588870181645807</v>
      </c>
      <c r="E59" s="193">
        <f t="shared" si="22"/>
        <v>0.16277171855510628</v>
      </c>
      <c r="F59" s="193">
        <f t="shared" si="22"/>
        <v>4.4749340753756035E-2</v>
      </c>
      <c r="G59" s="193">
        <f t="shared" si="22"/>
        <v>2.490410774774094E-3</v>
      </c>
      <c r="H59" s="193">
        <f t="shared" si="22"/>
        <v>1</v>
      </c>
    </row>
    <row r="60" spans="1:8" x14ac:dyDescent="0.2">
      <c r="A60" s="33" t="s">
        <v>103</v>
      </c>
      <c r="B60" s="208">
        <v>87443</v>
      </c>
      <c r="C60" s="191">
        <f t="shared" ref="C60:H60" si="23">C34/$H34</f>
        <v>0.75554218206258916</v>
      </c>
      <c r="D60" s="191">
        <f t="shared" si="23"/>
        <v>0.10871188154787895</v>
      </c>
      <c r="E60" s="191">
        <f t="shared" si="23"/>
        <v>8.0919351363371361E-2</v>
      </c>
      <c r="F60" s="191">
        <f t="shared" si="23"/>
        <v>2.3578557192468937E-2</v>
      </c>
      <c r="G60" s="191">
        <f t="shared" si="23"/>
        <v>3.1248027833691724E-2</v>
      </c>
      <c r="H60" s="191">
        <f t="shared" si="23"/>
        <v>1</v>
      </c>
    </row>
    <row r="61" spans="1:8" x14ac:dyDescent="0.2">
      <c r="A61" s="33"/>
      <c r="B61" s="182"/>
      <c r="C61" s="191"/>
      <c r="D61" s="191"/>
      <c r="E61" s="191"/>
      <c r="F61" s="191"/>
      <c r="G61" s="191"/>
      <c r="H61" s="191"/>
    </row>
    <row r="62" spans="1:8" x14ac:dyDescent="0.2">
      <c r="A62" s="33" t="s">
        <v>81</v>
      </c>
      <c r="B62" s="208">
        <v>22784</v>
      </c>
      <c r="C62" s="191">
        <f t="shared" ref="C62:H62" si="24">C36/$H36</f>
        <v>0.72945927634984009</v>
      </c>
      <c r="D62" s="191">
        <f t="shared" si="24"/>
        <v>0.13027852577755838</v>
      </c>
      <c r="E62" s="191">
        <f t="shared" si="24"/>
        <v>7.1665582954095267E-2</v>
      </c>
      <c r="F62" s="191">
        <f t="shared" si="24"/>
        <v>2.6552101798488738E-2</v>
      </c>
      <c r="G62" s="191">
        <f t="shared" si="24"/>
        <v>4.2044513120017321E-2</v>
      </c>
      <c r="H62" s="191">
        <f t="shared" si="24"/>
        <v>1</v>
      </c>
    </row>
    <row r="63" spans="1:8" x14ac:dyDescent="0.2">
      <c r="A63" s="33" t="s">
        <v>82</v>
      </c>
      <c r="B63" s="208">
        <v>9015</v>
      </c>
      <c r="C63" s="191">
        <f t="shared" ref="C63:H63" si="25">C37/$H37</f>
        <v>0.72368296380898778</v>
      </c>
      <c r="D63" s="191">
        <f t="shared" si="25"/>
        <v>0.10146774565759853</v>
      </c>
      <c r="E63" s="191">
        <f t="shared" si="25"/>
        <v>0.10151251687187354</v>
      </c>
      <c r="F63" s="191">
        <f t="shared" si="25"/>
        <v>5.3301525995156467E-2</v>
      </c>
      <c r="G63" s="191">
        <f t="shared" si="25"/>
        <v>2.003524766638369E-2</v>
      </c>
      <c r="H63" s="191">
        <f t="shared" si="25"/>
        <v>1</v>
      </c>
    </row>
    <row r="64" spans="1:8" x14ac:dyDescent="0.2">
      <c r="A64" s="33" t="s">
        <v>83</v>
      </c>
      <c r="B64" s="208">
        <v>5035</v>
      </c>
      <c r="C64" s="191">
        <f t="shared" ref="C64:H64" si="26">C38/$H38</f>
        <v>0.68230813987491212</v>
      </c>
      <c r="D64" s="191">
        <f t="shared" si="26"/>
        <v>0.12516166424943145</v>
      </c>
      <c r="E64" s="191">
        <f t="shared" si="26"/>
        <v>0.11015387699295152</v>
      </c>
      <c r="F64" s="191">
        <f t="shared" si="26"/>
        <v>4.8673392774674827E-2</v>
      </c>
      <c r="G64" s="191">
        <f t="shared" si="26"/>
        <v>3.3702926108029982E-2</v>
      </c>
      <c r="H64" s="191">
        <f t="shared" si="26"/>
        <v>1</v>
      </c>
    </row>
    <row r="65" spans="1:8" x14ac:dyDescent="0.2">
      <c r="A65" s="33" t="s">
        <v>84</v>
      </c>
      <c r="B65" s="208">
        <v>5261</v>
      </c>
      <c r="C65" s="191">
        <f t="shared" ref="C65:H65" si="27">C39/$H39</f>
        <v>0.65540459244452043</v>
      </c>
      <c r="D65" s="191">
        <f t="shared" si="27"/>
        <v>0.13980412436852357</v>
      </c>
      <c r="E65" s="191">
        <f t="shared" si="27"/>
        <v>0.12781026053330907</v>
      </c>
      <c r="F65" s="191">
        <f t="shared" si="27"/>
        <v>4.9989704192526976E-2</v>
      </c>
      <c r="G65" s="191">
        <f t="shared" si="27"/>
        <v>2.6991318461119962E-2</v>
      </c>
      <c r="H65" s="191">
        <f t="shared" si="27"/>
        <v>1</v>
      </c>
    </row>
    <row r="66" spans="1:8" x14ac:dyDescent="0.2">
      <c r="A66" s="33" t="s">
        <v>85</v>
      </c>
      <c r="B66" s="209">
        <v>1470</v>
      </c>
      <c r="C66" s="193">
        <f t="shared" ref="C66:H66" si="28">C40/$H40</f>
        <v>0.64623240726019482</v>
      </c>
      <c r="D66" s="193">
        <f t="shared" si="28"/>
        <v>0.16447743120283964</v>
      </c>
      <c r="E66" s="193">
        <f t="shared" si="28"/>
        <v>0.12428570400418985</v>
      </c>
      <c r="F66" s="193">
        <f t="shared" si="28"/>
        <v>5.6401402918434804E-2</v>
      </c>
      <c r="G66" s="193">
        <f t="shared" si="28"/>
        <v>8.6030546143410283E-3</v>
      </c>
      <c r="H66" s="193">
        <f t="shared" si="28"/>
        <v>1</v>
      </c>
    </row>
    <row r="67" spans="1:8" x14ac:dyDescent="0.2">
      <c r="A67" s="33" t="s">
        <v>104</v>
      </c>
      <c r="B67" s="208">
        <v>43565</v>
      </c>
      <c r="C67" s="191">
        <f t="shared" ref="C67:H67" si="29">C41/$H41</f>
        <v>0.70655819979087353</v>
      </c>
      <c r="D67" s="191">
        <f t="shared" si="29"/>
        <v>0.12759076098712144</v>
      </c>
      <c r="E67" s="191">
        <f t="shared" si="29"/>
        <v>9.3639333859151311E-2</v>
      </c>
      <c r="F67" s="191">
        <f t="shared" si="29"/>
        <v>3.9662117365270949E-2</v>
      </c>
      <c r="G67" s="191">
        <f t="shared" si="29"/>
        <v>3.2549587997582549E-2</v>
      </c>
      <c r="H67" s="191">
        <f t="shared" si="29"/>
        <v>1</v>
      </c>
    </row>
    <row r="68" spans="1:8" x14ac:dyDescent="0.2">
      <c r="A68" s="33"/>
      <c r="B68" s="182"/>
      <c r="C68" s="191"/>
      <c r="D68" s="191"/>
      <c r="E68" s="191"/>
      <c r="F68" s="191"/>
      <c r="G68" s="191"/>
      <c r="H68" s="191"/>
    </row>
    <row r="69" spans="1:8" x14ac:dyDescent="0.2">
      <c r="A69" s="33" t="s">
        <v>86</v>
      </c>
      <c r="B69" s="208">
        <v>10667</v>
      </c>
      <c r="C69" s="191">
        <f t="shared" ref="C69:H69" si="30">C43/$H43</f>
        <v>0.72692084180443373</v>
      </c>
      <c r="D69" s="191">
        <f t="shared" si="30"/>
        <v>0.12139708809386696</v>
      </c>
      <c r="E69" s="191">
        <f t="shared" si="30"/>
        <v>8.7630091915647648E-2</v>
      </c>
      <c r="F69" s="191">
        <f t="shared" si="30"/>
        <v>2.1417014007388564E-2</v>
      </c>
      <c r="G69" s="191">
        <f t="shared" si="30"/>
        <v>4.263496417866345E-2</v>
      </c>
      <c r="H69" s="191">
        <f t="shared" si="30"/>
        <v>1</v>
      </c>
    </row>
    <row r="70" spans="1:8" x14ac:dyDescent="0.2">
      <c r="A70" s="33" t="s">
        <v>87</v>
      </c>
      <c r="B70" s="209">
        <v>7224</v>
      </c>
      <c r="C70" s="193">
        <f t="shared" ref="C70:H70" si="31">C44/$H44</f>
        <v>0.67656767922853411</v>
      </c>
      <c r="D70" s="193">
        <f t="shared" si="31"/>
        <v>0.1279312942309335</v>
      </c>
      <c r="E70" s="193">
        <f t="shared" si="31"/>
        <v>0.12315073766976668</v>
      </c>
      <c r="F70" s="193">
        <f t="shared" si="31"/>
        <v>5.1004010223383273E-2</v>
      </c>
      <c r="G70" s="193">
        <f t="shared" si="31"/>
        <v>2.1346278647382397E-2</v>
      </c>
      <c r="H70" s="193">
        <f t="shared" si="31"/>
        <v>1</v>
      </c>
    </row>
    <row r="71" spans="1:8" x14ac:dyDescent="0.2">
      <c r="A71" s="33" t="s">
        <v>105</v>
      </c>
      <c r="B71" s="208">
        <v>17891</v>
      </c>
      <c r="C71" s="191">
        <f t="shared" ref="C71:H71" si="32">C45/$H45</f>
        <v>0.70149999096701676</v>
      </c>
      <c r="D71" s="191">
        <f t="shared" si="32"/>
        <v>0.12469588942140873</v>
      </c>
      <c r="E71" s="191">
        <f t="shared" si="32"/>
        <v>0.10556272993025317</v>
      </c>
      <c r="F71" s="191">
        <f t="shared" si="32"/>
        <v>3.6354042369813828E-2</v>
      </c>
      <c r="G71" s="191">
        <f t="shared" si="32"/>
        <v>3.1887347311507726E-2</v>
      </c>
      <c r="H71" s="191">
        <f t="shared" si="32"/>
        <v>1</v>
      </c>
    </row>
    <row r="72" spans="1:8" x14ac:dyDescent="0.2">
      <c r="A72" s="33"/>
      <c r="B72" s="208"/>
      <c r="C72" s="191"/>
      <c r="D72" s="191"/>
      <c r="E72" s="191"/>
      <c r="F72" s="191"/>
      <c r="G72" s="191"/>
      <c r="H72" s="191"/>
    </row>
    <row r="73" spans="1:8" ht="13.5" thickBot="1" x14ac:dyDescent="0.25">
      <c r="A73" s="33" t="s">
        <v>230</v>
      </c>
      <c r="B73" s="213">
        <v>148899</v>
      </c>
      <c r="C73" s="195">
        <f t="shared" ref="C73:H73" si="33">C47/$H47</f>
        <v>0.7334244976505736</v>
      </c>
      <c r="D73" s="195">
        <f t="shared" si="33"/>
        <v>0.11661359162537822</v>
      </c>
      <c r="E73" s="195">
        <f t="shared" si="33"/>
        <v>8.8026493230116534E-2</v>
      </c>
      <c r="F73" s="195">
        <f t="shared" si="33"/>
        <v>3.0202091018078907E-2</v>
      </c>
      <c r="G73" s="195">
        <f t="shared" si="33"/>
        <v>3.1733326475852815E-2</v>
      </c>
      <c r="H73" s="195">
        <f t="shared" si="33"/>
        <v>1</v>
      </c>
    </row>
    <row r="74" spans="1:8" ht="13.5" thickTop="1" x14ac:dyDescent="0.2">
      <c r="A74" s="33"/>
      <c r="B74" s="182"/>
      <c r="C74" s="33"/>
      <c r="D74" s="33"/>
      <c r="E74" s="33"/>
      <c r="F74" s="33"/>
      <c r="G74" s="33"/>
      <c r="H74" s="191"/>
    </row>
  </sheetData>
  <phoneticPr fontId="7" type="noConversion"/>
  <pageMargins left="0.75" right="0.75" top="1" bottom="1" header="0.5" footer="0.5"/>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71"/>
  <dimension ref="A1:H80"/>
  <sheetViews>
    <sheetView workbookViewId="0"/>
  </sheetViews>
  <sheetFormatPr defaultRowHeight="12.75" x14ac:dyDescent="0.2"/>
  <cols>
    <col min="1" max="1" width="16.28515625" customWidth="1"/>
    <col min="2" max="2" width="6.85546875" bestFit="1" customWidth="1"/>
    <col min="3" max="3" width="10.7109375" bestFit="1" customWidth="1"/>
    <col min="4" max="5" width="9.85546875" bestFit="1" customWidth="1"/>
    <col min="6" max="6" width="11.5703125" bestFit="1" customWidth="1"/>
    <col min="7" max="7" width="11.85546875" customWidth="1"/>
    <col min="8" max="8" width="11.42578125" customWidth="1"/>
  </cols>
  <sheetData>
    <row r="1" spans="1:8" x14ac:dyDescent="0.2">
      <c r="A1" s="36" t="s">
        <v>247</v>
      </c>
      <c r="B1" s="22"/>
      <c r="C1" s="22"/>
      <c r="D1" s="22"/>
      <c r="E1" s="22"/>
      <c r="F1" s="22"/>
      <c r="G1" s="22"/>
      <c r="H1" s="22"/>
    </row>
    <row r="2" spans="1:8" x14ac:dyDescent="0.2">
      <c r="A2" s="22" t="s">
        <v>529</v>
      </c>
      <c r="B2" s="22"/>
      <c r="C2" s="22"/>
      <c r="D2" s="22"/>
      <c r="E2" s="22"/>
      <c r="F2" s="22"/>
      <c r="G2" s="22"/>
      <c r="H2" s="22"/>
    </row>
    <row r="3" spans="1:8" ht="22.5" x14ac:dyDescent="0.2">
      <c r="A3" s="22" t="s">
        <v>245</v>
      </c>
      <c r="B3" s="144" t="s">
        <v>530</v>
      </c>
      <c r="C3" s="141" t="s">
        <v>89</v>
      </c>
      <c r="D3" s="141" t="s">
        <v>90</v>
      </c>
      <c r="E3" s="141" t="s">
        <v>91</v>
      </c>
      <c r="F3" s="141" t="s">
        <v>92</v>
      </c>
      <c r="G3" s="141" t="s">
        <v>93</v>
      </c>
      <c r="H3" s="141" t="s">
        <v>106</v>
      </c>
    </row>
    <row r="4" spans="1:8" x14ac:dyDescent="0.2">
      <c r="A4" s="182" t="s">
        <v>102</v>
      </c>
      <c r="B4" s="208">
        <v>35945</v>
      </c>
      <c r="C4" s="208">
        <v>202991004.66999999</v>
      </c>
      <c r="D4" s="208">
        <v>26324649.789999999</v>
      </c>
      <c r="E4" s="208">
        <v>13791779.57</v>
      </c>
      <c r="F4" s="208">
        <v>4760424.29</v>
      </c>
      <c r="G4" s="208">
        <v>7745834.8600000003</v>
      </c>
      <c r="H4" s="182">
        <f>SUM(C4:G4)</f>
        <v>255613693.17999998</v>
      </c>
    </row>
    <row r="5" spans="1:8" x14ac:dyDescent="0.2">
      <c r="A5" s="33" t="s">
        <v>76</v>
      </c>
      <c r="B5" s="208">
        <v>18832</v>
      </c>
      <c r="C5" s="208">
        <v>113231081.23</v>
      </c>
      <c r="D5" s="208">
        <v>13516907.710000001</v>
      </c>
      <c r="E5" s="208">
        <v>11068966.529999999</v>
      </c>
      <c r="F5" s="208">
        <v>4646084.9000000004</v>
      </c>
      <c r="G5" s="208">
        <v>5413614</v>
      </c>
      <c r="H5" s="182">
        <f t="shared" ref="H5:H10" si="0">SUM(C5:G5)</f>
        <v>147876654.37</v>
      </c>
    </row>
    <row r="6" spans="1:8" x14ac:dyDescent="0.2">
      <c r="A6" s="33" t="s">
        <v>77</v>
      </c>
      <c r="B6" s="208">
        <v>11889</v>
      </c>
      <c r="C6" s="208">
        <v>77496840.650000006</v>
      </c>
      <c r="D6" s="208">
        <v>9634157.6500000004</v>
      </c>
      <c r="E6" s="208">
        <v>9324316</v>
      </c>
      <c r="F6" s="208">
        <v>3187748.21</v>
      </c>
      <c r="G6" s="208">
        <v>2340919.7400000002</v>
      </c>
      <c r="H6" s="182">
        <f t="shared" si="0"/>
        <v>101983982.25</v>
      </c>
    </row>
    <row r="7" spans="1:8" x14ac:dyDescent="0.2">
      <c r="A7" s="33" t="s">
        <v>78</v>
      </c>
      <c r="B7" s="208">
        <v>12931</v>
      </c>
      <c r="C7" s="208">
        <v>72578525.620000005</v>
      </c>
      <c r="D7" s="208">
        <v>11025255.619999999</v>
      </c>
      <c r="E7" s="208">
        <v>8978781.4499999993</v>
      </c>
      <c r="F7" s="208">
        <v>2445253.66</v>
      </c>
      <c r="G7" s="208">
        <v>4590684.25</v>
      </c>
      <c r="H7" s="182">
        <f t="shared" si="0"/>
        <v>99618500.600000009</v>
      </c>
    </row>
    <row r="8" spans="1:8" x14ac:dyDescent="0.2">
      <c r="A8" s="33" t="s">
        <v>79</v>
      </c>
      <c r="B8" s="208">
        <v>5888</v>
      </c>
      <c r="C8" s="208">
        <v>39761568.439999998</v>
      </c>
      <c r="D8" s="208">
        <v>7481452.8300000001</v>
      </c>
      <c r="E8" s="208">
        <v>6983624.3200000003</v>
      </c>
      <c r="F8" s="208">
        <v>2249889.64</v>
      </c>
      <c r="G8" s="208">
        <v>1343881.43</v>
      </c>
      <c r="H8" s="182">
        <f t="shared" si="0"/>
        <v>57820416.659999996</v>
      </c>
    </row>
    <row r="9" spans="1:8" x14ac:dyDescent="0.2">
      <c r="A9" s="33" t="s">
        <v>80</v>
      </c>
      <c r="B9" s="209">
        <v>1451</v>
      </c>
      <c r="C9" s="209">
        <v>7813047.9800000004</v>
      </c>
      <c r="D9" s="209">
        <v>2576288.3199999998</v>
      </c>
      <c r="E9" s="209">
        <v>2085109.58</v>
      </c>
      <c r="F9" s="209">
        <v>479964.44</v>
      </c>
      <c r="G9" s="209">
        <v>34572.089999999997</v>
      </c>
      <c r="H9" s="183">
        <f t="shared" si="0"/>
        <v>12988982.41</v>
      </c>
    </row>
    <row r="10" spans="1:8" x14ac:dyDescent="0.2">
      <c r="A10" s="33" t="s">
        <v>103</v>
      </c>
      <c r="B10" s="208">
        <f t="shared" ref="B10:G10" si="1">SUM(B4:B9)</f>
        <v>86936</v>
      </c>
      <c r="C10" s="208">
        <f t="shared" si="1"/>
        <v>513872068.58999997</v>
      </c>
      <c r="D10" s="208">
        <f t="shared" si="1"/>
        <v>70558711.919999987</v>
      </c>
      <c r="E10" s="208">
        <f t="shared" si="1"/>
        <v>52232577.449999996</v>
      </c>
      <c r="F10" s="208">
        <f t="shared" si="1"/>
        <v>17769365.140000004</v>
      </c>
      <c r="G10" s="208">
        <f t="shared" si="1"/>
        <v>21469506.370000001</v>
      </c>
      <c r="H10" s="182">
        <f t="shared" si="0"/>
        <v>675902229.47000003</v>
      </c>
    </row>
    <row r="11" spans="1:8" x14ac:dyDescent="0.2">
      <c r="A11" s="33"/>
      <c r="B11" s="208"/>
      <c r="C11" s="208"/>
      <c r="D11" s="208"/>
      <c r="E11" s="208"/>
      <c r="F11" s="208"/>
      <c r="G11" s="208"/>
      <c r="H11" s="182"/>
    </row>
    <row r="12" spans="1:8" x14ac:dyDescent="0.2">
      <c r="A12" s="33"/>
      <c r="B12" s="208"/>
      <c r="C12" s="208"/>
      <c r="D12" s="208"/>
      <c r="E12" s="208"/>
      <c r="F12" s="208"/>
      <c r="G12" s="208"/>
      <c r="H12" s="182"/>
    </row>
    <row r="13" spans="1:8" x14ac:dyDescent="0.2">
      <c r="A13" s="33" t="s">
        <v>81</v>
      </c>
      <c r="B13" s="208">
        <v>22656</v>
      </c>
      <c r="C13" s="208">
        <v>130007969.90000001</v>
      </c>
      <c r="D13" s="208">
        <v>22879664.559999999</v>
      </c>
      <c r="E13" s="208">
        <v>13487005.23</v>
      </c>
      <c r="F13" s="208">
        <v>5388338.6200000001</v>
      </c>
      <c r="G13" s="208">
        <v>5596084.1600000001</v>
      </c>
      <c r="H13" s="182">
        <f t="shared" ref="H13:H25" si="2">SUM(C13:G13)</f>
        <v>177359062.47</v>
      </c>
    </row>
    <row r="14" spans="1:8" x14ac:dyDescent="0.2">
      <c r="A14" s="33" t="s">
        <v>82</v>
      </c>
      <c r="B14" s="208">
        <v>9214</v>
      </c>
      <c r="C14" s="208">
        <v>54756231.380000003</v>
      </c>
      <c r="D14" s="208">
        <v>7364435.2800000003</v>
      </c>
      <c r="E14" s="208">
        <v>7399097.4000000004</v>
      </c>
      <c r="F14" s="208">
        <v>4377708.3499999996</v>
      </c>
      <c r="G14" s="208">
        <v>984218.25</v>
      </c>
      <c r="H14" s="182">
        <f t="shared" si="2"/>
        <v>74881690.659999996</v>
      </c>
    </row>
    <row r="15" spans="1:8" x14ac:dyDescent="0.2">
      <c r="A15" s="33" t="s">
        <v>83</v>
      </c>
      <c r="B15" s="208">
        <v>4359</v>
      </c>
      <c r="C15" s="208">
        <v>26956604.949999999</v>
      </c>
      <c r="D15" s="208">
        <v>5615032.3200000003</v>
      </c>
      <c r="E15" s="208">
        <v>4350114.1399999997</v>
      </c>
      <c r="F15" s="208">
        <v>1507908.39</v>
      </c>
      <c r="G15" s="208">
        <v>1408235.99</v>
      </c>
      <c r="H15" s="182">
        <f t="shared" si="2"/>
        <v>39837895.789999999</v>
      </c>
    </row>
    <row r="16" spans="1:8" x14ac:dyDescent="0.2">
      <c r="A16" s="33" t="s">
        <v>84</v>
      </c>
      <c r="B16" s="208">
        <v>5093</v>
      </c>
      <c r="C16" s="208">
        <v>36973745.280000001</v>
      </c>
      <c r="D16" s="208">
        <v>7660056.2999999998</v>
      </c>
      <c r="E16" s="208">
        <v>6832308.2199999997</v>
      </c>
      <c r="F16" s="208">
        <v>2699060.38</v>
      </c>
      <c r="G16" s="208">
        <v>1645758.65</v>
      </c>
      <c r="H16" s="182">
        <f t="shared" si="2"/>
        <v>55810928.829999998</v>
      </c>
    </row>
    <row r="17" spans="1:8" x14ac:dyDescent="0.2">
      <c r="A17" s="33" t="s">
        <v>85</v>
      </c>
      <c r="B17" s="209">
        <v>1714</v>
      </c>
      <c r="C17" s="209">
        <v>17309981.050000001</v>
      </c>
      <c r="D17" s="209">
        <v>3721969.89</v>
      </c>
      <c r="E17" s="209">
        <v>3271513.37</v>
      </c>
      <c r="F17" s="209">
        <v>907484.87</v>
      </c>
      <c r="G17" s="209">
        <v>433966.3</v>
      </c>
      <c r="H17" s="183">
        <f t="shared" si="2"/>
        <v>25644915.480000004</v>
      </c>
    </row>
    <row r="18" spans="1:8" x14ac:dyDescent="0.2">
      <c r="A18" s="33" t="s">
        <v>104</v>
      </c>
      <c r="B18" s="208">
        <f t="shared" ref="B18:G18" si="3">SUM(B13:B17)</f>
        <v>43036</v>
      </c>
      <c r="C18" s="208">
        <f t="shared" si="3"/>
        <v>266004532.56</v>
      </c>
      <c r="D18" s="208">
        <f t="shared" si="3"/>
        <v>47241158.349999994</v>
      </c>
      <c r="E18" s="208">
        <f t="shared" si="3"/>
        <v>35340038.359999999</v>
      </c>
      <c r="F18" s="208">
        <f t="shared" si="3"/>
        <v>14880500.609999998</v>
      </c>
      <c r="G18" s="208">
        <f t="shared" si="3"/>
        <v>10068263.350000001</v>
      </c>
      <c r="H18" s="182">
        <f t="shared" si="2"/>
        <v>373534493.23000002</v>
      </c>
    </row>
    <row r="19" spans="1:8" x14ac:dyDescent="0.2">
      <c r="A19" s="33"/>
      <c r="B19" s="208"/>
      <c r="C19" s="208"/>
      <c r="D19" s="208"/>
      <c r="E19" s="208"/>
      <c r="F19" s="208"/>
      <c r="G19" s="208"/>
      <c r="H19" s="182"/>
    </row>
    <row r="20" spans="1:8" x14ac:dyDescent="0.2">
      <c r="A20" s="33"/>
      <c r="B20" s="208"/>
      <c r="C20" s="208"/>
      <c r="D20" s="208"/>
      <c r="E20" s="208"/>
      <c r="F20" s="208"/>
      <c r="G20" s="208"/>
      <c r="H20" s="182"/>
    </row>
    <row r="21" spans="1:8" x14ac:dyDescent="0.2">
      <c r="A21" s="33" t="s">
        <v>86</v>
      </c>
      <c r="B21" s="208">
        <v>11457</v>
      </c>
      <c r="C21" s="208">
        <v>62657426.399999999</v>
      </c>
      <c r="D21" s="208">
        <v>9788501.8699999992</v>
      </c>
      <c r="E21" s="208">
        <v>7262481.2199999997</v>
      </c>
      <c r="F21" s="208">
        <v>2046422.67</v>
      </c>
      <c r="G21" s="208">
        <v>3600393.72</v>
      </c>
      <c r="H21" s="182">
        <f t="shared" si="2"/>
        <v>85355225.879999995</v>
      </c>
    </row>
    <row r="22" spans="1:8" x14ac:dyDescent="0.2">
      <c r="A22" s="33" t="s">
        <v>87</v>
      </c>
      <c r="B22" s="209">
        <v>6223</v>
      </c>
      <c r="C22" s="209">
        <v>48457433.82</v>
      </c>
      <c r="D22" s="209">
        <v>8349117.3799999999</v>
      </c>
      <c r="E22" s="209">
        <v>8633647.5899999999</v>
      </c>
      <c r="F22" s="209">
        <v>3873698.6</v>
      </c>
      <c r="G22" s="209">
        <v>1769681.81</v>
      </c>
      <c r="H22" s="183">
        <f t="shared" si="2"/>
        <v>71083579.200000003</v>
      </c>
    </row>
    <row r="23" spans="1:8" x14ac:dyDescent="0.2">
      <c r="A23" s="33" t="s">
        <v>105</v>
      </c>
      <c r="B23" s="208">
        <f>SUM(B21:B22)</f>
        <v>17680</v>
      </c>
      <c r="C23" s="208">
        <f t="shared" ref="C23:H23" si="4">SUM(C21:C22)</f>
        <v>111114860.22</v>
      </c>
      <c r="D23" s="208">
        <f t="shared" si="4"/>
        <v>18137619.25</v>
      </c>
      <c r="E23" s="208">
        <f t="shared" si="4"/>
        <v>15896128.809999999</v>
      </c>
      <c r="F23" s="208">
        <f t="shared" si="4"/>
        <v>5920121.2699999996</v>
      </c>
      <c r="G23" s="208">
        <f t="shared" si="4"/>
        <v>5370075.5300000003</v>
      </c>
      <c r="H23" s="182">
        <f t="shared" si="4"/>
        <v>156438805.07999998</v>
      </c>
    </row>
    <row r="24" spans="1:8" x14ac:dyDescent="0.2">
      <c r="A24" s="33"/>
      <c r="B24" s="182"/>
      <c r="C24" s="182"/>
      <c r="D24" s="182"/>
      <c r="E24" s="182"/>
      <c r="F24" s="182"/>
      <c r="G24" s="182"/>
      <c r="H24" s="182"/>
    </row>
    <row r="25" spans="1:8" ht="13.5" thickBot="1" x14ac:dyDescent="0.25">
      <c r="A25" s="33" t="s">
        <v>209</v>
      </c>
      <c r="B25" s="192">
        <f t="shared" ref="B25:G25" si="5">B10+B18+B23</f>
        <v>147652</v>
      </c>
      <c r="C25" s="192">
        <f t="shared" si="5"/>
        <v>890991461.37</v>
      </c>
      <c r="D25" s="192">
        <f t="shared" si="5"/>
        <v>135937489.51999998</v>
      </c>
      <c r="E25" s="192">
        <f t="shared" si="5"/>
        <v>103468744.62</v>
      </c>
      <c r="F25" s="192">
        <f t="shared" si="5"/>
        <v>38569987.019999996</v>
      </c>
      <c r="G25" s="192">
        <f t="shared" si="5"/>
        <v>36907845.25</v>
      </c>
      <c r="H25" s="192">
        <f t="shared" si="2"/>
        <v>1205875527.78</v>
      </c>
    </row>
    <row r="26" spans="1:8" ht="13.5" thickTop="1" x14ac:dyDescent="0.2">
      <c r="A26" s="33"/>
      <c r="B26" s="182"/>
      <c r="C26" s="182"/>
      <c r="D26" s="182"/>
      <c r="E26" s="182"/>
      <c r="F26" s="182"/>
      <c r="G26" s="182"/>
      <c r="H26" s="33"/>
    </row>
    <row r="27" spans="1:8" x14ac:dyDescent="0.2">
      <c r="A27" s="36" t="s">
        <v>247</v>
      </c>
      <c r="B27" s="22"/>
      <c r="C27" s="22"/>
      <c r="D27" s="22"/>
      <c r="E27" s="22"/>
      <c r="F27" s="22"/>
      <c r="G27" s="22"/>
      <c r="H27" s="22"/>
    </row>
    <row r="28" spans="1:8" x14ac:dyDescent="0.2">
      <c r="A28" s="36" t="s">
        <v>531</v>
      </c>
      <c r="B28" s="22"/>
      <c r="C28" s="22"/>
      <c r="D28" s="22"/>
      <c r="E28" s="22"/>
      <c r="F28" s="22"/>
      <c r="G28" s="22"/>
      <c r="H28" s="22"/>
    </row>
    <row r="29" spans="1:8" ht="33.75" x14ac:dyDescent="0.2">
      <c r="A29" s="155" t="s">
        <v>245</v>
      </c>
      <c r="B29" s="155" t="str">
        <f>B3</f>
        <v>ANB05</v>
      </c>
      <c r="C29" s="141" t="s">
        <v>532</v>
      </c>
      <c r="D29" s="141" t="s">
        <v>533</v>
      </c>
      <c r="E29" s="141" t="s">
        <v>534</v>
      </c>
      <c r="F29" s="141" t="s">
        <v>535</v>
      </c>
      <c r="G29" s="141" t="s">
        <v>536</v>
      </c>
      <c r="H29" s="141" t="s">
        <v>537</v>
      </c>
    </row>
    <row r="30" spans="1:8" x14ac:dyDescent="0.2">
      <c r="A30" s="33" t="s">
        <v>102</v>
      </c>
      <c r="B30" s="182">
        <f t="shared" ref="B30:B35" si="6">B4</f>
        <v>35945</v>
      </c>
      <c r="C30" s="182">
        <f>C4/$B$30</f>
        <v>5647.2667873139517</v>
      </c>
      <c r="D30" s="182">
        <f>D4/$B$30</f>
        <v>732.35915398525526</v>
      </c>
      <c r="E30" s="182">
        <f>E4/$B$30</f>
        <v>383.69118291834747</v>
      </c>
      <c r="F30" s="182">
        <f>F4/$B$30</f>
        <v>132.43634135484768</v>
      </c>
      <c r="G30" s="182">
        <f>G4/$B$30</f>
        <v>215.49130226735292</v>
      </c>
      <c r="H30" s="182">
        <f>SUM(C30:G30)</f>
        <v>7111.2447678397548</v>
      </c>
    </row>
    <row r="31" spans="1:8" x14ac:dyDescent="0.2">
      <c r="A31" s="33" t="s">
        <v>76</v>
      </c>
      <c r="B31" s="182">
        <f t="shared" si="6"/>
        <v>18832</v>
      </c>
      <c r="C31" s="182">
        <f>C5/$B$31</f>
        <v>6012.6954773789294</v>
      </c>
      <c r="D31" s="182">
        <f>D5/$B$31</f>
        <v>717.76272886576044</v>
      </c>
      <c r="E31" s="182">
        <f>E5/$B$31</f>
        <v>587.77434844944776</v>
      </c>
      <c r="F31" s="182">
        <f>F5/$B$31</f>
        <v>246.71223980458797</v>
      </c>
      <c r="G31" s="182">
        <f>G5/$B$31</f>
        <v>287.46888275276126</v>
      </c>
      <c r="H31" s="182">
        <f t="shared" ref="H31:H51" si="7">SUM(C31:G31)</f>
        <v>7852.4136772514867</v>
      </c>
    </row>
    <row r="32" spans="1:8" x14ac:dyDescent="0.2">
      <c r="A32" s="33" t="s">
        <v>77</v>
      </c>
      <c r="B32" s="182">
        <f t="shared" si="6"/>
        <v>11889</v>
      </c>
      <c r="C32" s="182">
        <f>C6/$B$32</f>
        <v>6518.3649297670117</v>
      </c>
      <c r="D32" s="182">
        <f>D6/$B$32</f>
        <v>810.34213558751787</v>
      </c>
      <c r="E32" s="182">
        <f>E6/$B$32</f>
        <v>784.28093195390693</v>
      </c>
      <c r="F32" s="182">
        <f>F6/$B$32</f>
        <v>268.12584826310035</v>
      </c>
      <c r="G32" s="182">
        <f>G6/$B$32</f>
        <v>196.8979510471865</v>
      </c>
      <c r="H32" s="182">
        <f t="shared" si="7"/>
        <v>8578.0117966187245</v>
      </c>
    </row>
    <row r="33" spans="1:8" x14ac:dyDescent="0.2">
      <c r="A33" s="33" t="s">
        <v>78</v>
      </c>
      <c r="B33" s="182">
        <f t="shared" si="6"/>
        <v>12931</v>
      </c>
      <c r="C33" s="182">
        <f>C7/$B$33</f>
        <v>5612.7542819580858</v>
      </c>
      <c r="D33" s="182">
        <f>D7/$B$33</f>
        <v>852.62204160544422</v>
      </c>
      <c r="E33" s="182">
        <f>E7/$B$33</f>
        <v>694.36095042920113</v>
      </c>
      <c r="F33" s="182">
        <f>F7/$B$33</f>
        <v>189.10012064032171</v>
      </c>
      <c r="G33" s="182">
        <f>G7/$B$33</f>
        <v>355.01386203696541</v>
      </c>
      <c r="H33" s="182">
        <f t="shared" si="7"/>
        <v>7703.8512566700174</v>
      </c>
    </row>
    <row r="34" spans="1:8" x14ac:dyDescent="0.2">
      <c r="A34" s="33" t="s">
        <v>79</v>
      </c>
      <c r="B34" s="182">
        <f t="shared" si="6"/>
        <v>5888</v>
      </c>
      <c r="C34" s="182">
        <f>C8/$B$34</f>
        <v>6752.9837703804342</v>
      </c>
      <c r="D34" s="182">
        <f>D8/$B$34</f>
        <v>1270.6271790081521</v>
      </c>
      <c r="E34" s="182">
        <f>E8/$B$34</f>
        <v>1186.0775000000001</v>
      </c>
      <c r="F34" s="182">
        <f>F8/$B$34</f>
        <v>382.11440896739134</v>
      </c>
      <c r="G34" s="182">
        <f>G8/$B$34</f>
        <v>228.24073199728261</v>
      </c>
      <c r="H34" s="182">
        <f t="shared" si="7"/>
        <v>9820.0435903532598</v>
      </c>
    </row>
    <row r="35" spans="1:8" x14ac:dyDescent="0.2">
      <c r="A35" s="33" t="s">
        <v>80</v>
      </c>
      <c r="B35" s="183">
        <f t="shared" si="6"/>
        <v>1451</v>
      </c>
      <c r="C35" s="183">
        <f>C9/$B$35</f>
        <v>5384.5954376292211</v>
      </c>
      <c r="D35" s="183">
        <f>D9/$B$35</f>
        <v>1775.5260647829082</v>
      </c>
      <c r="E35" s="183">
        <f>E9/$B$35</f>
        <v>1437.0155616815989</v>
      </c>
      <c r="F35" s="183">
        <f>F9/$B$35</f>
        <v>330.78183321847001</v>
      </c>
      <c r="G35" s="183">
        <f>G9/$B$35</f>
        <v>23.826388697450032</v>
      </c>
      <c r="H35" s="183">
        <f t="shared" si="7"/>
        <v>8951.7452860096473</v>
      </c>
    </row>
    <row r="36" spans="1:8" x14ac:dyDescent="0.2">
      <c r="A36" s="33" t="s">
        <v>103</v>
      </c>
      <c r="B36" s="182">
        <f>SUM(B30:B35)</f>
        <v>86936</v>
      </c>
      <c r="C36" s="182">
        <f>C10/$B$36</f>
        <v>5910.9237667939633</v>
      </c>
      <c r="D36" s="182">
        <f>D10/$B$36</f>
        <v>811.61672862795604</v>
      </c>
      <c r="E36" s="182">
        <f>E10/$B$36</f>
        <v>600.81643335327135</v>
      </c>
      <c r="F36" s="182">
        <f>F10/$B$36</f>
        <v>204.3959365510261</v>
      </c>
      <c r="G36" s="182">
        <f>G10/$B$36</f>
        <v>246.95760524983896</v>
      </c>
      <c r="H36" s="182">
        <f t="shared" si="7"/>
        <v>7774.7104705760557</v>
      </c>
    </row>
    <row r="37" spans="1:8" x14ac:dyDescent="0.2">
      <c r="A37" s="33"/>
      <c r="B37" s="182"/>
      <c r="C37" s="182"/>
      <c r="D37" s="182"/>
      <c r="E37" s="182"/>
      <c r="F37" s="182"/>
      <c r="G37" s="182"/>
      <c r="H37" s="182"/>
    </row>
    <row r="38" spans="1:8" x14ac:dyDescent="0.2">
      <c r="A38" s="33"/>
      <c r="B38" s="182"/>
      <c r="C38" s="182"/>
      <c r="D38" s="182"/>
      <c r="E38" s="182"/>
      <c r="F38" s="182"/>
      <c r="G38" s="182"/>
      <c r="H38" s="182"/>
    </row>
    <row r="39" spans="1:8" x14ac:dyDescent="0.2">
      <c r="A39" s="33" t="s">
        <v>81</v>
      </c>
      <c r="B39" s="182">
        <f>B13</f>
        <v>22656</v>
      </c>
      <c r="C39" s="182">
        <f>C13/$B$39</f>
        <v>5738.3461290607347</v>
      </c>
      <c r="D39" s="182">
        <f>D13/$B$39</f>
        <v>1009.872199858757</v>
      </c>
      <c r="E39" s="182">
        <f>E13/$B$39</f>
        <v>595.29507547669493</v>
      </c>
      <c r="F39" s="182">
        <f>F13/$B$39</f>
        <v>237.83274276129944</v>
      </c>
      <c r="G39" s="182">
        <f>G13/$B$39</f>
        <v>247.00230225988702</v>
      </c>
      <c r="H39" s="182">
        <f t="shared" si="7"/>
        <v>7828.3484494173736</v>
      </c>
    </row>
    <row r="40" spans="1:8" x14ac:dyDescent="0.2">
      <c r="A40" s="33" t="s">
        <v>82</v>
      </c>
      <c r="B40" s="182">
        <f>B14</f>
        <v>9214</v>
      </c>
      <c r="C40" s="182">
        <f>C14/$B$40</f>
        <v>5942.7210093336234</v>
      </c>
      <c r="D40" s="182">
        <f>D14/$B$40</f>
        <v>799.2658215758629</v>
      </c>
      <c r="E40" s="182">
        <f>E14/$B$40</f>
        <v>803.02771868895161</v>
      </c>
      <c r="F40" s="182">
        <f>F14/$B$40</f>
        <v>475.11486325157364</v>
      </c>
      <c r="G40" s="182">
        <f>G14/$B$40</f>
        <v>106.81769589754721</v>
      </c>
      <c r="H40" s="182">
        <f t="shared" si="7"/>
        <v>8126.9471087475586</v>
      </c>
    </row>
    <row r="41" spans="1:8" x14ac:dyDescent="0.2">
      <c r="A41" s="33" t="s">
        <v>83</v>
      </c>
      <c r="B41" s="182">
        <f>B15</f>
        <v>4359</v>
      </c>
      <c r="C41" s="182">
        <f>C15/$B$41</f>
        <v>6184.1259348474423</v>
      </c>
      <c r="D41" s="182">
        <f>D15/$B$41</f>
        <v>1288.1468960770819</v>
      </c>
      <c r="E41" s="182">
        <f>E15/$B$41</f>
        <v>997.96149116769891</v>
      </c>
      <c r="F41" s="182">
        <f>F15/$B$41</f>
        <v>345.92988988300067</v>
      </c>
      <c r="G41" s="182">
        <f>G15/$B$41</f>
        <v>323.06400321174578</v>
      </c>
      <c r="H41" s="182">
        <f t="shared" si="7"/>
        <v>9139.2282151869695</v>
      </c>
    </row>
    <row r="42" spans="1:8" x14ac:dyDescent="0.2">
      <c r="A42" s="33" t="s">
        <v>84</v>
      </c>
      <c r="B42" s="182">
        <f>B16</f>
        <v>5093</v>
      </c>
      <c r="C42" s="182">
        <f>C16/$B$42</f>
        <v>7259.7182956999804</v>
      </c>
      <c r="D42" s="182">
        <f>D16/$B$42</f>
        <v>1504.0361869232279</v>
      </c>
      <c r="E42" s="182">
        <f>E16/$B$42</f>
        <v>1341.5095660710779</v>
      </c>
      <c r="F42" s="182">
        <f>F16/$B$42</f>
        <v>529.95491458865104</v>
      </c>
      <c r="G42" s="182">
        <f>G16/$B$42</f>
        <v>323.14130178676612</v>
      </c>
      <c r="H42" s="182">
        <f t="shared" si="7"/>
        <v>10958.360265069701</v>
      </c>
    </row>
    <row r="43" spans="1:8" x14ac:dyDescent="0.2">
      <c r="A43" s="33" t="s">
        <v>85</v>
      </c>
      <c r="B43" s="183">
        <f>B17</f>
        <v>1714</v>
      </c>
      <c r="C43" s="183">
        <f>C17/$B$43</f>
        <v>10099.172141190198</v>
      </c>
      <c r="D43" s="183">
        <f>D17/$B$43</f>
        <v>2171.5110210035004</v>
      </c>
      <c r="E43" s="183">
        <f>E17/$B$43</f>
        <v>1908.7009159859977</v>
      </c>
      <c r="F43" s="183">
        <f>F17/$B$43</f>
        <v>529.45441656942819</v>
      </c>
      <c r="G43" s="183">
        <f>G17/$B$43</f>
        <v>253.1892065344224</v>
      </c>
      <c r="H43" s="183">
        <f t="shared" si="7"/>
        <v>14962.027701283545</v>
      </c>
    </row>
    <row r="44" spans="1:8" x14ac:dyDescent="0.2">
      <c r="A44" s="33" t="s">
        <v>104</v>
      </c>
      <c r="B44" s="182">
        <f>SUM(B39:B43)</f>
        <v>43036</v>
      </c>
      <c r="C44" s="182">
        <f>C18/$B$44</f>
        <v>6180.9771484338689</v>
      </c>
      <c r="D44" s="182">
        <f>D18/$B$44</f>
        <v>1097.7125743563527</v>
      </c>
      <c r="E44" s="182">
        <f>E18/$B$44</f>
        <v>821.17386281252902</v>
      </c>
      <c r="F44" s="182">
        <f>F18/$B$44</f>
        <v>345.76867297146572</v>
      </c>
      <c r="G44" s="182">
        <f>G18/$B$44</f>
        <v>233.94979435821176</v>
      </c>
      <c r="H44" s="182">
        <f t="shared" si="7"/>
        <v>8679.5820529324283</v>
      </c>
    </row>
    <row r="45" spans="1:8" x14ac:dyDescent="0.2">
      <c r="A45" s="33"/>
      <c r="B45" s="182"/>
      <c r="C45" s="182"/>
      <c r="D45" s="182"/>
      <c r="E45" s="182"/>
      <c r="F45" s="182"/>
      <c r="G45" s="182"/>
      <c r="H45" s="182"/>
    </row>
    <row r="46" spans="1:8" x14ac:dyDescent="0.2">
      <c r="A46" s="33"/>
      <c r="B46" s="182"/>
      <c r="C46" s="182"/>
      <c r="D46" s="182"/>
      <c r="E46" s="182"/>
      <c r="F46" s="182"/>
      <c r="G46" s="182"/>
      <c r="H46" s="182"/>
    </row>
    <row r="47" spans="1:8" x14ac:dyDescent="0.2">
      <c r="A47" s="33" t="s">
        <v>86</v>
      </c>
      <c r="B47" s="182">
        <f>B21</f>
        <v>11457</v>
      </c>
      <c r="C47" s="182">
        <f>C21/$B$47</f>
        <v>5468.9208693375231</v>
      </c>
      <c r="D47" s="182">
        <f>D21/$B$47</f>
        <v>854.36867155450807</v>
      </c>
      <c r="E47" s="182">
        <f>E21/$B$47</f>
        <v>633.89030461726452</v>
      </c>
      <c r="F47" s="182">
        <f>F21/$B$47</f>
        <v>178.61767216548833</v>
      </c>
      <c r="G47" s="182">
        <f>G21/$B$47</f>
        <v>314.25274679235406</v>
      </c>
      <c r="H47" s="182">
        <f t="shared" si="7"/>
        <v>7450.0502644671378</v>
      </c>
    </row>
    <row r="48" spans="1:8" x14ac:dyDescent="0.2">
      <c r="A48" s="33" t="s">
        <v>87</v>
      </c>
      <c r="B48" s="183">
        <f>B22</f>
        <v>6223</v>
      </c>
      <c r="C48" s="183">
        <f>C22/$B$48</f>
        <v>7786.8285103647759</v>
      </c>
      <c r="D48" s="183">
        <f>D22/$B$48</f>
        <v>1341.6547292302748</v>
      </c>
      <c r="E48" s="183">
        <f>E22/$B$48</f>
        <v>1387.3770834002892</v>
      </c>
      <c r="F48" s="183">
        <f>F22/$B$48</f>
        <v>622.48089345974608</v>
      </c>
      <c r="G48" s="183">
        <f>G22/$B$48</f>
        <v>284.37760083560983</v>
      </c>
      <c r="H48" s="183">
        <f t="shared" si="7"/>
        <v>11422.718817290695</v>
      </c>
    </row>
    <row r="49" spans="1:8" x14ac:dyDescent="0.2">
      <c r="A49" s="33" t="s">
        <v>105</v>
      </c>
      <c r="B49" s="182">
        <f>SUM(B47:B48)</f>
        <v>17680</v>
      </c>
      <c r="C49" s="182">
        <f>C23/$B$49</f>
        <v>6284.7771617647059</v>
      </c>
      <c r="D49" s="182">
        <f>D23/$B$49</f>
        <v>1025.8834417420815</v>
      </c>
      <c r="E49" s="182">
        <f>E23/$B$49</f>
        <v>899.10230825791848</v>
      </c>
      <c r="F49" s="182">
        <f>F23/$B$49</f>
        <v>334.84848812217194</v>
      </c>
      <c r="G49" s="182">
        <f>G23/$B$49</f>
        <v>303.73730373303169</v>
      </c>
      <c r="H49" s="182">
        <f t="shared" si="7"/>
        <v>8848.3487036199076</v>
      </c>
    </row>
    <row r="50" spans="1:8" x14ac:dyDescent="0.2">
      <c r="A50" s="33"/>
      <c r="B50" s="182"/>
      <c r="C50" s="182"/>
      <c r="D50" s="182"/>
      <c r="E50" s="182"/>
      <c r="F50" s="182"/>
      <c r="G50" s="182"/>
      <c r="H50" s="182"/>
    </row>
    <row r="51" spans="1:8" ht="13.5" thickBot="1" x14ac:dyDescent="0.25">
      <c r="A51" s="33" t="s">
        <v>209</v>
      </c>
      <c r="B51" s="192">
        <f>B36+B44+B49</f>
        <v>147652</v>
      </c>
      <c r="C51" s="192">
        <f>C25/$B$51</f>
        <v>6034.4015751225852</v>
      </c>
      <c r="D51" s="192">
        <f>D25/$B$51</f>
        <v>920.66134911819677</v>
      </c>
      <c r="E51" s="192">
        <f>E25/$B$51</f>
        <v>700.76087435320892</v>
      </c>
      <c r="F51" s="192">
        <f>F25/$B$51</f>
        <v>261.22224568580174</v>
      </c>
      <c r="G51" s="192">
        <f>G25/$B$51</f>
        <v>249.96508851894995</v>
      </c>
      <c r="H51" s="192">
        <f t="shared" si="7"/>
        <v>8167.0111327987433</v>
      </c>
    </row>
    <row r="52" spans="1:8" ht="13.5" thickTop="1" x14ac:dyDescent="0.2">
      <c r="A52" s="33"/>
      <c r="B52" s="182"/>
      <c r="C52" s="182"/>
      <c r="D52" s="182"/>
      <c r="E52" s="182"/>
      <c r="F52" s="182"/>
      <c r="G52" s="182"/>
      <c r="H52" s="182"/>
    </row>
    <row r="53" spans="1:8" x14ac:dyDescent="0.2">
      <c r="A53" s="33"/>
      <c r="B53" s="182"/>
      <c r="C53" s="182"/>
      <c r="D53" s="182"/>
      <c r="E53" s="182"/>
      <c r="F53" s="182"/>
      <c r="G53" s="182"/>
      <c r="H53" s="182"/>
    </row>
    <row r="54" spans="1:8" x14ac:dyDescent="0.2">
      <c r="A54" s="33"/>
      <c r="B54" s="182"/>
      <c r="C54" s="182"/>
      <c r="D54" s="182"/>
      <c r="E54" s="182"/>
      <c r="F54" s="182"/>
      <c r="G54" s="182"/>
      <c r="H54" s="182"/>
    </row>
    <row r="55" spans="1:8" x14ac:dyDescent="0.2">
      <c r="A55" s="36" t="s">
        <v>247</v>
      </c>
      <c r="B55" s="182"/>
      <c r="C55" s="182"/>
      <c r="D55" s="182"/>
      <c r="E55" s="182"/>
      <c r="F55" s="182"/>
      <c r="G55" s="182"/>
      <c r="H55" s="182"/>
    </row>
    <row r="56" spans="1:8" x14ac:dyDescent="0.2">
      <c r="A56" s="36" t="s">
        <v>516</v>
      </c>
      <c r="B56" s="182"/>
      <c r="C56" s="182"/>
      <c r="D56" s="182"/>
      <c r="E56" s="182"/>
      <c r="F56" s="182"/>
      <c r="G56" s="182"/>
      <c r="H56" s="182"/>
    </row>
    <row r="57" spans="1:8" ht="33.75" x14ac:dyDescent="0.2">
      <c r="A57" s="155" t="s">
        <v>245</v>
      </c>
      <c r="B57" s="144" t="str">
        <f t="shared" ref="B57:H57" si="8">B29</f>
        <v>ANB05</v>
      </c>
      <c r="C57" s="141" t="str">
        <f t="shared" si="8"/>
        <v>05/Pupil Salaries &amp; Benefits</v>
      </c>
      <c r="D57" s="141" t="str">
        <f t="shared" si="8"/>
        <v>05/Pupil Purchased Services</v>
      </c>
      <c r="E57" s="141" t="str">
        <f t="shared" si="8"/>
        <v>05/Pupil Supplies</v>
      </c>
      <c r="F57" s="141" t="str">
        <f t="shared" si="8"/>
        <v>05/Pupil Capital Outlay</v>
      </c>
      <c r="G57" s="141" t="str">
        <f t="shared" si="8"/>
        <v>05/Pupil Other</v>
      </c>
      <c r="H57" s="141" t="str">
        <f t="shared" si="8"/>
        <v>05/Pupil Total Expenditures</v>
      </c>
    </row>
    <row r="58" spans="1:8" x14ac:dyDescent="0.2">
      <c r="A58" s="33" t="s">
        <v>102</v>
      </c>
      <c r="B58" s="125">
        <f>B4</f>
        <v>35945</v>
      </c>
      <c r="C58" s="191">
        <f>C4/$H$4</f>
        <v>0.79413196587655521</v>
      </c>
      <c r="D58" s="191">
        <f>D4/$H$4</f>
        <v>0.10298607035681187</v>
      </c>
      <c r="E58" s="191">
        <f>E4/$H$4</f>
        <v>5.3955558477409113E-2</v>
      </c>
      <c r="F58" s="191">
        <f>F4/$H$4</f>
        <v>1.8623510465254178E-2</v>
      </c>
      <c r="G58" s="191">
        <f>G4/$H$4</f>
        <v>3.0302894823969698E-2</v>
      </c>
      <c r="H58" s="191">
        <f>SUM(C58:G58)</f>
        <v>1</v>
      </c>
    </row>
    <row r="59" spans="1:8" x14ac:dyDescent="0.2">
      <c r="A59" s="33" t="s">
        <v>76</v>
      </c>
      <c r="B59" s="125">
        <f t="shared" ref="B59:B79" si="9">B5</f>
        <v>18832</v>
      </c>
      <c r="C59" s="191">
        <f>C5/$H$5</f>
        <v>0.76571303098788113</v>
      </c>
      <c r="D59" s="191">
        <f>D5/$H$5</f>
        <v>9.1406637292317586E-2</v>
      </c>
      <c r="E59" s="191">
        <f>E5/$H$5</f>
        <v>7.4852697859288192E-2</v>
      </c>
      <c r="F59" s="191">
        <f>F5/$H$5</f>
        <v>3.1418650359610514E-2</v>
      </c>
      <c r="G59" s="191">
        <f>G5/$H$5</f>
        <v>3.6608983500902553E-2</v>
      </c>
      <c r="H59" s="191">
        <f t="shared" ref="H59:H79" si="10">SUM(C59:G59)</f>
        <v>1</v>
      </c>
    </row>
    <row r="60" spans="1:8" x14ac:dyDescent="0.2">
      <c r="A60" s="33" t="s">
        <v>77</v>
      </c>
      <c r="B60" s="125">
        <f t="shared" si="9"/>
        <v>11889</v>
      </c>
      <c r="C60" s="191">
        <f>C6/$H$6</f>
        <v>0.7598922785739719</v>
      </c>
      <c r="D60" s="191">
        <f>D6/$H$6</f>
        <v>9.4467360829107061E-2</v>
      </c>
      <c r="E60" s="191">
        <f>E6/$H$6</f>
        <v>9.1429220494084015E-2</v>
      </c>
      <c r="F60" s="191">
        <f>F6/$H$6</f>
        <v>3.12573419832309E-2</v>
      </c>
      <c r="G60" s="191">
        <f>G6/$H$6</f>
        <v>2.2953798119606184E-2</v>
      </c>
      <c r="H60" s="191">
        <f t="shared" si="10"/>
        <v>1</v>
      </c>
    </row>
    <row r="61" spans="1:8" x14ac:dyDescent="0.2">
      <c r="A61" s="33" t="s">
        <v>78</v>
      </c>
      <c r="B61" s="125">
        <f t="shared" si="9"/>
        <v>12931</v>
      </c>
      <c r="C61" s="191">
        <f>C7/$H$7</f>
        <v>0.72856472625929081</v>
      </c>
      <c r="D61" s="191">
        <f>D7/$H$7</f>
        <v>0.11067477982096829</v>
      </c>
      <c r="E61" s="191">
        <f>E7/$H$7</f>
        <v>9.0131666266014834E-2</v>
      </c>
      <c r="F61" s="191">
        <f>F7/$H$7</f>
        <v>2.4546180129918559E-2</v>
      </c>
      <c r="G61" s="191">
        <f>G7/$H$7</f>
        <v>4.6082647523807439E-2</v>
      </c>
      <c r="H61" s="191">
        <f t="shared" si="10"/>
        <v>1</v>
      </c>
    </row>
    <row r="62" spans="1:8" x14ac:dyDescent="0.2">
      <c r="A62" s="33" t="s">
        <v>79</v>
      </c>
      <c r="B62" s="125">
        <f t="shared" si="9"/>
        <v>5888</v>
      </c>
      <c r="C62" s="191">
        <f>C8/$H$8</f>
        <v>0.68767350248976911</v>
      </c>
      <c r="D62" s="191">
        <f>D8/$H$8</f>
        <v>0.12939119539717273</v>
      </c>
      <c r="E62" s="191">
        <f>E8/$H$8</f>
        <v>0.1207812866701677</v>
      </c>
      <c r="F62" s="191">
        <f>F8/$H$8</f>
        <v>3.8911681547194168E-2</v>
      </c>
      <c r="G62" s="191">
        <f>G8/$H$8</f>
        <v>2.3242333895696281E-2</v>
      </c>
      <c r="H62" s="191">
        <f t="shared" si="10"/>
        <v>1</v>
      </c>
    </row>
    <row r="63" spans="1:8" x14ac:dyDescent="0.2">
      <c r="A63" s="33" t="s">
        <v>80</v>
      </c>
      <c r="B63" s="197">
        <f t="shared" si="9"/>
        <v>1451</v>
      </c>
      <c r="C63" s="193">
        <f>C9/$H$9</f>
        <v>0.60151347760582585</v>
      </c>
      <c r="D63" s="193">
        <f>D9/$H$9</f>
        <v>0.19834412263246723</v>
      </c>
      <c r="E63" s="193">
        <f>E9/$H$9</f>
        <v>0.16052909413401847</v>
      </c>
      <c r="F63" s="193">
        <f>F9/$H$9</f>
        <v>3.6951658324710902E-2</v>
      </c>
      <c r="G63" s="193">
        <f>G9/$H$9</f>
        <v>2.6616473029776005E-3</v>
      </c>
      <c r="H63" s="193">
        <f t="shared" si="10"/>
        <v>1.0000000000000002</v>
      </c>
    </row>
    <row r="64" spans="1:8" x14ac:dyDescent="0.2">
      <c r="A64" s="33" t="s">
        <v>103</v>
      </c>
      <c r="B64" s="125">
        <f t="shared" si="9"/>
        <v>86936</v>
      </c>
      <c r="C64" s="191">
        <f>C10/$H$10</f>
        <v>0.76027574134937548</v>
      </c>
      <c r="D64" s="191">
        <f>D10/$H$10</f>
        <v>0.10439189108064888</v>
      </c>
      <c r="E64" s="191">
        <f>E10/$H$10</f>
        <v>7.727830324062919E-2</v>
      </c>
      <c r="F64" s="191">
        <f>F10/$H$10</f>
        <v>2.6289845432132426E-2</v>
      </c>
      <c r="G64" s="191">
        <f>G10/$H$10</f>
        <v>3.1764218897213932E-2</v>
      </c>
      <c r="H64" s="191">
        <f t="shared" si="10"/>
        <v>0.99999999999999989</v>
      </c>
    </row>
    <row r="65" spans="1:8" x14ac:dyDescent="0.2">
      <c r="A65" s="33"/>
      <c r="B65" s="125"/>
      <c r="C65" s="191"/>
      <c r="D65" s="191"/>
      <c r="E65" s="191"/>
      <c r="F65" s="191"/>
      <c r="G65" s="191"/>
      <c r="H65" s="191"/>
    </row>
    <row r="66" spans="1:8" x14ac:dyDescent="0.2">
      <c r="A66" s="33"/>
      <c r="B66" s="125"/>
      <c r="C66" s="191"/>
      <c r="D66" s="191"/>
      <c r="E66" s="191"/>
      <c r="F66" s="191"/>
      <c r="G66" s="191"/>
      <c r="H66" s="191"/>
    </row>
    <row r="67" spans="1:8" x14ac:dyDescent="0.2">
      <c r="A67" s="33" t="s">
        <v>81</v>
      </c>
      <c r="B67" s="125">
        <f t="shared" si="9"/>
        <v>22656</v>
      </c>
      <c r="C67" s="191">
        <f>C13/$H$13</f>
        <v>0.73302129639972946</v>
      </c>
      <c r="D67" s="191">
        <f>D13/$H$13</f>
        <v>0.12900194803335779</v>
      </c>
      <c r="E67" s="191">
        <f>E13/$H$13</f>
        <v>7.604350768532793E-2</v>
      </c>
      <c r="F67" s="191">
        <f>F13/$H$13</f>
        <v>3.0380960211218014E-2</v>
      </c>
      <c r="G67" s="191">
        <f>G13/$H$13</f>
        <v>3.1552287670366823E-2</v>
      </c>
      <c r="H67" s="191">
        <f t="shared" si="10"/>
        <v>1.0000000000000002</v>
      </c>
    </row>
    <row r="68" spans="1:8" x14ac:dyDescent="0.2">
      <c r="A68" s="33" t="s">
        <v>82</v>
      </c>
      <c r="B68" s="125">
        <f t="shared" si="9"/>
        <v>9214</v>
      </c>
      <c r="C68" s="191">
        <f>C14/$H$14</f>
        <v>0.73123657996212243</v>
      </c>
      <c r="D68" s="191">
        <f>D14/$H$14</f>
        <v>9.8347609610447875E-2</v>
      </c>
      <c r="E68" s="191">
        <f>E14/$H$14</f>
        <v>9.8810501402747053E-2</v>
      </c>
      <c r="F68" s="191">
        <f>F14/$H$14</f>
        <v>5.8461665480777754E-2</v>
      </c>
      <c r="G68" s="191">
        <f>G14/$H$14</f>
        <v>1.3143643543904996E-2</v>
      </c>
      <c r="H68" s="191">
        <f t="shared" si="10"/>
        <v>1.0000000000000002</v>
      </c>
    </row>
    <row r="69" spans="1:8" x14ac:dyDescent="0.2">
      <c r="A69" s="33" t="s">
        <v>83</v>
      </c>
      <c r="B69" s="125">
        <f t="shared" si="9"/>
        <v>4359</v>
      </c>
      <c r="C69" s="191">
        <f>C15/$H$15</f>
        <v>0.67665734887449991</v>
      </c>
      <c r="D69" s="191">
        <f>D15/$H$15</f>
        <v>0.14094701059510956</v>
      </c>
      <c r="E69" s="191">
        <f>E15/$H$15</f>
        <v>0.10919537926729438</v>
      </c>
      <c r="F69" s="191">
        <f>F15/$H$15</f>
        <v>3.7851105338211941E-2</v>
      </c>
      <c r="G69" s="191">
        <f>G15/$H$15</f>
        <v>3.5349155924884253E-2</v>
      </c>
      <c r="H69" s="191">
        <f t="shared" si="10"/>
        <v>1</v>
      </c>
    </row>
    <row r="70" spans="1:8" x14ac:dyDescent="0.2">
      <c r="A70" s="33" t="s">
        <v>84</v>
      </c>
      <c r="B70" s="125">
        <f t="shared" si="9"/>
        <v>5093</v>
      </c>
      <c r="C70" s="191">
        <f>C16/$H$16</f>
        <v>0.66248217069853776</v>
      </c>
      <c r="D70" s="191">
        <f>D16/$H$16</f>
        <v>0.13725011320511291</v>
      </c>
      <c r="E70" s="191">
        <f>E16/$H$16</f>
        <v>0.12241882303753088</v>
      </c>
      <c r="F70" s="191">
        <f>F16/$H$16</f>
        <v>4.8360785899502469E-2</v>
      </c>
      <c r="G70" s="191">
        <f>G16/$H$16</f>
        <v>2.9488107159316022E-2</v>
      </c>
      <c r="H70" s="191">
        <f t="shared" si="10"/>
        <v>1</v>
      </c>
    </row>
    <row r="71" spans="1:8" x14ac:dyDescent="0.2">
      <c r="A71" s="33" t="s">
        <v>85</v>
      </c>
      <c r="B71" s="197">
        <f t="shared" si="9"/>
        <v>1714</v>
      </c>
      <c r="C71" s="193">
        <f>C17/$H$17</f>
        <v>0.67498686293194199</v>
      </c>
      <c r="D71" s="193">
        <f>D17/$H$17</f>
        <v>0.14513480821969157</v>
      </c>
      <c r="E71" s="193">
        <f>E17/$H$17</f>
        <v>0.12756966863670863</v>
      </c>
      <c r="F71" s="193">
        <f>F17/$H$17</f>
        <v>3.5386541659992235E-2</v>
      </c>
      <c r="G71" s="193">
        <f>G17/$H$17</f>
        <v>1.6922118551665428E-2</v>
      </c>
      <c r="H71" s="193">
        <f t="shared" si="10"/>
        <v>0.99999999999999989</v>
      </c>
    </row>
    <row r="72" spans="1:8" x14ac:dyDescent="0.2">
      <c r="A72" s="33" t="s">
        <v>104</v>
      </c>
      <c r="B72" s="125">
        <f t="shared" si="9"/>
        <v>43036</v>
      </c>
      <c r="C72" s="191">
        <f>C18/$H$18</f>
        <v>0.7121284309243443</v>
      </c>
      <c r="D72" s="191">
        <f>D18/$H$18</f>
        <v>0.12647067193580899</v>
      </c>
      <c r="E72" s="191">
        <f>E18/$H$18</f>
        <v>9.4609839253157635E-2</v>
      </c>
      <c r="F72" s="191">
        <f>F18/$H$18</f>
        <v>3.9837018748459949E-2</v>
      </c>
      <c r="G72" s="191">
        <f>G18/$H$18</f>
        <v>2.6954039138229122E-2</v>
      </c>
      <c r="H72" s="191">
        <f t="shared" si="10"/>
        <v>1</v>
      </c>
    </row>
    <row r="73" spans="1:8" x14ac:dyDescent="0.2">
      <c r="A73" s="33"/>
      <c r="B73" s="125"/>
      <c r="C73" s="191"/>
      <c r="D73" s="191"/>
      <c r="E73" s="191"/>
      <c r="F73" s="191"/>
      <c r="G73" s="191"/>
      <c r="H73" s="191"/>
    </row>
    <row r="74" spans="1:8" x14ac:dyDescent="0.2">
      <c r="A74" s="33"/>
      <c r="B74" s="125"/>
      <c r="C74" s="191"/>
      <c r="D74" s="191"/>
      <c r="E74" s="191"/>
      <c r="F74" s="191"/>
      <c r="G74" s="191"/>
      <c r="H74" s="191"/>
    </row>
    <row r="75" spans="1:8" x14ac:dyDescent="0.2">
      <c r="A75" s="33" t="s">
        <v>86</v>
      </c>
      <c r="B75" s="125">
        <f t="shared" si="9"/>
        <v>11457</v>
      </c>
      <c r="C75" s="191">
        <f>C21/$H$21</f>
        <v>0.73407838540652925</v>
      </c>
      <c r="D75" s="191">
        <f>D21/$H$21</f>
        <v>0.11467958486527292</v>
      </c>
      <c r="E75" s="191">
        <f>E21/$H$21</f>
        <v>8.5085372865280035E-2</v>
      </c>
      <c r="F75" s="191">
        <f>F21/$H$21</f>
        <v>2.3975364705578119E-2</v>
      </c>
      <c r="G75" s="191">
        <f>G21/$H$21</f>
        <v>4.2181292157339671E-2</v>
      </c>
      <c r="H75" s="191">
        <f t="shared" si="10"/>
        <v>1</v>
      </c>
    </row>
    <row r="76" spans="1:8" x14ac:dyDescent="0.2">
      <c r="A76" s="33" t="s">
        <v>87</v>
      </c>
      <c r="B76" s="197">
        <f t="shared" si="9"/>
        <v>6223</v>
      </c>
      <c r="C76" s="193">
        <f>C22/$H$22</f>
        <v>0.68169659385975312</v>
      </c>
      <c r="D76" s="193">
        <f>D22/$H$22</f>
        <v>0.11745493789091588</v>
      </c>
      <c r="E76" s="193">
        <f>E22/$H$22</f>
        <v>0.12145769370600291</v>
      </c>
      <c r="F76" s="193">
        <f>F22/$H$22</f>
        <v>5.4494985249701665E-2</v>
      </c>
      <c r="G76" s="193">
        <f>G22/$H$22</f>
        <v>2.489578929362634E-2</v>
      </c>
      <c r="H76" s="193">
        <f t="shared" si="10"/>
        <v>0.99999999999999989</v>
      </c>
    </row>
    <row r="77" spans="1:8" x14ac:dyDescent="0.2">
      <c r="A77" s="33" t="s">
        <v>105</v>
      </c>
      <c r="B77" s="125">
        <f t="shared" si="9"/>
        <v>17680</v>
      </c>
      <c r="C77" s="191">
        <f>C23/$H$23</f>
        <v>0.71027684060344143</v>
      </c>
      <c r="D77" s="191">
        <f>D23/$H$23</f>
        <v>0.11594066600498992</v>
      </c>
      <c r="E77" s="191">
        <f>E23/$H$23</f>
        <v>0.10161244073598623</v>
      </c>
      <c r="F77" s="191">
        <f>F23/$H$23</f>
        <v>3.784304838542174E-2</v>
      </c>
      <c r="G77" s="191">
        <f>G23/$H$23</f>
        <v>3.4327004270160721E-2</v>
      </c>
      <c r="H77" s="191">
        <f t="shared" si="10"/>
        <v>1</v>
      </c>
    </row>
    <row r="78" spans="1:8" x14ac:dyDescent="0.2">
      <c r="A78" s="33"/>
      <c r="B78" s="182"/>
      <c r="C78" s="191"/>
      <c r="D78" s="191"/>
      <c r="E78" s="191"/>
      <c r="F78" s="191"/>
      <c r="G78" s="191"/>
      <c r="H78" s="191"/>
    </row>
    <row r="79" spans="1:8" ht="13.5" thickBot="1" x14ac:dyDescent="0.25">
      <c r="A79" s="33" t="s">
        <v>230</v>
      </c>
      <c r="B79" s="198">
        <f t="shared" si="9"/>
        <v>147652</v>
      </c>
      <c r="C79" s="195">
        <f>C25/$H$25</f>
        <v>0.73887514991725789</v>
      </c>
      <c r="D79" s="195">
        <f>D25/$H$25</f>
        <v>0.11272928788119534</v>
      </c>
      <c r="E79" s="195">
        <f>E25/$H$25</f>
        <v>8.5803834837319001E-2</v>
      </c>
      <c r="F79" s="195">
        <f>F25/$H$25</f>
        <v>3.1985048316725363E-2</v>
      </c>
      <c r="G79" s="195">
        <f>G25/$H$25</f>
        <v>3.0606679047502382E-2</v>
      </c>
      <c r="H79" s="195">
        <f t="shared" si="10"/>
        <v>0.99999999999999989</v>
      </c>
    </row>
    <row r="80" spans="1:8" ht="13.5" thickTop="1" x14ac:dyDescent="0.2">
      <c r="A80" s="33"/>
      <c r="B80" s="182"/>
      <c r="C80" s="33"/>
      <c r="D80" s="33"/>
      <c r="E80" s="33"/>
      <c r="F80" s="33"/>
      <c r="G80" s="33"/>
      <c r="H80" s="191"/>
    </row>
  </sheetData>
  <phoneticPr fontId="7" type="noConversion"/>
  <pageMargins left="0.5" right="0.5" top="1" bottom="1" header="0.5" footer="0.5"/>
  <pageSetup orientation="landscape" horizontalDpi="4294967293" r:id="rId1"/>
  <headerFooter alignWithMargins="0"/>
  <rowBreaks count="2" manualBreakCount="2">
    <brk id="25" max="16383" man="1"/>
    <brk id="5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82"/>
  <sheetViews>
    <sheetView zoomScaleNormal="100" workbookViewId="0"/>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1307</v>
      </c>
      <c r="D2" s="22"/>
      <c r="E2" s="22"/>
      <c r="F2" s="22"/>
      <c r="G2" s="22"/>
      <c r="H2" s="22"/>
      <c r="I2" s="22"/>
    </row>
    <row r="3" spans="1:26" ht="22.5" x14ac:dyDescent="0.2">
      <c r="A3" s="20" t="s">
        <v>245</v>
      </c>
      <c r="B3" s="21" t="str">
        <f>"ANB"&amp;RIGHT(C2,2)</f>
        <v>ANB16</v>
      </c>
      <c r="C3" s="202" t="str">
        <f>RIGHT(C2,2)&amp;"/Pupil Property Tax"</f>
        <v>16/Pupil Property Tax</v>
      </c>
      <c r="D3" s="202" t="str">
        <f>RIGHT(C2,2)&amp;"/Pupil Non Levy Revenue"</f>
        <v>16/Pupil Non Levy Revenue</v>
      </c>
      <c r="E3" s="202" t="str">
        <f>RIGHT(C2,2)&amp;"/Pupil County Revenue"</f>
        <v>16/Pupil County Revenue</v>
      </c>
      <c r="F3" s="202" t="str">
        <f>RIGHT(C2,2)&amp;"/Pupil State Revenue"</f>
        <v>16/Pupil State Revenue</v>
      </c>
      <c r="G3" s="202" t="str">
        <f>RIGHT(C2,2)&amp;"/Pupil Federal Revenue"</f>
        <v>16/Pupil Federal Revenue</v>
      </c>
      <c r="H3" s="202" t="str">
        <f>RIGHT(C2,2)&amp;"/Pupil Total Revenue"</f>
        <v>16/Pupil Total Revenue</v>
      </c>
      <c r="I3" s="202" t="str">
        <f>RIGHT(C2,2)&amp;"/Rev Per ANB"</f>
        <v>16/Rev Per ANB</v>
      </c>
      <c r="J3" s="202"/>
      <c r="L3" s="287"/>
      <c r="M3" s="278"/>
      <c r="N3" s="290"/>
      <c r="O3" s="290"/>
      <c r="P3" s="290"/>
      <c r="Q3" s="290"/>
      <c r="R3" s="290"/>
      <c r="S3" s="290"/>
      <c r="T3" s="290"/>
    </row>
    <row r="4" spans="1:26" ht="15" x14ac:dyDescent="0.25">
      <c r="A4" s="33" t="s">
        <v>102</v>
      </c>
      <c r="B4" s="214">
        <v>40614</v>
      </c>
      <c r="C4" s="214">
        <v>114338184.06</v>
      </c>
      <c r="D4" s="214">
        <v>22962688.66</v>
      </c>
      <c r="E4" s="214">
        <v>36606240.450000003</v>
      </c>
      <c r="F4" s="214">
        <v>181907188.88</v>
      </c>
      <c r="G4" s="214">
        <v>40075999.159999996</v>
      </c>
      <c r="H4" s="229">
        <f t="shared" ref="H4:H9" si="0">SUM(C4:G4)</f>
        <v>395890301.21000004</v>
      </c>
      <c r="I4" s="321">
        <f t="shared" ref="I4:I10" si="1">H4/B4</f>
        <v>9747.6313884374849</v>
      </c>
      <c r="J4" s="221"/>
      <c r="L4" s="283"/>
      <c r="M4" s="289"/>
      <c r="N4" s="289"/>
      <c r="O4" s="289"/>
      <c r="P4" s="289"/>
      <c r="Q4" s="289"/>
      <c r="R4" s="289"/>
      <c r="S4" s="289"/>
      <c r="T4" s="289"/>
      <c r="U4" s="268"/>
      <c r="V4" s="268"/>
      <c r="W4" s="268"/>
      <c r="X4" s="268"/>
      <c r="Y4" s="268"/>
      <c r="Z4" s="268"/>
    </row>
    <row r="5" spans="1:26" ht="15" x14ac:dyDescent="0.25">
      <c r="A5" s="33" t="s">
        <v>76</v>
      </c>
      <c r="B5" s="214">
        <v>21203</v>
      </c>
      <c r="C5" s="214">
        <v>48940584.350000009</v>
      </c>
      <c r="D5" s="214">
        <v>13859942.76</v>
      </c>
      <c r="E5" s="214">
        <v>19576561.269999996</v>
      </c>
      <c r="F5" s="214">
        <v>100605515.58</v>
      </c>
      <c r="G5" s="214">
        <v>36680268.649999999</v>
      </c>
      <c r="H5" s="229">
        <f t="shared" si="0"/>
        <v>219662872.60999998</v>
      </c>
      <c r="I5" s="321">
        <f t="shared" si="1"/>
        <v>10359.990218836956</v>
      </c>
      <c r="J5" s="221"/>
      <c r="L5" s="283"/>
      <c r="M5" s="289"/>
      <c r="N5" s="289"/>
      <c r="O5" s="289"/>
      <c r="P5" s="289"/>
      <c r="Q5" s="289"/>
      <c r="R5" s="289"/>
      <c r="S5" s="289"/>
      <c r="T5" s="289"/>
      <c r="U5" s="268"/>
      <c r="V5" s="268"/>
      <c r="W5" s="268"/>
      <c r="X5" s="268"/>
      <c r="Y5" s="268"/>
      <c r="Z5" s="268"/>
    </row>
    <row r="6" spans="1:26" ht="15" x14ac:dyDescent="0.25">
      <c r="A6" s="33" t="s">
        <v>77</v>
      </c>
      <c r="B6" s="214">
        <v>14952</v>
      </c>
      <c r="C6" s="214">
        <v>34662765</v>
      </c>
      <c r="D6" s="214">
        <v>13287858.900000002</v>
      </c>
      <c r="E6" s="214">
        <v>14260354.579999998</v>
      </c>
      <c r="F6" s="214">
        <v>71981219.310000002</v>
      </c>
      <c r="G6" s="214">
        <v>32206772.710000001</v>
      </c>
      <c r="H6" s="229">
        <f t="shared" si="0"/>
        <v>166398970.5</v>
      </c>
      <c r="I6" s="321">
        <f t="shared" si="1"/>
        <v>11128.877106741573</v>
      </c>
      <c r="J6" s="221"/>
      <c r="L6" s="283"/>
      <c r="M6" s="289"/>
      <c r="N6" s="289"/>
      <c r="O6" s="289"/>
      <c r="P6" s="289"/>
      <c r="Q6" s="289"/>
      <c r="R6" s="289"/>
      <c r="S6" s="289"/>
      <c r="T6" s="289"/>
      <c r="U6" s="268"/>
      <c r="V6" s="268"/>
      <c r="W6" s="268"/>
      <c r="X6" s="268"/>
      <c r="Y6" s="268"/>
      <c r="Z6" s="268"/>
    </row>
    <row r="7" spans="1:26" ht="15" x14ac:dyDescent="0.25">
      <c r="A7" s="33" t="s">
        <v>78</v>
      </c>
      <c r="B7" s="214">
        <v>11202</v>
      </c>
      <c r="C7" s="214">
        <v>30313985.580000006</v>
      </c>
      <c r="D7" s="214">
        <v>11251782.98</v>
      </c>
      <c r="E7" s="214">
        <v>10036282.260000002</v>
      </c>
      <c r="F7" s="214">
        <v>53567646.169999994</v>
      </c>
      <c r="G7" s="214">
        <v>16152564.710000001</v>
      </c>
      <c r="H7" s="229">
        <f t="shared" si="0"/>
        <v>121322261.70000002</v>
      </c>
      <c r="I7" s="321">
        <f t="shared" si="1"/>
        <v>10830.410792715587</v>
      </c>
      <c r="J7" s="221"/>
      <c r="L7" s="283"/>
      <c r="M7" s="289"/>
      <c r="N7" s="289"/>
      <c r="O7" s="289"/>
      <c r="P7" s="289"/>
      <c r="Q7" s="289"/>
      <c r="R7" s="289"/>
      <c r="S7" s="289"/>
      <c r="T7" s="289"/>
      <c r="U7" s="268"/>
      <c r="V7" s="268"/>
      <c r="W7" s="268"/>
      <c r="X7" s="268"/>
      <c r="Y7" s="268"/>
      <c r="Z7" s="268"/>
    </row>
    <row r="8" spans="1:26" ht="15" x14ac:dyDescent="0.25">
      <c r="A8" s="33" t="s">
        <v>79</v>
      </c>
      <c r="B8" s="214">
        <v>5029</v>
      </c>
      <c r="C8" s="214">
        <v>17498338.719999995</v>
      </c>
      <c r="D8" s="214">
        <v>7851390.5000000019</v>
      </c>
      <c r="E8" s="214">
        <v>5537270.2200000007</v>
      </c>
      <c r="F8" s="214">
        <v>25191564.959999993</v>
      </c>
      <c r="G8" s="214">
        <v>10789094.899999999</v>
      </c>
      <c r="H8" s="229">
        <f t="shared" si="0"/>
        <v>66867659.29999999</v>
      </c>
      <c r="I8" s="321">
        <f t="shared" si="1"/>
        <v>13296.412666534101</v>
      </c>
      <c r="J8" s="221"/>
      <c r="L8" s="283"/>
      <c r="M8" s="289"/>
      <c r="N8" s="289"/>
      <c r="O8" s="289"/>
      <c r="P8" s="289"/>
      <c r="Q8" s="289"/>
      <c r="R8" s="289"/>
      <c r="S8" s="289"/>
      <c r="T8" s="289"/>
      <c r="U8" s="268"/>
      <c r="V8" s="268"/>
      <c r="W8" s="268"/>
      <c r="X8" s="268"/>
      <c r="Y8" s="268"/>
      <c r="Z8" s="268"/>
    </row>
    <row r="9" spans="1:26" ht="15" x14ac:dyDescent="0.25">
      <c r="A9" s="33" t="s">
        <v>80</v>
      </c>
      <c r="B9" s="220">
        <v>1578</v>
      </c>
      <c r="C9" s="220">
        <v>6080266.3399999989</v>
      </c>
      <c r="D9" s="220">
        <v>3661185.0300000003</v>
      </c>
      <c r="E9" s="220">
        <v>1885336.99</v>
      </c>
      <c r="F9" s="220">
        <v>9143802.540000001</v>
      </c>
      <c r="G9" s="220">
        <v>2840230.8499999992</v>
      </c>
      <c r="H9" s="238">
        <f t="shared" si="0"/>
        <v>23610821.749999996</v>
      </c>
      <c r="I9" s="322">
        <f t="shared" si="1"/>
        <v>14962.497940430923</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94578</v>
      </c>
      <c r="C10" s="229">
        <f t="shared" si="2"/>
        <v>251834124.05000004</v>
      </c>
      <c r="D10" s="229">
        <f t="shared" si="2"/>
        <v>72874848.830000013</v>
      </c>
      <c r="E10" s="229">
        <f t="shared" si="2"/>
        <v>87902045.769999996</v>
      </c>
      <c r="F10" s="229">
        <f t="shared" si="2"/>
        <v>442396937.44</v>
      </c>
      <c r="G10" s="229">
        <f t="shared" si="2"/>
        <v>138744930.98000002</v>
      </c>
      <c r="H10" s="229">
        <f t="shared" si="2"/>
        <v>993752887.07000005</v>
      </c>
      <c r="I10" s="321">
        <f t="shared" si="1"/>
        <v>10507.230931823469</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19924</v>
      </c>
      <c r="C13" s="214">
        <v>70290176.74000001</v>
      </c>
      <c r="D13" s="214">
        <v>17986975.880000003</v>
      </c>
      <c r="E13" s="214">
        <v>21348430.809999999</v>
      </c>
      <c r="F13" s="214">
        <v>99018922.040000007</v>
      </c>
      <c r="G13" s="214">
        <v>11656156.719999999</v>
      </c>
      <c r="H13" s="229">
        <f>SUM(C13:G13)</f>
        <v>220300662.19000003</v>
      </c>
      <c r="I13" s="321">
        <f t="shared" ref="I13:I18" si="3">H13/B13</f>
        <v>11057.049899116644</v>
      </c>
      <c r="J13" s="221"/>
      <c r="L13" s="283"/>
      <c r="M13" s="289"/>
      <c r="N13" s="289"/>
      <c r="O13" s="289"/>
      <c r="P13" s="289"/>
      <c r="Q13" s="289"/>
      <c r="R13" s="289"/>
      <c r="S13" s="289"/>
      <c r="T13" s="289"/>
      <c r="U13" s="268"/>
      <c r="V13" s="268"/>
      <c r="W13" s="268"/>
      <c r="X13" s="268"/>
      <c r="Y13" s="268"/>
      <c r="Z13" s="268"/>
    </row>
    <row r="14" spans="1:26" ht="15" x14ac:dyDescent="0.25">
      <c r="A14" s="33" t="s">
        <v>82</v>
      </c>
      <c r="B14" s="214">
        <v>7627</v>
      </c>
      <c r="C14" s="214">
        <v>26748983.079999998</v>
      </c>
      <c r="D14" s="214">
        <v>10991635.459999999</v>
      </c>
      <c r="E14" s="214">
        <v>7997876.8499999996</v>
      </c>
      <c r="F14" s="214">
        <v>37594115.619999997</v>
      </c>
      <c r="G14" s="214">
        <v>10591559.51</v>
      </c>
      <c r="H14" s="229">
        <f>SUM(C14:G14)</f>
        <v>93924170.519999996</v>
      </c>
      <c r="I14" s="321">
        <f t="shared" si="3"/>
        <v>12314.693918972072</v>
      </c>
      <c r="J14" s="221"/>
      <c r="L14" s="283"/>
      <c r="M14" s="289"/>
      <c r="N14" s="289"/>
      <c r="O14" s="289"/>
      <c r="P14" s="289"/>
      <c r="Q14" s="289"/>
      <c r="R14" s="289"/>
      <c r="S14" s="289"/>
      <c r="T14" s="289"/>
      <c r="U14" s="268"/>
      <c r="V14" s="268"/>
      <c r="W14" s="268"/>
      <c r="X14" s="268"/>
      <c r="Y14" s="268"/>
      <c r="Z14" s="268"/>
    </row>
    <row r="15" spans="1:26" ht="15" x14ac:dyDescent="0.25">
      <c r="A15" s="33" t="s">
        <v>83</v>
      </c>
      <c r="B15" s="214">
        <v>4350</v>
      </c>
      <c r="C15" s="214">
        <v>14958080.299999999</v>
      </c>
      <c r="D15" s="214">
        <v>5660324.6400000006</v>
      </c>
      <c r="E15" s="214">
        <v>4930787.9200000009</v>
      </c>
      <c r="F15" s="214">
        <v>24806478.340000004</v>
      </c>
      <c r="G15" s="214">
        <v>5134751</v>
      </c>
      <c r="H15" s="229">
        <f>SUM(C15:G15)</f>
        <v>55490422.200000003</v>
      </c>
      <c r="I15" s="321">
        <f t="shared" si="3"/>
        <v>12756.418896551724</v>
      </c>
      <c r="J15" s="221"/>
      <c r="L15" s="283"/>
      <c r="M15" s="289"/>
      <c r="N15" s="289"/>
      <c r="O15" s="289"/>
      <c r="P15" s="289"/>
      <c r="Q15" s="289"/>
      <c r="R15" s="289"/>
      <c r="S15" s="289"/>
      <c r="T15" s="289"/>
      <c r="U15" s="268"/>
      <c r="V15" s="268"/>
      <c r="W15" s="268"/>
      <c r="X15" s="268"/>
      <c r="Y15" s="268"/>
      <c r="Z15" s="268"/>
    </row>
    <row r="16" spans="1:26" ht="15" x14ac:dyDescent="0.25">
      <c r="A16" s="33" t="s">
        <v>84</v>
      </c>
      <c r="B16" s="214">
        <v>4471</v>
      </c>
      <c r="C16" s="214">
        <v>17991991.560000006</v>
      </c>
      <c r="D16" s="214">
        <v>7565013.7799999975</v>
      </c>
      <c r="E16" s="214">
        <v>6142273.4600000009</v>
      </c>
      <c r="F16" s="214">
        <v>29391999.519999996</v>
      </c>
      <c r="G16" s="214">
        <v>10697226.25</v>
      </c>
      <c r="H16" s="229">
        <f>SUM(C16:G16)</f>
        <v>71788504.569999993</v>
      </c>
      <c r="I16" s="321">
        <f t="shared" si="3"/>
        <v>16056.476083650188</v>
      </c>
      <c r="J16" s="221"/>
      <c r="L16" s="283"/>
      <c r="M16" s="289"/>
      <c r="N16" s="289"/>
      <c r="O16" s="289"/>
      <c r="P16" s="289"/>
      <c r="Q16" s="289"/>
      <c r="R16" s="289"/>
      <c r="S16" s="289"/>
      <c r="T16" s="289"/>
      <c r="U16" s="268"/>
      <c r="V16" s="268"/>
      <c r="W16" s="268"/>
      <c r="X16" s="268"/>
      <c r="Y16" s="268"/>
      <c r="Z16" s="268"/>
    </row>
    <row r="17" spans="1:26" ht="15" x14ac:dyDescent="0.25">
      <c r="A17" s="33" t="s">
        <v>85</v>
      </c>
      <c r="B17" s="220">
        <v>1663</v>
      </c>
      <c r="C17" s="220">
        <v>11803905.539999997</v>
      </c>
      <c r="D17" s="220">
        <v>5453278.7800000003</v>
      </c>
      <c r="E17" s="220">
        <v>3437495.3800000013</v>
      </c>
      <c r="F17" s="220">
        <v>14692307.640000001</v>
      </c>
      <c r="G17" s="220">
        <v>3460391.28</v>
      </c>
      <c r="H17" s="238">
        <f>SUM(C17:G17)</f>
        <v>38847378.620000005</v>
      </c>
      <c r="I17" s="322">
        <f t="shared" si="3"/>
        <v>23359.818773301267</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38035</v>
      </c>
      <c r="C18" s="229">
        <f t="shared" si="4"/>
        <v>141793137.22</v>
      </c>
      <c r="D18" s="229">
        <f t="shared" si="4"/>
        <v>47657228.540000007</v>
      </c>
      <c r="E18" s="229">
        <f t="shared" si="4"/>
        <v>43856864.420000002</v>
      </c>
      <c r="F18" s="229">
        <f t="shared" si="4"/>
        <v>205503823.15999997</v>
      </c>
      <c r="G18" s="229">
        <f t="shared" si="4"/>
        <v>41540084.759999998</v>
      </c>
      <c r="H18" s="229">
        <f t="shared" si="4"/>
        <v>480351138.10000002</v>
      </c>
      <c r="I18" s="321">
        <f t="shared" si="3"/>
        <v>12629.187277507559</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10031</v>
      </c>
      <c r="C21" s="214">
        <v>26075717.599999998</v>
      </c>
      <c r="D21" s="214">
        <v>10603939.330000002</v>
      </c>
      <c r="E21" s="214">
        <v>9929954.5399999991</v>
      </c>
      <c r="F21" s="214">
        <v>50445223.200000003</v>
      </c>
      <c r="G21" s="214">
        <v>11370266.369999999</v>
      </c>
      <c r="H21" s="221">
        <f>SUM(C21:G21)</f>
        <v>108425101.04000001</v>
      </c>
      <c r="I21" s="321">
        <f>H21/B21</f>
        <v>10809.002197188716</v>
      </c>
      <c r="J21" s="221"/>
      <c r="L21" s="283"/>
      <c r="M21" s="289"/>
      <c r="N21" s="289"/>
      <c r="O21" s="289"/>
      <c r="P21" s="289"/>
      <c r="Q21" s="289"/>
      <c r="R21" s="289"/>
      <c r="S21" s="289"/>
      <c r="T21" s="289"/>
      <c r="U21" s="268"/>
      <c r="V21" s="268"/>
      <c r="W21" s="268"/>
      <c r="X21" s="268"/>
      <c r="Y21" s="268"/>
      <c r="Z21" s="268"/>
    </row>
    <row r="22" spans="1:26" ht="15" x14ac:dyDescent="0.25">
      <c r="A22" s="33" t="s">
        <v>87</v>
      </c>
      <c r="B22" s="220">
        <v>7543</v>
      </c>
      <c r="C22" s="220">
        <v>34066192.780000001</v>
      </c>
      <c r="D22" s="220">
        <v>15967266.370000001</v>
      </c>
      <c r="E22" s="220">
        <v>10118770.270000001</v>
      </c>
      <c r="F22" s="220">
        <v>44720206.200000003</v>
      </c>
      <c r="G22" s="220">
        <v>11339763.780000001</v>
      </c>
      <c r="H22" s="220">
        <f>SUM(C22:G22)</f>
        <v>116212199.40000001</v>
      </c>
      <c r="I22" s="322">
        <f>H22/B22</f>
        <v>15406.628582791993</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17574</v>
      </c>
      <c r="C23" s="221">
        <f t="shared" si="5"/>
        <v>60141910.379999995</v>
      </c>
      <c r="D23" s="221">
        <f t="shared" si="5"/>
        <v>26571205.700000003</v>
      </c>
      <c r="E23" s="221">
        <f t="shared" si="5"/>
        <v>20048724.810000002</v>
      </c>
      <c r="F23" s="221">
        <f t="shared" si="5"/>
        <v>95165429.400000006</v>
      </c>
      <c r="G23" s="221">
        <f t="shared" si="5"/>
        <v>22710030.149999999</v>
      </c>
      <c r="H23" s="221">
        <f t="shared" si="5"/>
        <v>224637300.44</v>
      </c>
      <c r="I23" s="323">
        <f>H23/B23</f>
        <v>12782.366020257197</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150187</v>
      </c>
      <c r="C25" s="192">
        <f t="shared" ref="C25:H25" si="6">C10+C18+C23</f>
        <v>453769171.65000004</v>
      </c>
      <c r="D25" s="192">
        <f t="shared" si="6"/>
        <v>147103283.07000002</v>
      </c>
      <c r="E25" s="192">
        <f t="shared" si="6"/>
        <v>151807635</v>
      </c>
      <c r="F25" s="192">
        <f t="shared" si="6"/>
        <v>743066189.99999988</v>
      </c>
      <c r="G25" s="192">
        <f t="shared" si="6"/>
        <v>202995045.89000002</v>
      </c>
      <c r="H25" s="192">
        <f t="shared" si="6"/>
        <v>1698741325.6100001</v>
      </c>
      <c r="I25" s="222">
        <f>H25/B25</f>
        <v>11310.841321885384</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FY16</v>
      </c>
      <c r="C29" s="223"/>
      <c r="D29" s="223"/>
      <c r="E29" s="223"/>
      <c r="F29" s="223"/>
      <c r="G29" s="223"/>
      <c r="H29" s="223"/>
      <c r="I29" s="182"/>
    </row>
    <row r="30" spans="1:26" ht="22.5" x14ac:dyDescent="0.2">
      <c r="A30" s="20" t="s">
        <v>245</v>
      </c>
      <c r="B30" s="202" t="str">
        <f>B3</f>
        <v>ANB16</v>
      </c>
      <c r="C30" s="202" t="str">
        <f t="shared" ref="C30:G30" si="7">C3</f>
        <v>16/Pupil Property Tax</v>
      </c>
      <c r="D30" s="202" t="str">
        <f t="shared" si="7"/>
        <v>16/Pupil Non Levy Revenue</v>
      </c>
      <c r="E30" s="202" t="str">
        <f t="shared" si="7"/>
        <v>16/Pupil County Revenue</v>
      </c>
      <c r="F30" s="202" t="str">
        <f t="shared" si="7"/>
        <v>16/Pupil State Revenue</v>
      </c>
      <c r="G30" s="202" t="str">
        <f t="shared" si="7"/>
        <v>16/Pupil Federal Revenue</v>
      </c>
      <c r="H30" s="202" t="str">
        <f>I3</f>
        <v>16/Rev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40614</v>
      </c>
      <c r="C32" s="182">
        <f t="shared" ref="C32:H38" si="9">C4/$B32</f>
        <v>2815.2406574087754</v>
      </c>
      <c r="D32" s="182">
        <f t="shared" si="9"/>
        <v>565.3885029792682</v>
      </c>
      <c r="E32" s="182">
        <f t="shared" si="9"/>
        <v>901.32073792288384</v>
      </c>
      <c r="F32" s="182">
        <f t="shared" si="9"/>
        <v>4478.928174521101</v>
      </c>
      <c r="G32" s="182">
        <f t="shared" si="9"/>
        <v>986.75331560545612</v>
      </c>
      <c r="H32" s="182">
        <f t="shared" si="9"/>
        <v>9747.6313884374849</v>
      </c>
      <c r="I32" s="182"/>
      <c r="J32" s="182"/>
    </row>
    <row r="33" spans="1:10" x14ac:dyDescent="0.2">
      <c r="A33" s="33" t="s">
        <v>76</v>
      </c>
      <c r="B33" s="221">
        <f t="shared" si="8"/>
        <v>21203</v>
      </c>
      <c r="C33" s="182">
        <f t="shared" si="9"/>
        <v>2308.1914988445037</v>
      </c>
      <c r="D33" s="182">
        <f t="shared" si="9"/>
        <v>653.67838324765364</v>
      </c>
      <c r="E33" s="182">
        <f t="shared" si="9"/>
        <v>923.2920468801583</v>
      </c>
      <c r="F33" s="182">
        <f t="shared" si="9"/>
        <v>4744.8717436211855</v>
      </c>
      <c r="G33" s="182">
        <f t="shared" si="9"/>
        <v>1729.9565462434559</v>
      </c>
      <c r="H33" s="182">
        <f t="shared" si="9"/>
        <v>10359.990218836956</v>
      </c>
      <c r="I33" s="182"/>
      <c r="J33" s="182"/>
    </row>
    <row r="34" spans="1:10" x14ac:dyDescent="0.2">
      <c r="A34" s="33" t="s">
        <v>77</v>
      </c>
      <c r="B34" s="221">
        <f t="shared" si="8"/>
        <v>14952</v>
      </c>
      <c r="C34" s="182">
        <f t="shared" si="9"/>
        <v>2318.2694622792937</v>
      </c>
      <c r="D34" s="182">
        <f t="shared" si="9"/>
        <v>888.7011035313003</v>
      </c>
      <c r="E34" s="182">
        <f t="shared" si="9"/>
        <v>953.74228063135354</v>
      </c>
      <c r="F34" s="182">
        <f t="shared" si="9"/>
        <v>4814.1532443820224</v>
      </c>
      <c r="G34" s="182">
        <f t="shared" si="9"/>
        <v>2154.0110159176029</v>
      </c>
      <c r="H34" s="182">
        <f t="shared" si="9"/>
        <v>11128.877106741573</v>
      </c>
      <c r="I34" s="182"/>
      <c r="J34" s="182"/>
    </row>
    <row r="35" spans="1:10" x14ac:dyDescent="0.2">
      <c r="A35" s="33" t="s">
        <v>78</v>
      </c>
      <c r="B35" s="221">
        <f t="shared" si="8"/>
        <v>11202</v>
      </c>
      <c r="C35" s="182">
        <f t="shared" si="9"/>
        <v>2706.122619175148</v>
      </c>
      <c r="D35" s="182">
        <f t="shared" si="9"/>
        <v>1004.444115336547</v>
      </c>
      <c r="E35" s="182">
        <f t="shared" si="9"/>
        <v>895.93664167113025</v>
      </c>
      <c r="F35" s="182">
        <f t="shared" si="9"/>
        <v>4781.9716273879658</v>
      </c>
      <c r="G35" s="182">
        <f t="shared" si="9"/>
        <v>1441.9357891447958</v>
      </c>
      <c r="H35" s="182">
        <f t="shared" si="9"/>
        <v>10830.410792715587</v>
      </c>
      <c r="I35" s="182"/>
      <c r="J35" s="182"/>
    </row>
    <row r="36" spans="1:10" x14ac:dyDescent="0.2">
      <c r="A36" s="33" t="s">
        <v>79</v>
      </c>
      <c r="B36" s="221">
        <f t="shared" si="8"/>
        <v>5029</v>
      </c>
      <c r="C36" s="182">
        <f t="shared" si="9"/>
        <v>3479.4867210180942</v>
      </c>
      <c r="D36" s="182">
        <f t="shared" si="9"/>
        <v>1561.223006561941</v>
      </c>
      <c r="E36" s="182">
        <f t="shared" si="9"/>
        <v>1101.0678504672899</v>
      </c>
      <c r="F36" s="182">
        <f t="shared" si="9"/>
        <v>5009.259288128851</v>
      </c>
      <c r="G36" s="182">
        <f t="shared" si="9"/>
        <v>2145.3758003579237</v>
      </c>
      <c r="H36" s="182">
        <f t="shared" si="9"/>
        <v>13296.412666534101</v>
      </c>
      <c r="I36" s="182"/>
      <c r="J36" s="182"/>
    </row>
    <row r="37" spans="1:10" x14ac:dyDescent="0.2">
      <c r="A37" s="33" t="s">
        <v>80</v>
      </c>
      <c r="B37" s="220">
        <f t="shared" si="8"/>
        <v>1578</v>
      </c>
      <c r="C37" s="183">
        <f t="shared" si="9"/>
        <v>3853.1472370088713</v>
      </c>
      <c r="D37" s="183">
        <f t="shared" si="9"/>
        <v>2320.1426045627377</v>
      </c>
      <c r="E37" s="183">
        <f t="shared" si="9"/>
        <v>1194.763618504436</v>
      </c>
      <c r="F37" s="183">
        <f t="shared" si="9"/>
        <v>5794.5516730038025</v>
      </c>
      <c r="G37" s="183">
        <f t="shared" si="9"/>
        <v>1799.8928073510767</v>
      </c>
      <c r="H37" s="183">
        <f t="shared" si="9"/>
        <v>14962.497940430923</v>
      </c>
      <c r="I37" s="182"/>
      <c r="J37" s="182"/>
    </row>
    <row r="38" spans="1:10" x14ac:dyDescent="0.2">
      <c r="A38" s="33" t="s">
        <v>171</v>
      </c>
      <c r="B38" s="221">
        <f>SUM(B32:B37)</f>
        <v>94578</v>
      </c>
      <c r="C38" s="182">
        <f t="shared" si="9"/>
        <v>2662.7135702806154</v>
      </c>
      <c r="D38" s="182">
        <f t="shared" si="9"/>
        <v>770.52643141111059</v>
      </c>
      <c r="E38" s="182">
        <f t="shared" si="9"/>
        <v>929.41324377762271</v>
      </c>
      <c r="F38" s="182">
        <f t="shared" si="9"/>
        <v>4677.5882069825966</v>
      </c>
      <c r="G38" s="182">
        <f t="shared" si="9"/>
        <v>1466.9894793715243</v>
      </c>
      <c r="H38" s="182">
        <f t="shared" si="9"/>
        <v>10507.230931823469</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19924</v>
      </c>
      <c r="C41" s="182">
        <f t="shared" ref="C41:H46" si="10">C13/$B41</f>
        <v>3527.9149136719539</v>
      </c>
      <c r="D41" s="182">
        <f t="shared" si="10"/>
        <v>902.77935555109434</v>
      </c>
      <c r="E41" s="182">
        <f t="shared" si="10"/>
        <v>1071.4932147159204</v>
      </c>
      <c r="F41" s="182">
        <f t="shared" si="10"/>
        <v>4969.8314615539048</v>
      </c>
      <c r="G41" s="182">
        <f t="shared" si="10"/>
        <v>585.0309536237703</v>
      </c>
      <c r="H41" s="182">
        <f t="shared" si="10"/>
        <v>11057.049899116644</v>
      </c>
      <c r="I41" s="182"/>
      <c r="J41" s="182"/>
    </row>
    <row r="42" spans="1:10" x14ac:dyDescent="0.2">
      <c r="A42" s="33" t="s">
        <v>82</v>
      </c>
      <c r="B42" s="221">
        <f>B14</f>
        <v>7627</v>
      </c>
      <c r="C42" s="182">
        <f t="shared" si="10"/>
        <v>3507.1434482758618</v>
      </c>
      <c r="D42" s="182">
        <f t="shared" si="10"/>
        <v>1441.1479559459813</v>
      </c>
      <c r="E42" s="182">
        <f t="shared" si="10"/>
        <v>1048.6268323062802</v>
      </c>
      <c r="F42" s="182">
        <f t="shared" si="10"/>
        <v>4929.0829448013628</v>
      </c>
      <c r="G42" s="182">
        <f t="shared" si="10"/>
        <v>1388.6927376425856</v>
      </c>
      <c r="H42" s="182">
        <f t="shared" si="10"/>
        <v>12314.693918972072</v>
      </c>
      <c r="I42" s="182"/>
      <c r="J42" s="182"/>
    </row>
    <row r="43" spans="1:10" x14ac:dyDescent="0.2">
      <c r="A43" s="33" t="s">
        <v>83</v>
      </c>
      <c r="B43" s="221">
        <f>B15</f>
        <v>4350</v>
      </c>
      <c r="C43" s="182">
        <f t="shared" si="10"/>
        <v>3438.6391494252871</v>
      </c>
      <c r="D43" s="182">
        <f t="shared" si="10"/>
        <v>1301.224055172414</v>
      </c>
      <c r="E43" s="182">
        <f t="shared" si="10"/>
        <v>1133.5144643678163</v>
      </c>
      <c r="F43" s="182">
        <f t="shared" si="10"/>
        <v>5702.6386988505756</v>
      </c>
      <c r="G43" s="182">
        <f t="shared" si="10"/>
        <v>1180.4025287356321</v>
      </c>
      <c r="H43" s="182">
        <f t="shared" si="10"/>
        <v>12756.418896551724</v>
      </c>
      <c r="I43" s="182"/>
      <c r="J43" s="182"/>
    </row>
    <row r="44" spans="1:10" x14ac:dyDescent="0.2">
      <c r="A44" s="33" t="s">
        <v>84</v>
      </c>
      <c r="B44" s="221">
        <f>B16</f>
        <v>4471</v>
      </c>
      <c r="C44" s="182">
        <f t="shared" si="10"/>
        <v>4024.1537821516454</v>
      </c>
      <c r="D44" s="182">
        <f t="shared" si="10"/>
        <v>1692.0182912100195</v>
      </c>
      <c r="E44" s="182">
        <f t="shared" si="10"/>
        <v>1373.8030552449118</v>
      </c>
      <c r="F44" s="182">
        <f t="shared" si="10"/>
        <v>6573.9207157235505</v>
      </c>
      <c r="G44" s="182">
        <f t="shared" si="10"/>
        <v>2392.5802393200624</v>
      </c>
      <c r="H44" s="182">
        <f t="shared" si="10"/>
        <v>16056.476083650188</v>
      </c>
      <c r="I44" s="182"/>
      <c r="J44" s="182"/>
    </row>
    <row r="45" spans="1:10" x14ac:dyDescent="0.2">
      <c r="A45" s="33" t="s">
        <v>85</v>
      </c>
      <c r="B45" s="220">
        <f>B17</f>
        <v>1663</v>
      </c>
      <c r="C45" s="183">
        <f t="shared" si="10"/>
        <v>7097.9588334335522</v>
      </c>
      <c r="D45" s="183">
        <f t="shared" si="10"/>
        <v>3279.1814672279015</v>
      </c>
      <c r="E45" s="183">
        <f t="shared" si="10"/>
        <v>2067.0447263980764</v>
      </c>
      <c r="F45" s="183">
        <f t="shared" si="10"/>
        <v>8834.8211906193628</v>
      </c>
      <c r="G45" s="183">
        <f t="shared" si="10"/>
        <v>2080.812555622369</v>
      </c>
      <c r="H45" s="183">
        <f t="shared" si="10"/>
        <v>23359.818773301267</v>
      </c>
      <c r="I45" s="182"/>
      <c r="J45" s="182"/>
    </row>
    <row r="46" spans="1:10" x14ac:dyDescent="0.2">
      <c r="A46" s="33" t="s">
        <v>172</v>
      </c>
      <c r="B46" s="221">
        <f>SUM(B41:B45)</f>
        <v>38035</v>
      </c>
      <c r="C46" s="182">
        <f t="shared" si="10"/>
        <v>3727.9646962008674</v>
      </c>
      <c r="D46" s="182">
        <f t="shared" si="10"/>
        <v>1252.9835293808337</v>
      </c>
      <c r="E46" s="182">
        <f t="shared" si="10"/>
        <v>1153.0659766004997</v>
      </c>
      <c r="F46" s="182">
        <f t="shared" si="10"/>
        <v>5403.0188815564607</v>
      </c>
      <c r="G46" s="182">
        <f t="shared" si="10"/>
        <v>1092.1541937688969</v>
      </c>
      <c r="H46" s="182">
        <f t="shared" si="10"/>
        <v>12629.187277507559</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10031</v>
      </c>
      <c r="C49" s="182">
        <f t="shared" ref="C49:G51" si="11">C21/$B49</f>
        <v>2599.5132688665135</v>
      </c>
      <c r="D49" s="182">
        <f t="shared" si="11"/>
        <v>1057.1168707008276</v>
      </c>
      <c r="E49" s="182">
        <f t="shared" si="11"/>
        <v>989.9266812880071</v>
      </c>
      <c r="F49" s="182">
        <f t="shared" si="11"/>
        <v>5028.9326288505636</v>
      </c>
      <c r="G49" s="182">
        <f t="shared" si="11"/>
        <v>1133.5127474828032</v>
      </c>
      <c r="H49" s="182">
        <f>H21/$B49</f>
        <v>10809.002197188716</v>
      </c>
      <c r="I49" s="182"/>
      <c r="J49" s="182"/>
    </row>
    <row r="50" spans="1:10" x14ac:dyDescent="0.2">
      <c r="A50" s="33" t="s">
        <v>87</v>
      </c>
      <c r="B50" s="220">
        <f>B22</f>
        <v>7543</v>
      </c>
      <c r="C50" s="183">
        <f t="shared" si="11"/>
        <v>4516.2657801935575</v>
      </c>
      <c r="D50" s="183">
        <f t="shared" si="11"/>
        <v>2116.8323438950019</v>
      </c>
      <c r="E50" s="183">
        <f t="shared" si="11"/>
        <v>1341.4782274956915</v>
      </c>
      <c r="F50" s="183">
        <f t="shared" si="11"/>
        <v>5928.702929868753</v>
      </c>
      <c r="G50" s="183">
        <f t="shared" si="11"/>
        <v>1503.34930133899</v>
      </c>
      <c r="H50" s="183">
        <f>H22/$B50</f>
        <v>15406.628582791993</v>
      </c>
      <c r="I50" s="182"/>
      <c r="J50" s="182"/>
    </row>
    <row r="51" spans="1:10" x14ac:dyDescent="0.2">
      <c r="A51" s="33" t="s">
        <v>173</v>
      </c>
      <c r="B51" s="221">
        <f>SUM(B49:B50)</f>
        <v>17574</v>
      </c>
      <c r="C51" s="182">
        <f t="shared" si="11"/>
        <v>3422.2095356777054</v>
      </c>
      <c r="D51" s="182">
        <f t="shared" si="11"/>
        <v>1511.9611756003187</v>
      </c>
      <c r="E51" s="182">
        <f t="shared" si="11"/>
        <v>1140.817389894162</v>
      </c>
      <c r="F51" s="182">
        <f t="shared" si="11"/>
        <v>5415.1262888357805</v>
      </c>
      <c r="G51" s="182">
        <f t="shared" si="11"/>
        <v>1292.2516302492318</v>
      </c>
      <c r="H51" s="182">
        <f>H23/$B51</f>
        <v>12782.366020257197</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150187</v>
      </c>
      <c r="C53" s="192">
        <f t="shared" ref="C53:G53" si="12">C25/$B53</f>
        <v>3021.3611807280258</v>
      </c>
      <c r="D53" s="192">
        <f t="shared" si="12"/>
        <v>979.46748433619439</v>
      </c>
      <c r="E53" s="192">
        <f t="shared" si="12"/>
        <v>1010.7907808265695</v>
      </c>
      <c r="F53" s="192">
        <f t="shared" si="12"/>
        <v>4947.6065837922051</v>
      </c>
      <c r="G53" s="192">
        <f t="shared" si="12"/>
        <v>1351.6152922023878</v>
      </c>
      <c r="H53" s="192">
        <f>H25/$B53</f>
        <v>11310.841321885384</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FY16</v>
      </c>
      <c r="I57" s="202"/>
      <c r="J57" s="182"/>
    </row>
    <row r="58" spans="1:10" ht="22.5" x14ac:dyDescent="0.2">
      <c r="A58" s="20" t="s">
        <v>245</v>
      </c>
      <c r="B58" s="21"/>
      <c r="C58" s="202" t="str">
        <f t="shared" ref="C58:G58" si="13">C3</f>
        <v>16/Pupil Property Tax</v>
      </c>
      <c r="D58" s="202" t="str">
        <f t="shared" si="13"/>
        <v>16/Pupil Non Levy Revenue</v>
      </c>
      <c r="E58" s="202" t="str">
        <f t="shared" si="13"/>
        <v>16/Pupil County Revenue</v>
      </c>
      <c r="F58" s="202" t="str">
        <f t="shared" si="13"/>
        <v>16/Pupil State Revenue</v>
      </c>
      <c r="G58" s="202" t="str">
        <f t="shared" si="13"/>
        <v>16/Pupil Federal Revenue</v>
      </c>
      <c r="H58" s="202"/>
      <c r="I58" s="202"/>
    </row>
    <row r="59" spans="1:10" x14ac:dyDescent="0.2">
      <c r="A59" s="33" t="s">
        <v>102</v>
      </c>
      <c r="B59" s="221"/>
      <c r="C59" s="224">
        <f t="shared" ref="C59:G65" si="14">C32/$H32</f>
        <v>0.28881279412639443</v>
      </c>
      <c r="D59" s="224">
        <f t="shared" si="14"/>
        <v>5.8002655255298713E-2</v>
      </c>
      <c r="E59" s="224">
        <f t="shared" si="14"/>
        <v>9.2465615697370232E-2</v>
      </c>
      <c r="F59" s="224">
        <f t="shared" si="14"/>
        <v>0.45948887437762043</v>
      </c>
      <c r="G59" s="224">
        <f t="shared" si="14"/>
        <v>0.10123006054331622</v>
      </c>
      <c r="H59" s="313"/>
      <c r="I59" s="182"/>
    </row>
    <row r="60" spans="1:10" x14ac:dyDescent="0.2">
      <c r="A60" s="33" t="s">
        <v>76</v>
      </c>
      <c r="B60" s="221"/>
      <c r="C60" s="224">
        <f t="shared" si="14"/>
        <v>0.22279861757472086</v>
      </c>
      <c r="D60" s="224">
        <f t="shared" si="14"/>
        <v>6.3096428610435268E-2</v>
      </c>
      <c r="E60" s="224">
        <f t="shared" si="14"/>
        <v>8.9120938087508136E-2</v>
      </c>
      <c r="F60" s="224">
        <f t="shared" si="14"/>
        <v>0.45799963546238359</v>
      </c>
      <c r="G60" s="224">
        <f t="shared" si="14"/>
        <v>0.16698438026495224</v>
      </c>
      <c r="H60" s="313"/>
      <c r="I60" s="182"/>
    </row>
    <row r="61" spans="1:10" x14ac:dyDescent="0.2">
      <c r="A61" s="33" t="s">
        <v>77</v>
      </c>
      <c r="B61" s="221"/>
      <c r="C61" s="224">
        <f t="shared" si="14"/>
        <v>0.20831117461751364</v>
      </c>
      <c r="D61" s="224">
        <f t="shared" si="14"/>
        <v>7.9855415331430812E-2</v>
      </c>
      <c r="E61" s="224">
        <f t="shared" si="14"/>
        <v>8.569977648990322E-2</v>
      </c>
      <c r="F61" s="224">
        <f t="shared" si="14"/>
        <v>0.43258211931064805</v>
      </c>
      <c r="G61" s="224">
        <f t="shared" si="14"/>
        <v>0.19355151425050432</v>
      </c>
      <c r="H61" s="313"/>
      <c r="I61" s="182"/>
    </row>
    <row r="62" spans="1:10" x14ac:dyDescent="0.2">
      <c r="A62" s="33" t="s">
        <v>78</v>
      </c>
      <c r="B62" s="221"/>
      <c r="C62" s="224">
        <f t="shared" si="14"/>
        <v>0.24986334045567835</v>
      </c>
      <c r="D62" s="224">
        <f t="shared" si="14"/>
        <v>9.274293787749259E-2</v>
      </c>
      <c r="E62" s="224">
        <f t="shared" si="14"/>
        <v>8.2724160589894444E-2</v>
      </c>
      <c r="F62" s="224">
        <f t="shared" si="14"/>
        <v>0.44153187897584328</v>
      </c>
      <c r="G62" s="224">
        <f t="shared" si="14"/>
        <v>0.13313768210109128</v>
      </c>
      <c r="H62" s="313"/>
      <c r="I62" s="182"/>
    </row>
    <row r="63" spans="1:10" x14ac:dyDescent="0.2">
      <c r="A63" s="33" t="s">
        <v>79</v>
      </c>
      <c r="B63" s="221"/>
      <c r="C63" s="224">
        <f t="shared" si="14"/>
        <v>0.26168612604628733</v>
      </c>
      <c r="D63" s="224">
        <f t="shared" si="14"/>
        <v>0.11741685864574598</v>
      </c>
      <c r="E63" s="224">
        <f t="shared" si="14"/>
        <v>8.2809392133156384E-2</v>
      </c>
      <c r="F63" s="224">
        <f t="shared" si="14"/>
        <v>0.37673765200870424</v>
      </c>
      <c r="G63" s="224">
        <f t="shared" si="14"/>
        <v>0.161349971166106</v>
      </c>
      <c r="H63" s="313"/>
      <c r="I63" s="182"/>
    </row>
    <row r="64" spans="1:10" x14ac:dyDescent="0.2">
      <c r="A64" s="33" t="s">
        <v>80</v>
      </c>
      <c r="B64" s="221"/>
      <c r="C64" s="225">
        <f t="shared" si="14"/>
        <v>0.2575203186225401</v>
      </c>
      <c r="D64" s="225">
        <f t="shared" si="14"/>
        <v>0.15506385456490943</v>
      </c>
      <c r="E64" s="225">
        <f t="shared" si="14"/>
        <v>7.9850545227211342E-2</v>
      </c>
      <c r="F64" s="225">
        <f t="shared" si="14"/>
        <v>0.38727167723419037</v>
      </c>
      <c r="G64" s="225">
        <f t="shared" si="14"/>
        <v>0.12029360435114883</v>
      </c>
      <c r="H64" s="313"/>
      <c r="I64" s="182"/>
    </row>
    <row r="65" spans="1:9" x14ac:dyDescent="0.2">
      <c r="A65" s="33" t="s">
        <v>171</v>
      </c>
      <c r="B65" s="221"/>
      <c r="C65" s="224">
        <f t="shared" si="14"/>
        <v>0.25341725023060063</v>
      </c>
      <c r="D65" s="224">
        <f t="shared" si="14"/>
        <v>7.3332968163610179E-2</v>
      </c>
      <c r="E65" s="224">
        <f t="shared" si="14"/>
        <v>8.8454631844312986E-2</v>
      </c>
      <c r="F65" s="224">
        <f t="shared" si="14"/>
        <v>0.44517801477223534</v>
      </c>
      <c r="G65" s="224">
        <f t="shared" si="14"/>
        <v>0.13961713498924086</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0.3190647546913758</v>
      </c>
      <c r="D68" s="224">
        <f t="shared" si="15"/>
        <v>8.1647398156647372E-2</v>
      </c>
      <c r="E68" s="224">
        <f t="shared" si="15"/>
        <v>9.6905885791609095E-2</v>
      </c>
      <c r="F68" s="224">
        <f t="shared" si="15"/>
        <v>0.44947174037361887</v>
      </c>
      <c r="G68" s="224">
        <f t="shared" si="15"/>
        <v>5.2910220986748815E-2</v>
      </c>
      <c r="H68" s="313"/>
      <c r="I68" s="182"/>
    </row>
    <row r="69" spans="1:9" x14ac:dyDescent="0.2">
      <c r="A69" s="33" t="s">
        <v>82</v>
      </c>
      <c r="B69" s="221"/>
      <c r="C69" s="224">
        <f t="shared" si="15"/>
        <v>0.28479339164676604</v>
      </c>
      <c r="D69" s="224">
        <f t="shared" si="15"/>
        <v>0.11702669716587452</v>
      </c>
      <c r="E69" s="224">
        <f t="shared" si="15"/>
        <v>8.5152488499187218E-2</v>
      </c>
      <c r="F69" s="224">
        <f t="shared" si="15"/>
        <v>0.40026028882517295</v>
      </c>
      <c r="G69" s="224">
        <f t="shared" si="15"/>
        <v>0.11276713386299918</v>
      </c>
      <c r="H69" s="313"/>
      <c r="I69" s="182"/>
    </row>
    <row r="70" spans="1:9" x14ac:dyDescent="0.2">
      <c r="A70" s="33" t="s">
        <v>83</v>
      </c>
      <c r="B70" s="221"/>
      <c r="C70" s="224">
        <f t="shared" si="15"/>
        <v>0.26956147938625702</v>
      </c>
      <c r="D70" s="224">
        <f t="shared" si="15"/>
        <v>0.10200543473248255</v>
      </c>
      <c r="E70" s="224">
        <f t="shared" si="15"/>
        <v>8.8858360136967948E-2</v>
      </c>
      <c r="F70" s="224">
        <f t="shared" si="15"/>
        <v>0.44704072083992907</v>
      </c>
      <c r="G70" s="224">
        <f t="shared" si="15"/>
        <v>9.2534004904363476E-2</v>
      </c>
      <c r="H70" s="313"/>
      <c r="I70" s="182"/>
    </row>
    <row r="71" spans="1:9" x14ac:dyDescent="0.2">
      <c r="A71" s="33" t="s">
        <v>84</v>
      </c>
      <c r="B71" s="221"/>
      <c r="C71" s="224">
        <f t="shared" si="15"/>
        <v>0.25062496659832578</v>
      </c>
      <c r="D71" s="224">
        <f t="shared" si="15"/>
        <v>0.10537918048736418</v>
      </c>
      <c r="E71" s="224">
        <f t="shared" si="15"/>
        <v>8.5560682685773923E-2</v>
      </c>
      <c r="F71" s="224">
        <f t="shared" si="15"/>
        <v>0.4094248751391702</v>
      </c>
      <c r="G71" s="224">
        <f t="shared" si="15"/>
        <v>0.149010295089366</v>
      </c>
      <c r="H71" s="313"/>
      <c r="I71" s="182"/>
    </row>
    <row r="72" spans="1:9" x14ac:dyDescent="0.2">
      <c r="A72" s="33" t="s">
        <v>85</v>
      </c>
      <c r="B72" s="221"/>
      <c r="C72" s="225">
        <f t="shared" si="15"/>
        <v>0.30385333475044124</v>
      </c>
      <c r="D72" s="225">
        <f t="shared" si="15"/>
        <v>0.14037700801753605</v>
      </c>
      <c r="E72" s="225">
        <f t="shared" si="15"/>
        <v>8.8487190181482586E-2</v>
      </c>
      <c r="F72" s="225">
        <f t="shared" si="15"/>
        <v>0.37820589604560551</v>
      </c>
      <c r="G72" s="225">
        <f t="shared" si="15"/>
        <v>8.9076571004934366E-2</v>
      </c>
      <c r="H72" s="313"/>
      <c r="I72" s="182"/>
    </row>
    <row r="73" spans="1:9" x14ac:dyDescent="0.2">
      <c r="A73" s="33" t="s">
        <v>172</v>
      </c>
      <c r="B73" s="221"/>
      <c r="C73" s="224">
        <f t="shared" si="15"/>
        <v>0.29518642920438204</v>
      </c>
      <c r="D73" s="224">
        <f t="shared" si="15"/>
        <v>9.9213314510933209E-2</v>
      </c>
      <c r="E73" s="224">
        <f t="shared" si="15"/>
        <v>9.1301676922164038E-2</v>
      </c>
      <c r="F73" s="224">
        <f t="shared" si="15"/>
        <v>0.42781999845541735</v>
      </c>
      <c r="G73" s="224">
        <f t="shared" si="15"/>
        <v>8.6478580907103281E-2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0.24049521143983241</v>
      </c>
      <c r="D76" s="224">
        <f t="shared" si="16"/>
        <v>9.7799672108103572E-2</v>
      </c>
      <c r="E76" s="224">
        <f t="shared" si="16"/>
        <v>9.1583539648597209E-2</v>
      </c>
      <c r="F76" s="224">
        <f t="shared" si="16"/>
        <v>0.46525410367281866</v>
      </c>
      <c r="G76" s="224">
        <f t="shared" si="16"/>
        <v>0.10486747313064802</v>
      </c>
      <c r="H76" s="313"/>
      <c r="I76" s="182"/>
    </row>
    <row r="77" spans="1:9" x14ac:dyDescent="0.2">
      <c r="A77" s="33" t="s">
        <v>87</v>
      </c>
      <c r="B77" s="221"/>
      <c r="C77" s="225">
        <f t="shared" si="16"/>
        <v>0.29313783712796682</v>
      </c>
      <c r="D77" s="225">
        <f t="shared" si="16"/>
        <v>0.13739750604874965</v>
      </c>
      <c r="E77" s="225">
        <f t="shared" si="16"/>
        <v>8.707149784827152E-2</v>
      </c>
      <c r="F77" s="225">
        <f t="shared" si="16"/>
        <v>0.38481507475883814</v>
      </c>
      <c r="G77" s="225">
        <f t="shared" si="16"/>
        <v>9.7578084216173963E-2</v>
      </c>
      <c r="H77" s="313"/>
      <c r="I77" s="182"/>
    </row>
    <row r="78" spans="1:9" x14ac:dyDescent="0.2">
      <c r="A78" s="33" t="s">
        <v>173</v>
      </c>
      <c r="B78" s="221"/>
      <c r="C78" s="224">
        <f t="shared" si="16"/>
        <v>0.2677289580234416</v>
      </c>
      <c r="D78" s="224">
        <f t="shared" si="16"/>
        <v>0.11828492261950548</v>
      </c>
      <c r="E78" s="224">
        <f t="shared" si="16"/>
        <v>8.9249313318537513E-2</v>
      </c>
      <c r="F78" s="224">
        <f t="shared" si="16"/>
        <v>0.42364037145032568</v>
      </c>
      <c r="G78" s="224">
        <f t="shared" si="16"/>
        <v>0.1010964345881898</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0.26712081751885108</v>
      </c>
      <c r="D80" s="226">
        <f>D53/$H53</f>
        <v>8.6595457973671644E-2</v>
      </c>
      <c r="E80" s="226">
        <f>E53/$H53</f>
        <v>8.9364774207448844E-2</v>
      </c>
      <c r="F80" s="226">
        <f>F53/$H53</f>
        <v>0.43742162435070725</v>
      </c>
      <c r="G80" s="226">
        <f>G53/$H53</f>
        <v>0.11949732594932111</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72"/>
  <dimension ref="A1:I81"/>
  <sheetViews>
    <sheetView topLeftCell="A11" workbookViewId="0"/>
  </sheetViews>
  <sheetFormatPr defaultRowHeight="12.75" x14ac:dyDescent="0.2"/>
  <cols>
    <col min="1" max="1" width="19.7109375" customWidth="1"/>
    <col min="2" max="2" width="9.28515625" bestFit="1" customWidth="1"/>
    <col min="3" max="5" width="9.5703125" bestFit="1" customWidth="1"/>
    <col min="6" max="7" width="9.28515625" bestFit="1" customWidth="1"/>
    <col min="8" max="8" width="11.7109375" customWidth="1"/>
    <col min="9" max="9" width="9.28515625" bestFit="1" customWidth="1"/>
  </cols>
  <sheetData>
    <row r="1" spans="1:9" x14ac:dyDescent="0.2">
      <c r="A1" s="36" t="s">
        <v>247</v>
      </c>
      <c r="B1" s="22"/>
      <c r="C1" s="22"/>
      <c r="D1" s="22"/>
      <c r="E1" s="22"/>
      <c r="F1" s="22"/>
      <c r="G1" s="22"/>
      <c r="H1" s="22"/>
      <c r="I1" s="22"/>
    </row>
    <row r="2" spans="1:9" x14ac:dyDescent="0.2">
      <c r="A2" s="22" t="s">
        <v>497</v>
      </c>
      <c r="B2" s="22"/>
      <c r="C2" s="22"/>
      <c r="D2" s="22"/>
      <c r="E2" s="22"/>
      <c r="F2" s="22"/>
      <c r="G2" s="22"/>
      <c r="H2" s="22"/>
      <c r="I2" s="22"/>
    </row>
    <row r="3" spans="1:9" ht="22.5" x14ac:dyDescent="0.2">
      <c r="A3" s="22" t="s">
        <v>245</v>
      </c>
      <c r="B3" s="144" t="s">
        <v>498</v>
      </c>
      <c r="C3" s="141" t="s">
        <v>89</v>
      </c>
      <c r="D3" s="141" t="s">
        <v>90</v>
      </c>
      <c r="E3" s="141" t="s">
        <v>91</v>
      </c>
      <c r="F3" s="141" t="s">
        <v>92</v>
      </c>
      <c r="G3" s="141" t="s">
        <v>93</v>
      </c>
      <c r="H3" s="141" t="s">
        <v>106</v>
      </c>
      <c r="I3" s="22" t="s">
        <v>452</v>
      </c>
    </row>
    <row r="4" spans="1:9" x14ac:dyDescent="0.2">
      <c r="A4" s="182" t="s">
        <v>102</v>
      </c>
      <c r="B4" s="182">
        <v>33931</v>
      </c>
      <c r="C4" s="182">
        <v>185166048.40000001</v>
      </c>
      <c r="D4" s="182">
        <v>24045848.809999999</v>
      </c>
      <c r="E4" s="182">
        <v>14948460.9</v>
      </c>
      <c r="F4" s="182">
        <v>4383956.2</v>
      </c>
      <c r="G4" s="182">
        <v>4343786.46</v>
      </c>
      <c r="H4" s="182">
        <f>SUM(C4:G4)</f>
        <v>232888100.77000001</v>
      </c>
      <c r="I4" s="182">
        <f>H4/B4</f>
        <v>6863.5790507205802</v>
      </c>
    </row>
    <row r="5" spans="1:9" x14ac:dyDescent="0.2">
      <c r="A5" s="33" t="s">
        <v>76</v>
      </c>
      <c r="B5" s="182">
        <v>21202</v>
      </c>
      <c r="C5" s="182">
        <v>121702771.92</v>
      </c>
      <c r="D5" s="182">
        <v>15439938.76</v>
      </c>
      <c r="E5" s="182">
        <v>12528584.57</v>
      </c>
      <c r="F5" s="182">
        <v>3167467</v>
      </c>
      <c r="G5" s="182">
        <v>5547119.0199999996</v>
      </c>
      <c r="H5" s="182">
        <f t="shared" ref="H5:H10" si="0">SUM(C5:G5)</f>
        <v>158385881.27000001</v>
      </c>
      <c r="I5" s="182">
        <f t="shared" ref="I5:I10" si="1">H5/B5</f>
        <v>7470.3273875106124</v>
      </c>
    </row>
    <row r="6" spans="1:9" x14ac:dyDescent="0.2">
      <c r="A6" s="33" t="s">
        <v>77</v>
      </c>
      <c r="B6" s="182">
        <v>11728</v>
      </c>
      <c r="C6" s="182">
        <v>74932467.760000005</v>
      </c>
      <c r="D6" s="182">
        <v>8803755</v>
      </c>
      <c r="E6" s="182">
        <v>8340094.0499999998</v>
      </c>
      <c r="F6" s="182">
        <v>6484235</v>
      </c>
      <c r="G6" s="182">
        <v>2296661.5099999998</v>
      </c>
      <c r="H6" s="182">
        <f t="shared" si="0"/>
        <v>100857213.32000001</v>
      </c>
      <c r="I6" s="182">
        <f t="shared" si="1"/>
        <v>8599.6941780354719</v>
      </c>
    </row>
    <row r="7" spans="1:9" x14ac:dyDescent="0.2">
      <c r="A7" s="33" t="s">
        <v>78</v>
      </c>
      <c r="B7" s="182">
        <v>13035</v>
      </c>
      <c r="C7" s="182">
        <v>71126203</v>
      </c>
      <c r="D7" s="182">
        <v>10863845.460000001</v>
      </c>
      <c r="E7" s="182">
        <v>9993338</v>
      </c>
      <c r="F7" s="182">
        <v>2677908</v>
      </c>
      <c r="G7" s="182">
        <v>3815002.31</v>
      </c>
      <c r="H7" s="182">
        <f t="shared" si="0"/>
        <v>98476296.770000011</v>
      </c>
      <c r="I7" s="182">
        <f t="shared" si="1"/>
        <v>7554.7600130418114</v>
      </c>
    </row>
    <row r="8" spans="1:9" x14ac:dyDescent="0.2">
      <c r="A8" s="33" t="s">
        <v>79</v>
      </c>
      <c r="B8" s="182">
        <v>6607</v>
      </c>
      <c r="C8" s="182">
        <v>41684937</v>
      </c>
      <c r="D8" s="182">
        <v>7325263</v>
      </c>
      <c r="E8" s="182">
        <v>7390175</v>
      </c>
      <c r="F8" s="182">
        <v>2123776</v>
      </c>
      <c r="G8" s="182">
        <v>1693925.29</v>
      </c>
      <c r="H8" s="182">
        <f t="shared" si="0"/>
        <v>60218076.289999999</v>
      </c>
      <c r="I8" s="182">
        <f t="shared" si="1"/>
        <v>9114.284287876495</v>
      </c>
    </row>
    <row r="9" spans="1:9" x14ac:dyDescent="0.2">
      <c r="A9" s="33" t="s">
        <v>80</v>
      </c>
      <c r="B9" s="183">
        <v>1364</v>
      </c>
      <c r="C9" s="183">
        <v>7004862.4000000004</v>
      </c>
      <c r="D9" s="183">
        <v>2284418.6</v>
      </c>
      <c r="E9" s="183">
        <v>2005923.97</v>
      </c>
      <c r="F9" s="183">
        <v>388062.15</v>
      </c>
      <c r="G9" s="183">
        <v>61914.69</v>
      </c>
      <c r="H9" s="183">
        <f t="shared" si="0"/>
        <v>11745181.810000001</v>
      </c>
      <c r="I9" s="183">
        <f t="shared" si="1"/>
        <v>8610.8371041055725</v>
      </c>
    </row>
    <row r="10" spans="1:9" x14ac:dyDescent="0.2">
      <c r="A10" s="33" t="s">
        <v>103</v>
      </c>
      <c r="B10" s="182">
        <f t="shared" ref="B10:G10" si="2">SUM(B4:B9)</f>
        <v>87867</v>
      </c>
      <c r="C10" s="182">
        <f t="shared" si="2"/>
        <v>501617290.47999996</v>
      </c>
      <c r="D10" s="182">
        <f t="shared" si="2"/>
        <v>68763069.629999995</v>
      </c>
      <c r="E10" s="182">
        <f t="shared" si="2"/>
        <v>55206576.489999995</v>
      </c>
      <c r="F10" s="182">
        <f t="shared" si="2"/>
        <v>19225404.349999998</v>
      </c>
      <c r="G10" s="182">
        <f t="shared" si="2"/>
        <v>17758409.280000001</v>
      </c>
      <c r="H10" s="182">
        <f t="shared" si="0"/>
        <v>662570750.2299999</v>
      </c>
      <c r="I10" s="182">
        <f t="shared" si="1"/>
        <v>7540.6096740528283</v>
      </c>
    </row>
    <row r="11" spans="1:9" x14ac:dyDescent="0.2">
      <c r="A11" s="33"/>
      <c r="B11" s="182"/>
      <c r="C11" s="182"/>
      <c r="D11" s="182"/>
      <c r="E11" s="182"/>
      <c r="F11" s="182"/>
      <c r="G11" s="182"/>
      <c r="H11" s="182"/>
      <c r="I11" s="182"/>
    </row>
    <row r="12" spans="1:9" x14ac:dyDescent="0.2">
      <c r="A12" s="33"/>
      <c r="B12" s="182"/>
      <c r="C12" s="182"/>
      <c r="D12" s="182"/>
      <c r="E12" s="182"/>
      <c r="F12" s="182"/>
      <c r="G12" s="182"/>
      <c r="H12" s="182"/>
      <c r="I12" s="182"/>
    </row>
    <row r="13" spans="1:9" x14ac:dyDescent="0.2">
      <c r="A13" s="33" t="s">
        <v>81</v>
      </c>
      <c r="B13" s="182">
        <v>22769</v>
      </c>
      <c r="C13" s="182">
        <v>120973990.42</v>
      </c>
      <c r="D13" s="182">
        <v>21799713.260000002</v>
      </c>
      <c r="E13" s="182">
        <v>13358535.43</v>
      </c>
      <c r="F13" s="182">
        <v>5218592.55</v>
      </c>
      <c r="G13" s="182">
        <v>6978883.1900000004</v>
      </c>
      <c r="H13" s="182">
        <f t="shared" ref="H13:H25" si="3">SUM(C13:G13)</f>
        <v>168329714.85000002</v>
      </c>
      <c r="I13" s="182">
        <f t="shared" ref="I13:I18" si="4">H13/B13</f>
        <v>7392.9340265272967</v>
      </c>
    </row>
    <row r="14" spans="1:9" x14ac:dyDescent="0.2">
      <c r="A14" s="33" t="s">
        <v>82</v>
      </c>
      <c r="B14" s="182">
        <v>9254</v>
      </c>
      <c r="C14" s="182">
        <v>51717596.159999996</v>
      </c>
      <c r="D14" s="182">
        <v>7606045.7699999996</v>
      </c>
      <c r="E14" s="182">
        <v>7821798.0300000003</v>
      </c>
      <c r="F14" s="182">
        <v>4597027.13</v>
      </c>
      <c r="G14" s="182">
        <v>984870.18</v>
      </c>
      <c r="H14" s="182">
        <f t="shared" si="3"/>
        <v>72727337.269999996</v>
      </c>
      <c r="I14" s="182">
        <f t="shared" si="4"/>
        <v>7859.0163464447805</v>
      </c>
    </row>
    <row r="15" spans="1:9" x14ac:dyDescent="0.2">
      <c r="A15" s="33" t="s">
        <v>83</v>
      </c>
      <c r="B15" s="182">
        <v>5112</v>
      </c>
      <c r="C15" s="182">
        <v>30945911.329999998</v>
      </c>
      <c r="D15" s="182">
        <v>5972514.3300000001</v>
      </c>
      <c r="E15" s="182">
        <v>5207112.62</v>
      </c>
      <c r="F15" s="182">
        <v>1775413.54</v>
      </c>
      <c r="G15" s="182">
        <v>1687498.2</v>
      </c>
      <c r="H15" s="182">
        <f t="shared" si="3"/>
        <v>45588450.019999996</v>
      </c>
      <c r="I15" s="182">
        <f t="shared" si="4"/>
        <v>8917.9284076682306</v>
      </c>
    </row>
    <row r="16" spans="1:9" x14ac:dyDescent="0.2">
      <c r="A16" s="33" t="s">
        <v>84</v>
      </c>
      <c r="B16" s="182">
        <v>4817</v>
      </c>
      <c r="C16" s="182">
        <v>34675260.100000001</v>
      </c>
      <c r="D16" s="182">
        <v>7351328.7300000004</v>
      </c>
      <c r="E16" s="182">
        <v>6853213.7199999997</v>
      </c>
      <c r="F16" s="182">
        <v>2018559.43</v>
      </c>
      <c r="G16" s="182">
        <v>1538139.38</v>
      </c>
      <c r="H16" s="182">
        <f t="shared" si="3"/>
        <v>52436501.359999999</v>
      </c>
      <c r="I16" s="182">
        <f t="shared" si="4"/>
        <v>10885.717533734689</v>
      </c>
    </row>
    <row r="17" spans="1:9" x14ac:dyDescent="0.2">
      <c r="A17" s="33" t="s">
        <v>85</v>
      </c>
      <c r="B17" s="183">
        <v>1482</v>
      </c>
      <c r="C17" s="183">
        <v>14706963.130000001</v>
      </c>
      <c r="D17" s="183">
        <v>3117560.92</v>
      </c>
      <c r="E17" s="183">
        <v>2727411.33</v>
      </c>
      <c r="F17" s="183">
        <v>967393</v>
      </c>
      <c r="G17" s="183">
        <v>204490.41</v>
      </c>
      <c r="H17" s="183">
        <f t="shared" si="3"/>
        <v>21723818.790000003</v>
      </c>
      <c r="I17" s="183">
        <f t="shared" si="4"/>
        <v>14658.447226720649</v>
      </c>
    </row>
    <row r="18" spans="1:9" x14ac:dyDescent="0.2">
      <c r="A18" s="33" t="s">
        <v>104</v>
      </c>
      <c r="B18" s="182">
        <f t="shared" ref="B18:G18" si="5">SUM(B13:B17)</f>
        <v>43434</v>
      </c>
      <c r="C18" s="182">
        <f t="shared" si="5"/>
        <v>253019721.13999996</v>
      </c>
      <c r="D18" s="182">
        <f t="shared" si="5"/>
        <v>45847163.010000005</v>
      </c>
      <c r="E18" s="182">
        <f t="shared" si="5"/>
        <v>35968071.130000003</v>
      </c>
      <c r="F18" s="182">
        <f t="shared" si="5"/>
        <v>14576985.649999999</v>
      </c>
      <c r="G18" s="182">
        <f t="shared" si="5"/>
        <v>11393881.359999999</v>
      </c>
      <c r="H18" s="182">
        <f t="shared" si="3"/>
        <v>360805822.28999996</v>
      </c>
      <c r="I18" s="182">
        <f t="shared" si="4"/>
        <v>8306.9904289266469</v>
      </c>
    </row>
    <row r="19" spans="1:9" x14ac:dyDescent="0.2">
      <c r="A19" s="33"/>
      <c r="B19" s="182"/>
      <c r="C19" s="182"/>
      <c r="D19" s="182"/>
      <c r="E19" s="182"/>
      <c r="F19" s="182"/>
      <c r="G19" s="182"/>
      <c r="H19" s="182"/>
      <c r="I19" s="182"/>
    </row>
    <row r="20" spans="1:9" x14ac:dyDescent="0.2">
      <c r="A20" s="33"/>
      <c r="B20" s="182"/>
      <c r="C20" s="182"/>
      <c r="D20" s="182"/>
      <c r="E20" s="182"/>
      <c r="F20" s="182"/>
      <c r="G20" s="182"/>
      <c r="H20" s="182"/>
      <c r="I20" s="182"/>
    </row>
    <row r="21" spans="1:9" x14ac:dyDescent="0.2">
      <c r="A21" s="33" t="s">
        <v>86</v>
      </c>
      <c r="B21" s="182">
        <v>12099</v>
      </c>
      <c r="C21" s="182">
        <v>63243677.149999999</v>
      </c>
      <c r="D21" s="182">
        <v>9922902.8499999996</v>
      </c>
      <c r="E21" s="182">
        <v>7359913.4000000004</v>
      </c>
      <c r="F21" s="182">
        <v>2499215.87</v>
      </c>
      <c r="G21" s="182">
        <v>3851369.48</v>
      </c>
      <c r="H21" s="182">
        <f t="shared" si="3"/>
        <v>86877078.750000015</v>
      </c>
      <c r="I21" s="182">
        <f>H21/B21</f>
        <v>7180.5172948177551</v>
      </c>
    </row>
    <row r="22" spans="1:9" x14ac:dyDescent="0.2">
      <c r="A22" s="33" t="s">
        <v>87</v>
      </c>
      <c r="B22" s="183">
        <v>6063</v>
      </c>
      <c r="C22" s="183">
        <v>45250053.509999998</v>
      </c>
      <c r="D22" s="183">
        <v>7358316</v>
      </c>
      <c r="E22" s="183">
        <v>7787938.5599999996</v>
      </c>
      <c r="F22" s="183">
        <v>3058959</v>
      </c>
      <c r="G22" s="183">
        <v>1601295.49</v>
      </c>
      <c r="H22" s="183">
        <f t="shared" si="3"/>
        <v>65056562.560000002</v>
      </c>
      <c r="I22" s="183">
        <f>H22/B22</f>
        <v>10730.094435098137</v>
      </c>
    </row>
    <row r="23" spans="1:9" x14ac:dyDescent="0.2">
      <c r="A23" s="33" t="s">
        <v>105</v>
      </c>
      <c r="B23" s="182">
        <f>SUM(B21:B22)</f>
        <v>18162</v>
      </c>
      <c r="C23" s="182">
        <f t="shared" ref="C23:H23" si="6">SUM(C21:C22)</f>
        <v>108493730.66</v>
      </c>
      <c r="D23" s="182">
        <f t="shared" si="6"/>
        <v>17281218.850000001</v>
      </c>
      <c r="E23" s="182">
        <f t="shared" si="6"/>
        <v>15147851.960000001</v>
      </c>
      <c r="F23" s="182">
        <f t="shared" si="6"/>
        <v>5558174.8700000001</v>
      </c>
      <c r="G23" s="182">
        <f t="shared" si="6"/>
        <v>5452664.9699999997</v>
      </c>
      <c r="H23" s="182">
        <f t="shared" si="6"/>
        <v>151933641.31</v>
      </c>
      <c r="I23" s="182">
        <f>H23/B23</f>
        <v>8365.4686328598182</v>
      </c>
    </row>
    <row r="24" spans="1:9" x14ac:dyDescent="0.2">
      <c r="A24" s="33"/>
      <c r="B24" s="182"/>
      <c r="C24" s="182"/>
      <c r="D24" s="182"/>
      <c r="E24" s="182"/>
      <c r="F24" s="182"/>
      <c r="G24" s="182"/>
      <c r="H24" s="182"/>
      <c r="I24" s="182"/>
    </row>
    <row r="25" spans="1:9" ht="13.5" thickBot="1" x14ac:dyDescent="0.25">
      <c r="A25" s="33" t="s">
        <v>209</v>
      </c>
      <c r="B25" s="192">
        <f t="shared" ref="B25:G25" si="7">B10+B18+B23</f>
        <v>149463</v>
      </c>
      <c r="C25" s="192">
        <f t="shared" si="7"/>
        <v>863130742.27999985</v>
      </c>
      <c r="D25" s="192">
        <f t="shared" si="7"/>
        <v>131891451.49000001</v>
      </c>
      <c r="E25" s="192">
        <f t="shared" si="7"/>
        <v>106322499.58000001</v>
      </c>
      <c r="F25" s="192">
        <f t="shared" si="7"/>
        <v>39360564.869999997</v>
      </c>
      <c r="G25" s="192">
        <f t="shared" si="7"/>
        <v>34604955.609999999</v>
      </c>
      <c r="H25" s="192">
        <f t="shared" si="3"/>
        <v>1175310213.8299997</v>
      </c>
      <c r="I25" s="182">
        <f>H25/B25</f>
        <v>7863.5529450767062</v>
      </c>
    </row>
    <row r="26" spans="1:9" ht="13.5" thickTop="1" x14ac:dyDescent="0.2">
      <c r="A26" s="33"/>
      <c r="B26" s="182"/>
      <c r="C26" s="182"/>
      <c r="D26" s="182"/>
      <c r="E26" s="182"/>
      <c r="F26" s="182"/>
      <c r="G26" s="182"/>
      <c r="H26" s="33"/>
      <c r="I26" s="182"/>
    </row>
    <row r="27" spans="1:9" x14ac:dyDescent="0.2">
      <c r="A27" s="36" t="s">
        <v>247</v>
      </c>
      <c r="B27" s="22"/>
      <c r="C27" s="22"/>
      <c r="D27" s="22"/>
      <c r="E27" s="22"/>
      <c r="F27" s="22"/>
      <c r="G27" s="22"/>
      <c r="H27" s="22"/>
      <c r="I27" s="182"/>
    </row>
    <row r="28" spans="1:9" x14ac:dyDescent="0.2">
      <c r="A28" s="36" t="s">
        <v>499</v>
      </c>
      <c r="B28" s="22"/>
      <c r="C28" s="22"/>
      <c r="D28" s="22"/>
      <c r="E28" s="22"/>
      <c r="F28" s="22"/>
      <c r="G28" s="22"/>
      <c r="H28" s="22"/>
      <c r="I28" s="182"/>
    </row>
    <row r="29" spans="1:9" s="196" customFormat="1" ht="33.75" x14ac:dyDescent="0.2">
      <c r="A29" s="155" t="s">
        <v>245</v>
      </c>
      <c r="B29" s="155" t="str">
        <f>B3</f>
        <v>ANB04</v>
      </c>
      <c r="C29" s="155" t="s">
        <v>511</v>
      </c>
      <c r="D29" s="155" t="s">
        <v>512</v>
      </c>
      <c r="E29" s="155" t="s">
        <v>513</v>
      </c>
      <c r="F29" s="155" t="s">
        <v>514</v>
      </c>
      <c r="G29" s="155" t="s">
        <v>506</v>
      </c>
      <c r="H29" s="155" t="s">
        <v>515</v>
      </c>
      <c r="I29" s="194"/>
    </row>
    <row r="30" spans="1:9" x14ac:dyDescent="0.2">
      <c r="A30" s="33" t="s">
        <v>102</v>
      </c>
      <c r="B30" s="182">
        <f t="shared" ref="B30:B35" si="8">B4</f>
        <v>33931</v>
      </c>
      <c r="C30" s="182">
        <f>C4/$B$30</f>
        <v>5457.1350210721757</v>
      </c>
      <c r="D30" s="182">
        <f>D4/$B$30</f>
        <v>708.66902861689891</v>
      </c>
      <c r="E30" s="182">
        <f>E4/$B$30</f>
        <v>440.55468155963575</v>
      </c>
      <c r="F30" s="182">
        <f>F4/$B$30</f>
        <v>129.20209248180132</v>
      </c>
      <c r="G30" s="182">
        <f>G4/$B$30</f>
        <v>128.01822699006809</v>
      </c>
      <c r="H30" s="182">
        <f>SUM(C30:G30)</f>
        <v>6863.5790507205793</v>
      </c>
      <c r="I30" s="182"/>
    </row>
    <row r="31" spans="1:9" x14ac:dyDescent="0.2">
      <c r="A31" s="33" t="s">
        <v>76</v>
      </c>
      <c r="B31" s="182">
        <f t="shared" si="8"/>
        <v>21202</v>
      </c>
      <c r="C31" s="182">
        <f>C5/$B$31</f>
        <v>5740.1552645976799</v>
      </c>
      <c r="D31" s="182">
        <f>D5/$B$31</f>
        <v>728.23029714177903</v>
      </c>
      <c r="E31" s="182">
        <f>E5/$B$31</f>
        <v>590.91522356381472</v>
      </c>
      <c r="F31" s="182">
        <f>F5/$B$31</f>
        <v>149.39472691255543</v>
      </c>
      <c r="G31" s="182">
        <f>G5/$B$31</f>
        <v>261.63187529478347</v>
      </c>
      <c r="H31" s="182">
        <f t="shared" ref="H31:H51" si="9">SUM(C31:G31)</f>
        <v>7470.3273875106133</v>
      </c>
      <c r="I31" s="182"/>
    </row>
    <row r="32" spans="1:9" x14ac:dyDescent="0.2">
      <c r="A32" s="33" t="s">
        <v>77</v>
      </c>
      <c r="B32" s="182">
        <f t="shared" si="8"/>
        <v>11728</v>
      </c>
      <c r="C32" s="182">
        <f>C6/$B$32</f>
        <v>6389.1940450204647</v>
      </c>
      <c r="D32" s="182">
        <f>D6/$B$32</f>
        <v>750.66123806275584</v>
      </c>
      <c r="E32" s="182">
        <f>E6/$B$32</f>
        <v>711.12670958390174</v>
      </c>
      <c r="F32" s="182">
        <f>F6/$B$32</f>
        <v>552.88497612551157</v>
      </c>
      <c r="G32" s="182">
        <f>G6/$B$32</f>
        <v>195.82720924283763</v>
      </c>
      <c r="H32" s="182">
        <f t="shared" si="9"/>
        <v>8599.6941780354719</v>
      </c>
      <c r="I32" s="182"/>
    </row>
    <row r="33" spans="1:9" x14ac:dyDescent="0.2">
      <c r="A33" s="33" t="s">
        <v>78</v>
      </c>
      <c r="B33" s="182">
        <f t="shared" si="8"/>
        <v>13035</v>
      </c>
      <c r="C33" s="182">
        <f>C7/$B$33</f>
        <v>5456.5556578442656</v>
      </c>
      <c r="D33" s="182">
        <f>D7/$B$33</f>
        <v>833.43655235903339</v>
      </c>
      <c r="E33" s="182">
        <f>E7/$B$33</f>
        <v>766.65423858841575</v>
      </c>
      <c r="F33" s="182">
        <f>F7/$B$33</f>
        <v>205.43981588032221</v>
      </c>
      <c r="G33" s="182">
        <f>G7/$B$33</f>
        <v>292.6737483697737</v>
      </c>
      <c r="H33" s="182">
        <f t="shared" si="9"/>
        <v>7554.7600130418105</v>
      </c>
      <c r="I33" s="182"/>
    </row>
    <row r="34" spans="1:9" x14ac:dyDescent="0.2">
      <c r="A34" s="33" t="s">
        <v>79</v>
      </c>
      <c r="B34" s="182">
        <f t="shared" si="8"/>
        <v>6607</v>
      </c>
      <c r="C34" s="182">
        <f>C8/$B$34</f>
        <v>6309.2079612532161</v>
      </c>
      <c r="D34" s="182">
        <f>D8/$B$34</f>
        <v>1108.7124262146208</v>
      </c>
      <c r="E34" s="182">
        <f>E8/$B$34</f>
        <v>1118.5371575601635</v>
      </c>
      <c r="F34" s="182">
        <f>F8/$B$34</f>
        <v>321.44331769335554</v>
      </c>
      <c r="G34" s="182">
        <f>G8/$B$34</f>
        <v>256.38342515513847</v>
      </c>
      <c r="H34" s="182">
        <f t="shared" si="9"/>
        <v>9114.284287876495</v>
      </c>
      <c r="I34" s="182"/>
    </row>
    <row r="35" spans="1:9" x14ac:dyDescent="0.2">
      <c r="A35" s="33" t="s">
        <v>80</v>
      </c>
      <c r="B35" s="183">
        <f t="shared" si="8"/>
        <v>1364</v>
      </c>
      <c r="C35" s="183">
        <f>C9/$B$35</f>
        <v>5135.5296187683289</v>
      </c>
      <c r="D35" s="183">
        <f>D9/$B$35</f>
        <v>1674.7936950146627</v>
      </c>
      <c r="E35" s="183">
        <f>E9/$B$35</f>
        <v>1470.6187463343108</v>
      </c>
      <c r="F35" s="183">
        <f>F9/$B$35</f>
        <v>284.50304252199413</v>
      </c>
      <c r="G35" s="183">
        <f>G9/$B$35</f>
        <v>45.392001466275659</v>
      </c>
      <c r="H35" s="183">
        <f t="shared" si="9"/>
        <v>8610.8371041055725</v>
      </c>
      <c r="I35" s="182"/>
    </row>
    <row r="36" spans="1:9" x14ac:dyDescent="0.2">
      <c r="A36" s="33" t="s">
        <v>103</v>
      </c>
      <c r="B36" s="182">
        <f>SUM(B30:B35)</f>
        <v>87867</v>
      </c>
      <c r="C36" s="182">
        <f>C10/$B$36</f>
        <v>5708.8245926229411</v>
      </c>
      <c r="D36" s="182">
        <f>D10/$B$36</f>
        <v>782.58128341698239</v>
      </c>
      <c r="E36" s="182">
        <f>E10/$B$36</f>
        <v>628.2970454209202</v>
      </c>
      <c r="F36" s="182">
        <f>F10/$B$36</f>
        <v>218.80119214267015</v>
      </c>
      <c r="G36" s="182">
        <f>G10/$B$36</f>
        <v>202.10556044931545</v>
      </c>
      <c r="H36" s="182">
        <f t="shared" si="9"/>
        <v>7540.6096740528301</v>
      </c>
      <c r="I36" s="182"/>
    </row>
    <row r="37" spans="1:9" x14ac:dyDescent="0.2">
      <c r="A37" s="33"/>
      <c r="B37" s="182"/>
      <c r="C37" s="182"/>
      <c r="D37" s="182"/>
      <c r="E37" s="182"/>
      <c r="F37" s="182"/>
      <c r="G37" s="182"/>
      <c r="H37" s="182"/>
      <c r="I37" s="182"/>
    </row>
    <row r="38" spans="1:9" x14ac:dyDescent="0.2">
      <c r="A38" s="33"/>
      <c r="B38" s="182"/>
      <c r="C38" s="182"/>
      <c r="D38" s="182"/>
      <c r="E38" s="182"/>
      <c r="F38" s="182"/>
      <c r="G38" s="182"/>
      <c r="H38" s="182"/>
      <c r="I38" s="182"/>
    </row>
    <row r="39" spans="1:9" x14ac:dyDescent="0.2">
      <c r="A39" s="33" t="s">
        <v>81</v>
      </c>
      <c r="B39" s="182">
        <f>B13</f>
        <v>22769</v>
      </c>
      <c r="C39" s="182">
        <f>C13/$B$39</f>
        <v>5313.1007255478944</v>
      </c>
      <c r="D39" s="182">
        <f>D13/$B$39</f>
        <v>957.42954279942035</v>
      </c>
      <c r="E39" s="182">
        <f>E13/$B$39</f>
        <v>586.69838069304751</v>
      </c>
      <c r="F39" s="182">
        <f>F13/$B$39</f>
        <v>229.19726601958803</v>
      </c>
      <c r="G39" s="182">
        <f>G13/$B$39</f>
        <v>306.508111467346</v>
      </c>
      <c r="H39" s="182">
        <f t="shared" si="9"/>
        <v>7392.9340265272958</v>
      </c>
      <c r="I39" s="182"/>
    </row>
    <row r="40" spans="1:9" x14ac:dyDescent="0.2">
      <c r="A40" s="33" t="s">
        <v>82</v>
      </c>
      <c r="B40" s="182">
        <f>B14</f>
        <v>9254</v>
      </c>
      <c r="C40" s="182">
        <f>C14/$B$40</f>
        <v>5588.6747525394421</v>
      </c>
      <c r="D40" s="182">
        <f>D14/$B$40</f>
        <v>821.91979360276628</v>
      </c>
      <c r="E40" s="182">
        <f>E14/$B$40</f>
        <v>845.23428031121682</v>
      </c>
      <c r="F40" s="182">
        <f>F14/$B$40</f>
        <v>496.76109033931272</v>
      </c>
      <c r="G40" s="182">
        <f>G14/$B$40</f>
        <v>106.42642965204236</v>
      </c>
      <c r="H40" s="182">
        <f t="shared" si="9"/>
        <v>7859.0163464447805</v>
      </c>
      <c r="I40" s="182"/>
    </row>
    <row r="41" spans="1:9" x14ac:dyDescent="0.2">
      <c r="A41" s="33" t="s">
        <v>83</v>
      </c>
      <c r="B41" s="182">
        <f>B15</f>
        <v>5112</v>
      </c>
      <c r="C41" s="182">
        <f>C15/$B$41</f>
        <v>6053.5820285602504</v>
      </c>
      <c r="D41" s="182">
        <f>D15/$B$41</f>
        <v>1168.3322241784037</v>
      </c>
      <c r="E41" s="182">
        <f>E15/$B$41</f>
        <v>1018.605755086072</v>
      </c>
      <c r="F41" s="182">
        <f>F15/$B$41</f>
        <v>347.30311815336466</v>
      </c>
      <c r="G41" s="182">
        <f>G15/$B$41</f>
        <v>330.10528169014083</v>
      </c>
      <c r="H41" s="182">
        <f t="shared" si="9"/>
        <v>8917.9284076682306</v>
      </c>
      <c r="I41" s="182"/>
    </row>
    <row r="42" spans="1:9" x14ac:dyDescent="0.2">
      <c r="A42" s="33" t="s">
        <v>84</v>
      </c>
      <c r="B42" s="182">
        <f>B16</f>
        <v>4817</v>
      </c>
      <c r="C42" s="182">
        <f>C16/$B$42</f>
        <v>7198.5177703965128</v>
      </c>
      <c r="D42" s="182">
        <f>D16/$B$42</f>
        <v>1526.121804027403</v>
      </c>
      <c r="E42" s="182">
        <f>E16/$B$42</f>
        <v>1422.7140793024703</v>
      </c>
      <c r="F42" s="182">
        <f>F16/$B$42</f>
        <v>419.04908241644176</v>
      </c>
      <c r="G42" s="182">
        <f>G16/$B$42</f>
        <v>319.31479759186215</v>
      </c>
      <c r="H42" s="182">
        <f t="shared" si="9"/>
        <v>10885.717533734691</v>
      </c>
      <c r="I42" s="182"/>
    </row>
    <row r="43" spans="1:9" x14ac:dyDescent="0.2">
      <c r="A43" s="33" t="s">
        <v>85</v>
      </c>
      <c r="B43" s="183">
        <f>B17</f>
        <v>1482</v>
      </c>
      <c r="C43" s="183">
        <f>C17/$B$43</f>
        <v>9923.7268083670715</v>
      </c>
      <c r="D43" s="183">
        <f>D17/$B$43</f>
        <v>2103.617354925776</v>
      </c>
      <c r="E43" s="183">
        <f>E17/$B$43</f>
        <v>1840.3585222672066</v>
      </c>
      <c r="F43" s="183">
        <f>F17/$B$43</f>
        <v>652.76180836707158</v>
      </c>
      <c r="G43" s="183">
        <f>G17/$B$43</f>
        <v>137.98273279352227</v>
      </c>
      <c r="H43" s="183">
        <f t="shared" si="9"/>
        <v>14658.447226720647</v>
      </c>
      <c r="I43" s="182"/>
    </row>
    <row r="44" spans="1:9" x14ac:dyDescent="0.2">
      <c r="A44" s="33" t="s">
        <v>104</v>
      </c>
      <c r="B44" s="182">
        <f>SUM(B39:B43)</f>
        <v>43434</v>
      </c>
      <c r="C44" s="182">
        <f>C18/$B$44</f>
        <v>5825.38382695584</v>
      </c>
      <c r="D44" s="182">
        <f>D18/$B$44</f>
        <v>1055.5593086061613</v>
      </c>
      <c r="E44" s="182">
        <f>E18/$B$44</f>
        <v>828.10865059630714</v>
      </c>
      <c r="F44" s="182">
        <f>F18/$B$44</f>
        <v>335.61232329511438</v>
      </c>
      <c r="G44" s="182">
        <f>G18/$B$44</f>
        <v>262.32631947322375</v>
      </c>
      <c r="H44" s="182">
        <f t="shared" si="9"/>
        <v>8306.9904289266469</v>
      </c>
      <c r="I44" s="182"/>
    </row>
    <row r="45" spans="1:9" x14ac:dyDescent="0.2">
      <c r="A45" s="33"/>
      <c r="B45" s="182"/>
      <c r="C45" s="182"/>
      <c r="D45" s="182"/>
      <c r="E45" s="182"/>
      <c r="F45" s="182"/>
      <c r="G45" s="182"/>
      <c r="H45" s="182"/>
      <c r="I45" s="182"/>
    </row>
    <row r="46" spans="1:9" x14ac:dyDescent="0.2">
      <c r="A46" s="33"/>
      <c r="B46" s="182"/>
      <c r="C46" s="182"/>
      <c r="D46" s="182"/>
      <c r="E46" s="182"/>
      <c r="F46" s="182"/>
      <c r="G46" s="182"/>
      <c r="H46" s="182"/>
      <c r="I46" s="182"/>
    </row>
    <row r="47" spans="1:9" x14ac:dyDescent="0.2">
      <c r="A47" s="33" t="s">
        <v>86</v>
      </c>
      <c r="B47" s="182">
        <f>B21</f>
        <v>12099</v>
      </c>
      <c r="C47" s="182">
        <f>C21/$B$47</f>
        <v>5227.1821762129102</v>
      </c>
      <c r="D47" s="182">
        <f>D21/$B$47</f>
        <v>820.14239606579054</v>
      </c>
      <c r="E47" s="182">
        <f>E21/$B$47</f>
        <v>608.30757913877187</v>
      </c>
      <c r="F47" s="182">
        <f>F21/$B$47</f>
        <v>206.56383750723202</v>
      </c>
      <c r="G47" s="182">
        <f>G21/$B$47</f>
        <v>318.32130589304899</v>
      </c>
      <c r="H47" s="182">
        <f t="shared" si="9"/>
        <v>7180.5172948177533</v>
      </c>
      <c r="I47" s="182"/>
    </row>
    <row r="48" spans="1:9" x14ac:dyDescent="0.2">
      <c r="A48" s="33" t="s">
        <v>87</v>
      </c>
      <c r="B48" s="183">
        <f>B22</f>
        <v>6063</v>
      </c>
      <c r="C48" s="183">
        <f>C22/$B$48</f>
        <v>7463.3108213755559</v>
      </c>
      <c r="D48" s="183">
        <f>D22/$B$48</f>
        <v>1213.6427511133102</v>
      </c>
      <c r="E48" s="183">
        <f>E22/$B$48</f>
        <v>1284.502483918852</v>
      </c>
      <c r="F48" s="183">
        <f>F22/$B$48</f>
        <v>504.52894606630383</v>
      </c>
      <c r="G48" s="183">
        <f>G22/$B$48</f>
        <v>264.10943262411348</v>
      </c>
      <c r="H48" s="183">
        <f t="shared" si="9"/>
        <v>10730.094435098135</v>
      </c>
      <c r="I48" s="182"/>
    </row>
    <row r="49" spans="1:9" x14ac:dyDescent="0.2">
      <c r="A49" s="33" t="s">
        <v>105</v>
      </c>
      <c r="B49" s="182">
        <f>SUM(B47:B48)</f>
        <v>18162</v>
      </c>
      <c r="C49" s="182">
        <f>C23/$B$49</f>
        <v>5973.6664827662153</v>
      </c>
      <c r="D49" s="182">
        <f>D23/$B$49</f>
        <v>951.50417630216941</v>
      </c>
      <c r="E49" s="182">
        <f>E23/$B$49</f>
        <v>834.04096244906953</v>
      </c>
      <c r="F49" s="182">
        <f>F23/$B$49</f>
        <v>306.03319403149436</v>
      </c>
      <c r="G49" s="182">
        <f>G23/$B$49</f>
        <v>300.22381731086881</v>
      </c>
      <c r="H49" s="182">
        <f t="shared" si="9"/>
        <v>8365.4686328598164</v>
      </c>
      <c r="I49" s="182"/>
    </row>
    <row r="50" spans="1:9" x14ac:dyDescent="0.2">
      <c r="A50" s="33"/>
      <c r="B50" s="182"/>
      <c r="C50" s="182"/>
      <c r="D50" s="182"/>
      <c r="E50" s="182"/>
      <c r="F50" s="182"/>
      <c r="G50" s="182"/>
      <c r="H50" s="182"/>
      <c r="I50" s="182"/>
    </row>
    <row r="51" spans="1:9" ht="13.5" thickBot="1" x14ac:dyDescent="0.25">
      <c r="A51" s="33" t="s">
        <v>209</v>
      </c>
      <c r="B51" s="192">
        <f>B36+B44+B49</f>
        <v>149463</v>
      </c>
      <c r="C51" s="192">
        <f>C25/$B$51</f>
        <v>5774.8790154084945</v>
      </c>
      <c r="D51" s="192">
        <f>D25/$B$51</f>
        <v>882.43546222141936</v>
      </c>
      <c r="E51" s="192">
        <f>E25/$B$51</f>
        <v>711.36334464047968</v>
      </c>
      <c r="F51" s="192">
        <f>F25/$B$51</f>
        <v>263.34654643624174</v>
      </c>
      <c r="G51" s="192">
        <f>G25/$B$51</f>
        <v>231.52857637007151</v>
      </c>
      <c r="H51" s="192">
        <f t="shared" si="9"/>
        <v>7863.5529450767071</v>
      </c>
      <c r="I51" s="182"/>
    </row>
    <row r="52" spans="1:9" ht="13.5" thickTop="1" x14ac:dyDescent="0.2">
      <c r="A52" s="33"/>
      <c r="B52" s="182"/>
      <c r="C52" s="182"/>
      <c r="D52" s="182"/>
      <c r="E52" s="182"/>
      <c r="F52" s="182"/>
      <c r="G52" s="182"/>
      <c r="H52" s="182"/>
      <c r="I52" s="182"/>
    </row>
    <row r="53" spans="1:9" x14ac:dyDescent="0.2">
      <c r="A53" s="33"/>
      <c r="B53" s="182"/>
      <c r="C53" s="182"/>
      <c r="D53" s="182"/>
      <c r="E53" s="182"/>
      <c r="F53" s="182"/>
      <c r="G53" s="182"/>
      <c r="H53" s="182"/>
      <c r="I53" s="182"/>
    </row>
    <row r="54" spans="1:9" x14ac:dyDescent="0.2">
      <c r="A54" s="33"/>
      <c r="B54" s="182"/>
      <c r="C54" s="182"/>
      <c r="D54" s="182"/>
      <c r="E54" s="182"/>
      <c r="F54" s="182"/>
      <c r="G54" s="182"/>
      <c r="H54" s="182"/>
      <c r="I54" s="182"/>
    </row>
    <row r="55" spans="1:9" x14ac:dyDescent="0.2">
      <c r="A55" s="36" t="s">
        <v>247</v>
      </c>
      <c r="B55" s="182"/>
      <c r="C55" s="182"/>
      <c r="D55" s="182"/>
      <c r="E55" s="182"/>
      <c r="F55" s="182"/>
      <c r="G55" s="182"/>
      <c r="H55" s="182"/>
      <c r="I55" s="182"/>
    </row>
    <row r="56" spans="1:9" x14ac:dyDescent="0.2">
      <c r="A56" s="36" t="s">
        <v>516</v>
      </c>
      <c r="B56" s="182"/>
      <c r="C56" s="182"/>
      <c r="D56" s="182"/>
      <c r="E56" s="182"/>
      <c r="F56" s="182"/>
      <c r="G56" s="182"/>
      <c r="H56" s="182"/>
      <c r="I56" s="182"/>
    </row>
    <row r="57" spans="1:9" ht="33.75" x14ac:dyDescent="0.2">
      <c r="A57" s="155" t="s">
        <v>245</v>
      </c>
      <c r="B57" s="185" t="s">
        <v>498</v>
      </c>
      <c r="C57" s="172" t="s">
        <v>511</v>
      </c>
      <c r="D57" s="172" t="s">
        <v>512</v>
      </c>
      <c r="E57" s="172" t="s">
        <v>513</v>
      </c>
      <c r="F57" s="172" t="s">
        <v>514</v>
      </c>
      <c r="G57" s="172" t="s">
        <v>506</v>
      </c>
      <c r="H57" s="172" t="s">
        <v>515</v>
      </c>
      <c r="I57" s="182"/>
    </row>
    <row r="58" spans="1:9" x14ac:dyDescent="0.2">
      <c r="A58" s="33" t="s">
        <v>102</v>
      </c>
      <c r="B58" s="125">
        <f>B4</f>
        <v>33931</v>
      </c>
      <c r="C58" s="191">
        <f>C4/$H$4</f>
        <v>0.7950859137404781</v>
      </c>
      <c r="D58" s="191">
        <f>D4/$H$4</f>
        <v>0.10325065441513324</v>
      </c>
      <c r="E58" s="191">
        <f>E4/$H$4</f>
        <v>6.4187310775328452E-2</v>
      </c>
      <c r="F58" s="191">
        <f>F4/$H$4</f>
        <v>1.8824303111688773E-2</v>
      </c>
      <c r="G58" s="191">
        <f>G4/$H$4</f>
        <v>1.8651817957371371E-2</v>
      </c>
      <c r="H58" s="191">
        <f>SUM(C58:G58)</f>
        <v>1</v>
      </c>
      <c r="I58" s="182"/>
    </row>
    <row r="59" spans="1:9" x14ac:dyDescent="0.2">
      <c r="A59" s="33" t="s">
        <v>76</v>
      </c>
      <c r="B59" s="125">
        <f t="shared" ref="B59:B79" si="10">B5</f>
        <v>21202</v>
      </c>
      <c r="C59" s="191">
        <f>C5/$H$5</f>
        <v>0.76839406987630166</v>
      </c>
      <c r="D59" s="191">
        <f>D5/$H$5</f>
        <v>9.7483049853917064E-2</v>
      </c>
      <c r="E59" s="191">
        <f>E5/$H$5</f>
        <v>7.9101650156825243E-2</v>
      </c>
      <c r="F59" s="191">
        <f>F5/$H$5</f>
        <v>1.9998417627897194E-2</v>
      </c>
      <c r="G59" s="191">
        <f>G5/$H$5</f>
        <v>3.5022812485058813E-2</v>
      </c>
      <c r="H59" s="191">
        <f t="shared" ref="H59:H79" si="11">SUM(C59:G59)</f>
        <v>1</v>
      </c>
      <c r="I59" s="182"/>
    </row>
    <row r="60" spans="1:9" x14ac:dyDescent="0.2">
      <c r="A60" s="33" t="s">
        <v>77</v>
      </c>
      <c r="B60" s="125">
        <f t="shared" si="10"/>
        <v>11728</v>
      </c>
      <c r="C60" s="191">
        <f>C6/$H$6</f>
        <v>0.74295596014787846</v>
      </c>
      <c r="D60" s="191">
        <f>D6/$H$6</f>
        <v>8.7289294540266793E-2</v>
      </c>
      <c r="E60" s="191">
        <f>E6/$H$6</f>
        <v>8.2692092865371256E-2</v>
      </c>
      <c r="F60" s="191">
        <f>F6/$H$6</f>
        <v>6.4291236953244027E-2</v>
      </c>
      <c r="G60" s="191">
        <f>G6/$H$6</f>
        <v>2.2771415493239404E-2</v>
      </c>
      <c r="H60" s="191">
        <f t="shared" si="11"/>
        <v>0.99999999999999989</v>
      </c>
      <c r="I60" s="182"/>
    </row>
    <row r="61" spans="1:9" x14ac:dyDescent="0.2">
      <c r="A61" s="33" t="s">
        <v>78</v>
      </c>
      <c r="B61" s="125">
        <f t="shared" si="10"/>
        <v>13035</v>
      </c>
      <c r="C61" s="191">
        <f>C7/$H$7</f>
        <v>0.72226723925374103</v>
      </c>
      <c r="D61" s="191">
        <f>D7/$H$7</f>
        <v>0.11031939478160374</v>
      </c>
      <c r="E61" s="191">
        <f>E7/$H$7</f>
        <v>0.10147962837534714</v>
      </c>
      <c r="F61" s="191">
        <f>F7/$H$7</f>
        <v>2.7193427127489248E-2</v>
      </c>
      <c r="G61" s="191">
        <f>G7/$H$7</f>
        <v>3.8740310461818757E-2</v>
      </c>
      <c r="H61" s="191">
        <f t="shared" si="11"/>
        <v>1</v>
      </c>
      <c r="I61" s="182"/>
    </row>
    <row r="62" spans="1:9" x14ac:dyDescent="0.2">
      <c r="A62" s="33" t="s">
        <v>79</v>
      </c>
      <c r="B62" s="125">
        <f t="shared" si="10"/>
        <v>6607</v>
      </c>
      <c r="C62" s="191">
        <f>C8/$H$8</f>
        <v>0.69223295674960528</v>
      </c>
      <c r="D62" s="191">
        <f>D8/$H$8</f>
        <v>0.12164558304258644</v>
      </c>
      <c r="E62" s="191">
        <f>E8/$H$8</f>
        <v>0.12272353179152014</v>
      </c>
      <c r="F62" s="191">
        <f>F8/$H$8</f>
        <v>3.5268081128534502E-2</v>
      </c>
      <c r="G62" s="191">
        <f>G8/$H$8</f>
        <v>2.8129847287753671E-2</v>
      </c>
      <c r="H62" s="191">
        <f t="shared" si="11"/>
        <v>1</v>
      </c>
      <c r="I62" s="182"/>
    </row>
    <row r="63" spans="1:9" x14ac:dyDescent="0.2">
      <c r="A63" s="33" t="s">
        <v>80</v>
      </c>
      <c r="B63" s="197">
        <f t="shared" si="10"/>
        <v>1364</v>
      </c>
      <c r="C63" s="193">
        <f>C9/$H$9</f>
        <v>0.59640306240606422</v>
      </c>
      <c r="D63" s="193">
        <f>D9/$H$9</f>
        <v>0.19449836000452683</v>
      </c>
      <c r="E63" s="193">
        <f>E9/$H$9</f>
        <v>0.17078696630239731</v>
      </c>
      <c r="F63" s="193">
        <f>F9/$H$9</f>
        <v>3.3040114344556067E-2</v>
      </c>
      <c r="G63" s="193">
        <f>G9/$H$9</f>
        <v>5.2714969424555889E-3</v>
      </c>
      <c r="H63" s="193">
        <f t="shared" si="11"/>
        <v>1</v>
      </c>
      <c r="I63" s="182"/>
    </row>
    <row r="64" spans="1:9" x14ac:dyDescent="0.2">
      <c r="A64" s="33" t="s">
        <v>103</v>
      </c>
      <c r="B64" s="125">
        <f t="shared" si="10"/>
        <v>87867</v>
      </c>
      <c r="C64" s="191">
        <f>C10/$H$10</f>
        <v>0.75707732390219795</v>
      </c>
      <c r="D64" s="191">
        <f>D10/$H$10</f>
        <v>0.10378222945418296</v>
      </c>
      <c r="E64" s="191">
        <f>E10/$H$10</f>
        <v>8.3321783327797064E-2</v>
      </c>
      <c r="F64" s="191">
        <f>F10/$H$10</f>
        <v>2.9016379523735741E-2</v>
      </c>
      <c r="G64" s="191">
        <f>G10/$H$10</f>
        <v>2.6802283792086323E-2</v>
      </c>
      <c r="H64" s="191">
        <f t="shared" si="11"/>
        <v>1</v>
      </c>
      <c r="I64" s="182"/>
    </row>
    <row r="65" spans="1:9" x14ac:dyDescent="0.2">
      <c r="A65" s="33"/>
      <c r="B65" s="125"/>
      <c r="C65" s="191"/>
      <c r="D65" s="191"/>
      <c r="E65" s="191"/>
      <c r="F65" s="191"/>
      <c r="G65" s="191"/>
      <c r="H65" s="191"/>
      <c r="I65" s="182"/>
    </row>
    <row r="66" spans="1:9" x14ac:dyDescent="0.2">
      <c r="A66" s="33"/>
      <c r="B66" s="125"/>
      <c r="C66" s="191"/>
      <c r="D66" s="191"/>
      <c r="E66" s="191"/>
      <c r="F66" s="191"/>
      <c r="G66" s="191"/>
      <c r="H66" s="191"/>
      <c r="I66" s="182"/>
    </row>
    <row r="67" spans="1:9" x14ac:dyDescent="0.2">
      <c r="A67" s="33" t="s">
        <v>81</v>
      </c>
      <c r="B67" s="125">
        <f t="shared" si="10"/>
        <v>22769</v>
      </c>
      <c r="C67" s="191">
        <f>C13/$H$13</f>
        <v>0.71867281737987199</v>
      </c>
      <c r="D67" s="191">
        <f>D13/$H$13</f>
        <v>0.12950603094305663</v>
      </c>
      <c r="E67" s="191">
        <f>E13/$H$13</f>
        <v>7.9359342121525595E-2</v>
      </c>
      <c r="F67" s="191">
        <f>F13/$H$13</f>
        <v>3.1002206322575488E-2</v>
      </c>
      <c r="G67" s="191">
        <f>G13/$H$13</f>
        <v>4.1459603232970127E-2</v>
      </c>
      <c r="H67" s="191">
        <f t="shared" si="11"/>
        <v>0.99999999999999989</v>
      </c>
      <c r="I67" s="182"/>
    </row>
    <row r="68" spans="1:9" x14ac:dyDescent="0.2">
      <c r="A68" s="33" t="s">
        <v>82</v>
      </c>
      <c r="B68" s="125">
        <f t="shared" si="10"/>
        <v>9254</v>
      </c>
      <c r="C68" s="191">
        <f>C14/$H$14</f>
        <v>0.71111631611093629</v>
      </c>
      <c r="D68" s="191">
        <f>D14/$H$14</f>
        <v>0.10458303652397695</v>
      </c>
      <c r="E68" s="191">
        <f>E14/$H$14</f>
        <v>0.10754962746623875</v>
      </c>
      <c r="F68" s="191">
        <f>F14/$H$14</f>
        <v>6.3209066941823433E-2</v>
      </c>
      <c r="G68" s="191">
        <f>G14/$H$14</f>
        <v>1.3541952957024575E-2</v>
      </c>
      <c r="H68" s="191">
        <f t="shared" si="11"/>
        <v>0.99999999999999989</v>
      </c>
      <c r="I68" s="182"/>
    </row>
    <row r="69" spans="1:9" x14ac:dyDescent="0.2">
      <c r="A69" s="33" t="s">
        <v>83</v>
      </c>
      <c r="B69" s="125">
        <f t="shared" si="10"/>
        <v>5112</v>
      </c>
      <c r="C69" s="191">
        <f>C15/$H$15</f>
        <v>0.67881034157607456</v>
      </c>
      <c r="D69" s="191">
        <f>D15/$H$15</f>
        <v>0.13100937468546997</v>
      </c>
      <c r="E69" s="191">
        <f>E15/$H$15</f>
        <v>0.11421999690087294</v>
      </c>
      <c r="F69" s="191">
        <f>F15/$H$15</f>
        <v>3.894437163845476E-2</v>
      </c>
      <c r="G69" s="191">
        <f>G15/$H$15</f>
        <v>3.7015915199127891E-2</v>
      </c>
      <c r="H69" s="191">
        <f t="shared" si="11"/>
        <v>1.0000000000000002</v>
      </c>
      <c r="I69" s="182"/>
    </row>
    <row r="70" spans="1:9" x14ac:dyDescent="0.2">
      <c r="A70" s="33" t="s">
        <v>84</v>
      </c>
      <c r="B70" s="125">
        <f t="shared" si="10"/>
        <v>4817</v>
      </c>
      <c r="C70" s="191">
        <f>C16/$H$16</f>
        <v>0.66128096270075032</v>
      </c>
      <c r="D70" s="191">
        <f>D16/$H$16</f>
        <v>0.14019487454988361</v>
      </c>
      <c r="E70" s="191">
        <f>E16/$H$16</f>
        <v>0.13069548009981877</v>
      </c>
      <c r="F70" s="191">
        <f>F16/$H$16</f>
        <v>3.8495311045671943E-2</v>
      </c>
      <c r="G70" s="191">
        <f>G16/$H$16</f>
        <v>2.933337160387544E-2</v>
      </c>
      <c r="H70" s="191">
        <f t="shared" si="11"/>
        <v>1</v>
      </c>
      <c r="I70" s="182"/>
    </row>
    <row r="71" spans="1:9" x14ac:dyDescent="0.2">
      <c r="A71" s="33" t="s">
        <v>85</v>
      </c>
      <c r="B71" s="197">
        <f t="shared" si="10"/>
        <v>1482</v>
      </c>
      <c r="C71" s="193">
        <f>C17/$H$17</f>
        <v>0.67699713720545163</v>
      </c>
      <c r="D71" s="193">
        <f>D17/$H$17</f>
        <v>0.14350888074223342</v>
      </c>
      <c r="E71" s="193">
        <f>E17/$H$17</f>
        <v>0.12554935006434012</v>
      </c>
      <c r="F71" s="193">
        <f>F17/$H$17</f>
        <v>4.4531443083354862E-2</v>
      </c>
      <c r="G71" s="193">
        <f>G17/$H$17</f>
        <v>9.4131889046198385E-3</v>
      </c>
      <c r="H71" s="193">
        <f t="shared" si="11"/>
        <v>0.99999999999999989</v>
      </c>
      <c r="I71" s="182"/>
    </row>
    <row r="72" spans="1:9" x14ac:dyDescent="0.2">
      <c r="A72" s="33" t="s">
        <v>104</v>
      </c>
      <c r="B72" s="125">
        <f t="shared" si="10"/>
        <v>43434</v>
      </c>
      <c r="C72" s="191">
        <f>C18/$H$18</f>
        <v>0.7012628552779665</v>
      </c>
      <c r="D72" s="191">
        <f>D18/$H$18</f>
        <v>0.12706880038413032</v>
      </c>
      <c r="E72" s="191">
        <f>E18/$H$18</f>
        <v>9.9688167174559722E-2</v>
      </c>
      <c r="F72" s="191">
        <f>F18/$H$18</f>
        <v>4.0401192967123613E-2</v>
      </c>
      <c r="G72" s="191">
        <f>G18/$H$18</f>
        <v>3.1578984196219802E-2</v>
      </c>
      <c r="H72" s="191">
        <f t="shared" si="11"/>
        <v>1</v>
      </c>
      <c r="I72" s="182"/>
    </row>
    <row r="73" spans="1:9" x14ac:dyDescent="0.2">
      <c r="A73" s="33"/>
      <c r="B73" s="125"/>
      <c r="C73" s="191"/>
      <c r="D73" s="191"/>
      <c r="E73" s="191"/>
      <c r="F73" s="191"/>
      <c r="G73" s="191"/>
      <c r="H73" s="191"/>
      <c r="I73" s="182"/>
    </row>
    <row r="74" spans="1:9" x14ac:dyDescent="0.2">
      <c r="A74" s="33"/>
      <c r="B74" s="125"/>
      <c r="C74" s="191"/>
      <c r="D74" s="191"/>
      <c r="E74" s="191"/>
      <c r="F74" s="191"/>
      <c r="G74" s="191"/>
      <c r="H74" s="191"/>
      <c r="I74" s="182"/>
    </row>
    <row r="75" spans="1:9" x14ac:dyDescent="0.2">
      <c r="A75" s="33" t="s">
        <v>86</v>
      </c>
      <c r="B75" s="125">
        <f t="shared" si="10"/>
        <v>12099</v>
      </c>
      <c r="C75" s="191">
        <f>C21/$H$21</f>
        <v>0.72796735410489377</v>
      </c>
      <c r="D75" s="191">
        <f>D21/$H$21</f>
        <v>0.11421773145197976</v>
      </c>
      <c r="E75" s="191">
        <f>E21/$H$21</f>
        <v>8.4716400526991698E-2</v>
      </c>
      <c r="F75" s="191">
        <f>F21/$H$21</f>
        <v>2.876726411568022E-2</v>
      </c>
      <c r="G75" s="191">
        <f>G21/$H$21</f>
        <v>4.4331249800454407E-2</v>
      </c>
      <c r="H75" s="191">
        <f t="shared" si="11"/>
        <v>0.99999999999999989</v>
      </c>
      <c r="I75" s="182"/>
    </row>
    <row r="76" spans="1:9" x14ac:dyDescent="0.2">
      <c r="A76" s="33" t="s">
        <v>87</v>
      </c>
      <c r="B76" s="197">
        <f t="shared" si="10"/>
        <v>6063</v>
      </c>
      <c r="C76" s="193">
        <f>C22/$H$22</f>
        <v>0.69554940699897927</v>
      </c>
      <c r="D76" s="193">
        <f>D22/$H$22</f>
        <v>0.11310643708255587</v>
      </c>
      <c r="E76" s="193">
        <f>E22/$H$22</f>
        <v>0.11971026831947021</v>
      </c>
      <c r="F76" s="193">
        <f>F22/$H$22</f>
        <v>4.7019991214242225E-2</v>
      </c>
      <c r="G76" s="193">
        <f>G22/$H$22</f>
        <v>2.4613896384752362E-2</v>
      </c>
      <c r="H76" s="193">
        <f t="shared" si="11"/>
        <v>0.99999999999999989</v>
      </c>
      <c r="I76" s="182"/>
    </row>
    <row r="77" spans="1:9" x14ac:dyDescent="0.2">
      <c r="A77" s="33" t="s">
        <v>105</v>
      </c>
      <c r="B77" s="125">
        <f t="shared" si="10"/>
        <v>18162</v>
      </c>
      <c r="C77" s="191">
        <f>C23/$H$23</f>
        <v>0.71408629270349178</v>
      </c>
      <c r="D77" s="191">
        <f>D23/$H$23</f>
        <v>0.11374188560873109</v>
      </c>
      <c r="E77" s="191">
        <f>E23/$H$23</f>
        <v>9.9700447046436949E-2</v>
      </c>
      <c r="F77" s="191">
        <f>F23/$H$23</f>
        <v>3.6582910947676808E-2</v>
      </c>
      <c r="G77" s="191">
        <f>G23/$H$23</f>
        <v>3.5888463693663317E-2</v>
      </c>
      <c r="H77" s="191">
        <f t="shared" si="11"/>
        <v>1</v>
      </c>
      <c r="I77" s="182"/>
    </row>
    <row r="78" spans="1:9" x14ac:dyDescent="0.2">
      <c r="A78" s="33"/>
      <c r="B78" s="182"/>
      <c r="C78" s="191"/>
      <c r="D78" s="191"/>
      <c r="E78" s="191"/>
      <c r="F78" s="191"/>
      <c r="G78" s="191"/>
      <c r="H78" s="191"/>
      <c r="I78" s="182"/>
    </row>
    <row r="79" spans="1:9" ht="13.5" thickBot="1" x14ac:dyDescent="0.25">
      <c r="A79" s="33" t="s">
        <v>230</v>
      </c>
      <c r="B79" s="198">
        <f t="shared" si="10"/>
        <v>149463</v>
      </c>
      <c r="C79" s="195">
        <f>C25/$H$25</f>
        <v>0.73438546872429855</v>
      </c>
      <c r="D79" s="195">
        <f>D25/$H$25</f>
        <v>0.11221841683839666</v>
      </c>
      <c r="E79" s="195">
        <f>E25/$H$25</f>
        <v>9.0463350295855435E-2</v>
      </c>
      <c r="F79" s="195">
        <f>F25/$H$25</f>
        <v>3.3489511455648102E-2</v>
      </c>
      <c r="G79" s="195">
        <f>G25/$H$25</f>
        <v>2.9443252685801436E-2</v>
      </c>
      <c r="H79" s="195">
        <f t="shared" si="11"/>
        <v>1.0000000000000002</v>
      </c>
      <c r="I79" s="182"/>
    </row>
    <row r="80" spans="1:9" ht="13.5" thickTop="1" x14ac:dyDescent="0.2">
      <c r="A80" s="33"/>
      <c r="B80" s="182"/>
      <c r="C80" s="33"/>
      <c r="D80" s="33"/>
      <c r="E80" s="33"/>
      <c r="F80" s="33"/>
      <c r="G80" s="33"/>
      <c r="H80" s="191"/>
      <c r="I80" s="182"/>
    </row>
    <row r="81" spans="1:9" x14ac:dyDescent="0.2">
      <c r="A81" s="33"/>
      <c r="B81" s="182"/>
      <c r="C81" s="33"/>
      <c r="D81" s="33"/>
      <c r="E81" s="33"/>
      <c r="F81" s="33"/>
      <c r="G81" s="33"/>
      <c r="H81" s="191"/>
      <c r="I81" s="182"/>
    </row>
  </sheetData>
  <phoneticPr fontId="7" type="noConversion"/>
  <pageMargins left="0.25" right="0.25" top="0.25" bottom="1" header="0.5" footer="0.5"/>
  <pageSetup orientation="landscape" horizontalDpi="4294967295" r:id="rId1"/>
  <headerFooter alignWithMargins="0">
    <oddFooter>&amp;L&amp;Z&amp;F</oddFooter>
  </headerFooter>
  <rowBreaks count="2" manualBreakCount="2">
    <brk id="25" max="16383" man="1"/>
    <brk id="52" max="16383"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73"/>
  <dimension ref="A1:I82"/>
  <sheetViews>
    <sheetView workbookViewId="0">
      <selection activeCell="C3" sqref="C3:H3"/>
    </sheetView>
  </sheetViews>
  <sheetFormatPr defaultRowHeight="12.75" x14ac:dyDescent="0.2"/>
  <cols>
    <col min="1" max="1" width="15.85546875" customWidth="1"/>
    <col min="2" max="2" width="9.140625" style="122"/>
    <col min="3" max="5" width="9.5703125" bestFit="1" customWidth="1"/>
    <col min="8" max="8" width="11.7109375" customWidth="1"/>
  </cols>
  <sheetData>
    <row r="1" spans="1:9" x14ac:dyDescent="0.2">
      <c r="A1" s="36" t="s">
        <v>247</v>
      </c>
      <c r="I1" s="122"/>
    </row>
    <row r="2" spans="1:9" x14ac:dyDescent="0.2">
      <c r="A2" s="22" t="s">
        <v>477</v>
      </c>
      <c r="I2" s="122"/>
    </row>
    <row r="3" spans="1:9" ht="22.5" x14ac:dyDescent="0.2">
      <c r="A3" s="155" t="s">
        <v>245</v>
      </c>
      <c r="B3" s="141" t="s">
        <v>465</v>
      </c>
      <c r="C3" s="141" t="s">
        <v>89</v>
      </c>
      <c r="D3" s="141" t="s">
        <v>90</v>
      </c>
      <c r="E3" s="141" t="s">
        <v>91</v>
      </c>
      <c r="F3" s="141" t="s">
        <v>92</v>
      </c>
      <c r="G3" s="141" t="s">
        <v>93</v>
      </c>
      <c r="H3" s="141" t="s">
        <v>106</v>
      </c>
      <c r="I3" s="141" t="s">
        <v>452</v>
      </c>
    </row>
    <row r="4" spans="1:9" x14ac:dyDescent="0.2">
      <c r="A4" s="83" t="s">
        <v>102</v>
      </c>
      <c r="B4" s="182">
        <v>34236</v>
      </c>
      <c r="C4" s="182">
        <v>178691791.72999999</v>
      </c>
      <c r="D4" s="182">
        <v>23169857.510000002</v>
      </c>
      <c r="E4" s="182">
        <v>15265879.5</v>
      </c>
      <c r="F4" s="182">
        <v>4457422.5999999996</v>
      </c>
      <c r="G4" s="182">
        <v>3830156.09</v>
      </c>
      <c r="H4" s="6">
        <f>SUM(C4:G4)</f>
        <v>225415107.42999998</v>
      </c>
      <c r="I4" s="6">
        <f>H4/B4</f>
        <v>6584.1543238111926</v>
      </c>
    </row>
    <row r="5" spans="1:9" x14ac:dyDescent="0.2">
      <c r="A5" s="1" t="s">
        <v>76</v>
      </c>
      <c r="B5" s="182">
        <v>21444</v>
      </c>
      <c r="C5" s="182">
        <v>116929227.84999999</v>
      </c>
      <c r="D5" s="182">
        <v>13204804.92</v>
      </c>
      <c r="E5" s="182">
        <v>13318267.060000001</v>
      </c>
      <c r="F5" s="182">
        <v>6238990.8399999999</v>
      </c>
      <c r="G5" s="182">
        <v>6036969.3200000003</v>
      </c>
      <c r="H5" s="6">
        <f t="shared" ref="H5:H10" si="0">SUM(C5:G5)</f>
        <v>155728259.98999998</v>
      </c>
      <c r="I5" s="6">
        <f t="shared" ref="I5:I10" si="1">H5/B5</f>
        <v>7262.0900946651736</v>
      </c>
    </row>
    <row r="6" spans="1:9" x14ac:dyDescent="0.2">
      <c r="A6" s="1" t="s">
        <v>77</v>
      </c>
      <c r="B6" s="182">
        <v>12158</v>
      </c>
      <c r="C6" s="182">
        <v>72365203.680000007</v>
      </c>
      <c r="D6" s="182">
        <v>8153153.4299999997</v>
      </c>
      <c r="E6" s="182">
        <v>8902734.0600000005</v>
      </c>
      <c r="F6" s="182">
        <v>4892083.16</v>
      </c>
      <c r="G6" s="182">
        <v>1861475.94</v>
      </c>
      <c r="H6" s="6">
        <f t="shared" si="0"/>
        <v>96174650.270000011</v>
      </c>
      <c r="I6" s="6">
        <f t="shared" si="1"/>
        <v>7910.4005815101173</v>
      </c>
    </row>
    <row r="7" spans="1:9" x14ac:dyDescent="0.2">
      <c r="A7" s="1" t="s">
        <v>78</v>
      </c>
      <c r="B7" s="182">
        <v>13223</v>
      </c>
      <c r="C7" s="182">
        <v>69187432.409999996</v>
      </c>
      <c r="D7" s="182">
        <v>10136674.48</v>
      </c>
      <c r="E7" s="182">
        <v>9719925.4800000004</v>
      </c>
      <c r="F7" s="182">
        <v>3796413.99</v>
      </c>
      <c r="G7" s="182">
        <v>3693656.2</v>
      </c>
      <c r="H7" s="6">
        <f t="shared" si="0"/>
        <v>96534102.560000002</v>
      </c>
      <c r="I7" s="6">
        <f t="shared" si="1"/>
        <v>7300.4690735839067</v>
      </c>
    </row>
    <row r="8" spans="1:9" x14ac:dyDescent="0.2">
      <c r="A8" s="1" t="s">
        <v>79</v>
      </c>
      <c r="B8" s="182">
        <v>6800</v>
      </c>
      <c r="C8" s="182">
        <v>41332138.170000002</v>
      </c>
      <c r="D8" s="182">
        <v>7289162.1100000003</v>
      </c>
      <c r="E8" s="182">
        <v>6981161.8399999999</v>
      </c>
      <c r="F8" s="182">
        <v>2325326.14</v>
      </c>
      <c r="G8" s="182">
        <v>1628620.82</v>
      </c>
      <c r="H8" s="6">
        <f t="shared" si="0"/>
        <v>59556409.080000006</v>
      </c>
      <c r="I8" s="6">
        <f t="shared" si="1"/>
        <v>8758.2954529411782</v>
      </c>
    </row>
    <row r="9" spans="1:9" x14ac:dyDescent="0.2">
      <c r="A9" s="14" t="s">
        <v>80</v>
      </c>
      <c r="B9" s="183">
        <v>1427</v>
      </c>
      <c r="C9" s="183">
        <v>6915829.3899999997</v>
      </c>
      <c r="D9" s="183">
        <v>2403332.5099999998</v>
      </c>
      <c r="E9" s="183">
        <v>1784333.34</v>
      </c>
      <c r="F9" s="183">
        <v>792131.55</v>
      </c>
      <c r="G9" s="183">
        <v>75719.14</v>
      </c>
      <c r="H9" s="7">
        <f t="shared" si="0"/>
        <v>11971345.93</v>
      </c>
      <c r="I9" s="6">
        <f t="shared" si="1"/>
        <v>8389.1702382620879</v>
      </c>
    </row>
    <row r="10" spans="1:9" ht="13.5" thickBot="1" x14ac:dyDescent="0.25">
      <c r="A10" s="15" t="s">
        <v>103</v>
      </c>
      <c r="B10" s="27">
        <f t="shared" ref="B10:G10" si="2">SUM(B4:B9)</f>
        <v>89288</v>
      </c>
      <c r="C10" s="27">
        <f t="shared" si="2"/>
        <v>485421623.22999996</v>
      </c>
      <c r="D10" s="27">
        <f t="shared" si="2"/>
        <v>64356984.960000001</v>
      </c>
      <c r="E10" s="27">
        <f t="shared" si="2"/>
        <v>55972301.280000016</v>
      </c>
      <c r="F10" s="27">
        <f t="shared" si="2"/>
        <v>22502368.280000001</v>
      </c>
      <c r="G10" s="27">
        <f t="shared" si="2"/>
        <v>17126597.510000002</v>
      </c>
      <c r="H10" s="8">
        <f t="shared" si="0"/>
        <v>645379875.25999987</v>
      </c>
      <c r="I10" s="8">
        <f t="shared" si="1"/>
        <v>7228.0695643311519</v>
      </c>
    </row>
    <row r="11" spans="1:9" ht="13.5" thickTop="1" x14ac:dyDescent="0.2">
      <c r="A11" s="1"/>
      <c r="C11" s="6"/>
      <c r="D11" s="6"/>
      <c r="E11" s="6"/>
      <c r="F11" s="6"/>
      <c r="G11" s="6"/>
      <c r="H11" s="6"/>
      <c r="I11" s="122"/>
    </row>
    <row r="12" spans="1:9" x14ac:dyDescent="0.2">
      <c r="A12" s="1"/>
      <c r="B12" s="6"/>
      <c r="C12" s="6"/>
      <c r="D12" s="6"/>
      <c r="E12" s="6"/>
      <c r="F12" s="6"/>
      <c r="G12" s="6"/>
      <c r="H12" s="6"/>
      <c r="I12" s="122"/>
    </row>
    <row r="13" spans="1:9" x14ac:dyDescent="0.2">
      <c r="A13" s="1" t="s">
        <v>81</v>
      </c>
      <c r="B13" s="182">
        <v>23004</v>
      </c>
      <c r="C13" s="182">
        <v>117980441.89</v>
      </c>
      <c r="D13" s="182">
        <v>20315958.670000002</v>
      </c>
      <c r="E13" s="182">
        <v>13155483.08</v>
      </c>
      <c r="F13" s="182">
        <v>4549679.12</v>
      </c>
      <c r="G13" s="182">
        <v>6889829.3700000001</v>
      </c>
      <c r="H13" s="6">
        <f t="shared" ref="H13:H25" si="3">SUM(C13:G13)</f>
        <v>162891392.13000003</v>
      </c>
      <c r="I13" s="6">
        <f t="shared" ref="I13:I18" si="4">H13/B13</f>
        <v>7081.0029616588427</v>
      </c>
    </row>
    <row r="14" spans="1:9" x14ac:dyDescent="0.2">
      <c r="A14" s="1" t="s">
        <v>82</v>
      </c>
      <c r="B14" s="182">
        <v>9223</v>
      </c>
      <c r="C14" s="182">
        <v>49925839.920000002</v>
      </c>
      <c r="D14" s="182">
        <v>7087425.4100000001</v>
      </c>
      <c r="E14" s="182">
        <v>7292889.3499999996</v>
      </c>
      <c r="F14" s="182">
        <v>3432016.41</v>
      </c>
      <c r="G14" s="182">
        <v>925250.7</v>
      </c>
      <c r="H14" s="6">
        <f t="shared" si="3"/>
        <v>68663421.790000007</v>
      </c>
      <c r="I14" s="6">
        <f t="shared" si="4"/>
        <v>7444.8034034479024</v>
      </c>
    </row>
    <row r="15" spans="1:9" x14ac:dyDescent="0.2">
      <c r="A15" s="1" t="s">
        <v>83</v>
      </c>
      <c r="B15" s="182">
        <v>5092</v>
      </c>
      <c r="C15" s="182">
        <v>30337753.82</v>
      </c>
      <c r="D15" s="182">
        <v>5757175.6799999997</v>
      </c>
      <c r="E15" s="182">
        <v>6108295.2199999997</v>
      </c>
      <c r="F15" s="182">
        <v>2214203.64</v>
      </c>
      <c r="G15" s="182">
        <v>1191704.69</v>
      </c>
      <c r="H15" s="6">
        <f t="shared" si="3"/>
        <v>45609133.049999997</v>
      </c>
      <c r="I15" s="6">
        <f t="shared" si="4"/>
        <v>8957.0174882168103</v>
      </c>
    </row>
    <row r="16" spans="1:9" x14ac:dyDescent="0.2">
      <c r="A16" s="1" t="s">
        <v>84</v>
      </c>
      <c r="B16" s="182">
        <v>4900</v>
      </c>
      <c r="C16" s="182">
        <v>35072029.299999997</v>
      </c>
      <c r="D16" s="182">
        <v>7433215.2400000002</v>
      </c>
      <c r="E16" s="182">
        <v>6584378.2300000004</v>
      </c>
      <c r="F16" s="182">
        <v>3411549.26</v>
      </c>
      <c r="G16" s="182">
        <v>1351420.23</v>
      </c>
      <c r="H16" s="6">
        <f t="shared" si="3"/>
        <v>53852592.25999999</v>
      </c>
      <c r="I16" s="6">
        <f t="shared" si="4"/>
        <v>10990.324951020406</v>
      </c>
    </row>
    <row r="17" spans="1:9" x14ac:dyDescent="0.2">
      <c r="A17" s="14" t="s">
        <v>85</v>
      </c>
      <c r="B17" s="182">
        <v>1532</v>
      </c>
      <c r="C17" s="182">
        <v>14364877.060000001</v>
      </c>
      <c r="D17" s="182">
        <v>3077077.29</v>
      </c>
      <c r="E17" s="182">
        <v>2653004.2599999998</v>
      </c>
      <c r="F17" s="182">
        <v>1068045.56</v>
      </c>
      <c r="G17" s="182">
        <v>279739.63</v>
      </c>
      <c r="H17" s="6">
        <f t="shared" si="3"/>
        <v>21442743.799999997</v>
      </c>
      <c r="I17" s="6">
        <f t="shared" si="4"/>
        <v>13996.569060052218</v>
      </c>
    </row>
    <row r="18" spans="1:9" ht="13.5" thickBot="1" x14ac:dyDescent="0.25">
      <c r="A18" s="15" t="s">
        <v>104</v>
      </c>
      <c r="B18" s="8">
        <f t="shared" ref="B18:G18" si="5">SUM(B13:B17)</f>
        <v>43751</v>
      </c>
      <c r="C18" s="8">
        <f t="shared" si="5"/>
        <v>247680941.99000001</v>
      </c>
      <c r="D18" s="8">
        <f t="shared" si="5"/>
        <v>43670852.289999999</v>
      </c>
      <c r="E18" s="8">
        <f t="shared" si="5"/>
        <v>35794050.140000001</v>
      </c>
      <c r="F18" s="8">
        <f t="shared" si="5"/>
        <v>14675493.99</v>
      </c>
      <c r="G18" s="8">
        <f t="shared" si="5"/>
        <v>10637944.620000001</v>
      </c>
      <c r="H18" s="8">
        <f t="shared" si="3"/>
        <v>352459283.03000003</v>
      </c>
      <c r="I18" s="8">
        <f t="shared" si="4"/>
        <v>8056.0280457589552</v>
      </c>
    </row>
    <row r="19" spans="1:9" ht="13.5" thickTop="1" x14ac:dyDescent="0.2">
      <c r="A19" s="1"/>
      <c r="B19" s="6"/>
      <c r="C19" s="6"/>
      <c r="D19" s="6"/>
      <c r="E19" s="6"/>
      <c r="F19" s="6"/>
      <c r="G19" s="6"/>
      <c r="H19" s="6"/>
      <c r="I19" s="122"/>
    </row>
    <row r="20" spans="1:9" x14ac:dyDescent="0.2">
      <c r="A20" s="1"/>
      <c r="C20" s="6"/>
      <c r="D20" s="6"/>
      <c r="E20" s="6"/>
      <c r="F20" s="6"/>
      <c r="G20" s="6"/>
      <c r="H20" s="6"/>
      <c r="I20" s="122"/>
    </row>
    <row r="21" spans="1:9" x14ac:dyDescent="0.2">
      <c r="A21" s="1" t="s">
        <v>86</v>
      </c>
      <c r="B21" s="182">
        <v>12215</v>
      </c>
      <c r="C21" s="182">
        <v>62426913.170000002</v>
      </c>
      <c r="D21" s="182">
        <v>8941105.8800000008</v>
      </c>
      <c r="E21" s="182">
        <v>7117888.2999999998</v>
      </c>
      <c r="F21" s="182">
        <v>2759693.21</v>
      </c>
      <c r="G21" s="182">
        <v>3838680.39</v>
      </c>
      <c r="H21" s="6">
        <f t="shared" si="3"/>
        <v>85084280.949999988</v>
      </c>
      <c r="I21" s="6">
        <f>H21/B21</f>
        <v>6965.5571796970926</v>
      </c>
    </row>
    <row r="22" spans="1:9" x14ac:dyDescent="0.2">
      <c r="A22" s="14" t="s">
        <v>87</v>
      </c>
      <c r="B22" s="182">
        <v>6257</v>
      </c>
      <c r="C22" s="182">
        <v>45032309.560000002</v>
      </c>
      <c r="D22" s="182">
        <v>7304409.4800000004</v>
      </c>
      <c r="E22" s="182">
        <v>7587576.5</v>
      </c>
      <c r="F22" s="182">
        <v>2461821.7599999998</v>
      </c>
      <c r="G22" s="182">
        <v>1553567.14</v>
      </c>
      <c r="H22" s="6">
        <f t="shared" si="3"/>
        <v>63939684.440000005</v>
      </c>
      <c r="I22" s="6">
        <f>H22/B22</f>
        <v>10218.904337541953</v>
      </c>
    </row>
    <row r="23" spans="1:9" ht="13.5" thickBot="1" x14ac:dyDescent="0.25">
      <c r="A23" s="15" t="s">
        <v>105</v>
      </c>
      <c r="B23" s="8">
        <f>SUM(B21:B22)</f>
        <v>18472</v>
      </c>
      <c r="C23" s="8">
        <f t="shared" ref="C23:H23" si="6">SUM(C21:C22)</f>
        <v>107459222.73</v>
      </c>
      <c r="D23" s="8">
        <f t="shared" si="6"/>
        <v>16245515.360000001</v>
      </c>
      <c r="E23" s="8">
        <f t="shared" si="6"/>
        <v>14705464.800000001</v>
      </c>
      <c r="F23" s="8">
        <f t="shared" si="6"/>
        <v>5221514.97</v>
      </c>
      <c r="G23" s="8">
        <f t="shared" si="6"/>
        <v>5392247.5300000003</v>
      </c>
      <c r="H23" s="8">
        <f t="shared" si="6"/>
        <v>149023965.38999999</v>
      </c>
      <c r="I23" s="8">
        <f>H23/B23</f>
        <v>8067.5598413815496</v>
      </c>
    </row>
    <row r="24" spans="1:9" ht="13.5" thickTop="1" x14ac:dyDescent="0.2">
      <c r="A24" s="1"/>
      <c r="B24" s="184"/>
      <c r="C24" s="184"/>
      <c r="D24" s="184"/>
      <c r="E24" s="184"/>
      <c r="F24" s="184"/>
      <c r="G24" s="184"/>
      <c r="H24" s="184"/>
      <c r="I24" s="6"/>
    </row>
    <row r="25" spans="1:9" ht="13.5" thickBot="1" x14ac:dyDescent="0.25">
      <c r="A25" s="15" t="s">
        <v>209</v>
      </c>
      <c r="B25" s="27">
        <f t="shared" ref="B25:G25" si="7">B10+B18+B23</f>
        <v>151511</v>
      </c>
      <c r="C25" s="27">
        <f t="shared" si="7"/>
        <v>840561787.95000005</v>
      </c>
      <c r="D25" s="27">
        <f t="shared" si="7"/>
        <v>124273352.61</v>
      </c>
      <c r="E25" s="27">
        <f t="shared" si="7"/>
        <v>106471816.22000001</v>
      </c>
      <c r="F25" s="27">
        <f t="shared" si="7"/>
        <v>42399377.240000002</v>
      </c>
      <c r="G25" s="27">
        <f t="shared" si="7"/>
        <v>33156789.660000004</v>
      </c>
      <c r="H25" s="27">
        <f t="shared" si="3"/>
        <v>1146863123.6800001</v>
      </c>
      <c r="I25" s="8">
        <f>H25/B25</f>
        <v>7569.5040206981676</v>
      </c>
    </row>
    <row r="26" spans="1:9" ht="13.5" thickTop="1" x14ac:dyDescent="0.2">
      <c r="A26" s="1"/>
      <c r="C26" s="6"/>
      <c r="D26" s="6"/>
      <c r="E26" s="6"/>
      <c r="F26" s="6"/>
      <c r="G26" s="6"/>
      <c r="I26" s="122"/>
    </row>
    <row r="27" spans="1:9" x14ac:dyDescent="0.2">
      <c r="A27" s="36" t="s">
        <v>247</v>
      </c>
      <c r="B27" s="6"/>
      <c r="C27" s="6"/>
      <c r="D27" s="6"/>
      <c r="E27" s="6"/>
      <c r="F27" s="6"/>
      <c r="G27" s="6"/>
      <c r="H27" s="6"/>
      <c r="I27" s="122"/>
    </row>
    <row r="28" spans="1:9" x14ac:dyDescent="0.2">
      <c r="A28" s="36" t="s">
        <v>466</v>
      </c>
      <c r="B28" s="6"/>
      <c r="C28" s="6"/>
      <c r="D28" s="6"/>
      <c r="E28" s="6"/>
      <c r="F28" s="6"/>
      <c r="G28" s="6"/>
      <c r="H28" s="6"/>
      <c r="I28" s="122"/>
    </row>
    <row r="29" spans="1:9" ht="33.75" x14ac:dyDescent="0.2">
      <c r="A29" s="155" t="s">
        <v>245</v>
      </c>
      <c r="B29" s="141" t="str">
        <f>B3</f>
        <v>ANB03</v>
      </c>
      <c r="C29" s="141" t="s">
        <v>479</v>
      </c>
      <c r="D29" s="141" t="s">
        <v>480</v>
      </c>
      <c r="E29" s="141" t="s">
        <v>481</v>
      </c>
      <c r="F29" s="141" t="s">
        <v>482</v>
      </c>
      <c r="G29" s="141" t="s">
        <v>473</v>
      </c>
      <c r="H29" s="141" t="s">
        <v>483</v>
      </c>
      <c r="I29" s="122"/>
    </row>
    <row r="30" spans="1:9" x14ac:dyDescent="0.2">
      <c r="A30" s="1" t="s">
        <v>102</v>
      </c>
      <c r="B30" s="6">
        <f t="shared" ref="B30:B35" si="8">B4</f>
        <v>34236</v>
      </c>
      <c r="C30" s="6">
        <f>C4/$B$30</f>
        <v>5219.4120729641309</v>
      </c>
      <c r="D30" s="6">
        <f>D4/$B$30</f>
        <v>676.76882550531604</v>
      </c>
      <c r="E30" s="6">
        <f>E4/$B$30</f>
        <v>445.90137574482998</v>
      </c>
      <c r="F30" s="6">
        <f>F4/$B$30</f>
        <v>130.19694473653462</v>
      </c>
      <c r="G30" s="6">
        <f>G4/$B$30</f>
        <v>111.87510486038089</v>
      </c>
      <c r="H30" s="6">
        <f>SUM(C30:G30)</f>
        <v>6584.1543238111926</v>
      </c>
      <c r="I30" s="122"/>
    </row>
    <row r="31" spans="1:9" x14ac:dyDescent="0.2">
      <c r="A31" s="1" t="s">
        <v>76</v>
      </c>
      <c r="B31" s="6">
        <f t="shared" si="8"/>
        <v>21444</v>
      </c>
      <c r="C31" s="6">
        <f>C5/$B$31</f>
        <v>5452.7713043275508</v>
      </c>
      <c r="D31" s="6">
        <f>D5/$B$31</f>
        <v>615.78086737548961</v>
      </c>
      <c r="E31" s="6">
        <f>E5/$B$31</f>
        <v>621.07195765715358</v>
      </c>
      <c r="F31" s="6">
        <f>F5/$B$31</f>
        <v>290.94342659951502</v>
      </c>
      <c r="G31" s="6">
        <f>G5/$B$31</f>
        <v>281.52253870546542</v>
      </c>
      <c r="H31" s="6">
        <f t="shared" ref="H31:H51" si="9">SUM(C31:G31)</f>
        <v>7262.0900946651745</v>
      </c>
      <c r="I31" s="122"/>
    </row>
    <row r="32" spans="1:9" x14ac:dyDescent="0.2">
      <c r="A32" s="1" t="s">
        <v>77</v>
      </c>
      <c r="B32" s="6">
        <f t="shared" si="8"/>
        <v>12158</v>
      </c>
      <c r="C32" s="6">
        <f>C6/$B$32</f>
        <v>5952.0647869715422</v>
      </c>
      <c r="D32" s="6">
        <f>D6/$B$32</f>
        <v>670.59988731699286</v>
      </c>
      <c r="E32" s="6">
        <f>E6/$B$32</f>
        <v>732.25317157427207</v>
      </c>
      <c r="F32" s="6">
        <f>F6/$B$32</f>
        <v>402.37565060042772</v>
      </c>
      <c r="G32" s="6">
        <f>G6/$B$32</f>
        <v>153.1070850468827</v>
      </c>
      <c r="H32" s="6">
        <f t="shared" si="9"/>
        <v>7910.4005815101164</v>
      </c>
      <c r="I32" s="122"/>
    </row>
    <row r="33" spans="1:9" x14ac:dyDescent="0.2">
      <c r="A33" s="1" t="s">
        <v>78</v>
      </c>
      <c r="B33" s="6">
        <f t="shared" si="8"/>
        <v>13223</v>
      </c>
      <c r="C33" s="6">
        <f>C7/$B$33</f>
        <v>5232.3551697799285</v>
      </c>
      <c r="D33" s="6">
        <f>D7/$B$33</f>
        <v>766.59415261287154</v>
      </c>
      <c r="E33" s="6">
        <f>E7/$B$33</f>
        <v>735.07717461998038</v>
      </c>
      <c r="F33" s="6">
        <f>F7/$B$33</f>
        <v>287.10685850412165</v>
      </c>
      <c r="G33" s="6">
        <f>G7/$B$33</f>
        <v>279.33571806700445</v>
      </c>
      <c r="H33" s="6">
        <f t="shared" si="9"/>
        <v>7300.4690735839067</v>
      </c>
      <c r="I33" s="122"/>
    </row>
    <row r="34" spans="1:9" x14ac:dyDescent="0.2">
      <c r="A34" s="1" t="s">
        <v>79</v>
      </c>
      <c r="B34" s="6">
        <f t="shared" si="8"/>
        <v>6800</v>
      </c>
      <c r="C34" s="6">
        <f>C8/$B$34</f>
        <v>6078.2556132352947</v>
      </c>
      <c r="D34" s="6">
        <f>D8/$B$34</f>
        <v>1071.9356044117646</v>
      </c>
      <c r="E34" s="6">
        <f>E8/$B$34</f>
        <v>1026.6414470588236</v>
      </c>
      <c r="F34" s="6">
        <f>F8/$B$34</f>
        <v>341.95972647058824</v>
      </c>
      <c r="G34" s="6">
        <f>G8/$B$34</f>
        <v>239.5030617647059</v>
      </c>
      <c r="H34" s="6">
        <f t="shared" si="9"/>
        <v>8758.2954529411782</v>
      </c>
      <c r="I34" s="122"/>
    </row>
    <row r="35" spans="1:9" x14ac:dyDescent="0.2">
      <c r="A35" s="1" t="s">
        <v>80</v>
      </c>
      <c r="B35" s="7">
        <f t="shared" si="8"/>
        <v>1427</v>
      </c>
      <c r="C35" s="6">
        <f>C9/$B$35</f>
        <v>4846.411625788367</v>
      </c>
      <c r="D35" s="6">
        <f>D9/$B$35</f>
        <v>1684.1853608969866</v>
      </c>
      <c r="E35" s="6">
        <f>E9/$B$35</f>
        <v>1250.4087876664332</v>
      </c>
      <c r="F35" s="6">
        <f>F9/$B$35</f>
        <v>555.10269796776458</v>
      </c>
      <c r="G35" s="6">
        <f>G9/$B$35</f>
        <v>53.061765942536788</v>
      </c>
      <c r="H35" s="6">
        <f t="shared" si="9"/>
        <v>8389.1702382620897</v>
      </c>
      <c r="I35" s="122"/>
    </row>
    <row r="36" spans="1:9" ht="13.5" thickBot="1" x14ac:dyDescent="0.25">
      <c r="A36" s="15" t="s">
        <v>103</v>
      </c>
      <c r="B36" s="27">
        <f>SUM(B30:B35)</f>
        <v>89288</v>
      </c>
      <c r="C36" s="8">
        <f>C10/$B$36</f>
        <v>5436.5830036511061</v>
      </c>
      <c r="D36" s="8">
        <f>D10/$B$36</f>
        <v>720.77977958964254</v>
      </c>
      <c r="E36" s="8">
        <f>E10/$B$36</f>
        <v>626.87372636860516</v>
      </c>
      <c r="F36" s="8">
        <f>F10/$B$36</f>
        <v>252.02007302213065</v>
      </c>
      <c r="G36" s="8">
        <f>G10/$B$36</f>
        <v>191.81298169966851</v>
      </c>
      <c r="H36" s="8">
        <f t="shared" si="9"/>
        <v>7228.0695643311528</v>
      </c>
      <c r="I36" s="122"/>
    </row>
    <row r="37" spans="1:9" ht="13.5" thickTop="1" x14ac:dyDescent="0.2">
      <c r="A37" s="1"/>
      <c r="C37" s="6"/>
      <c r="D37" s="6"/>
      <c r="E37" s="6"/>
      <c r="F37" s="6"/>
      <c r="G37" s="6"/>
      <c r="H37" s="6"/>
      <c r="I37" s="122"/>
    </row>
    <row r="38" spans="1:9" x14ac:dyDescent="0.2">
      <c r="A38" s="1"/>
      <c r="B38" s="6"/>
      <c r="C38" s="6"/>
      <c r="D38" s="6"/>
      <c r="E38" s="6"/>
      <c r="F38" s="6"/>
      <c r="G38" s="6"/>
      <c r="H38" s="6"/>
      <c r="I38" s="122"/>
    </row>
    <row r="39" spans="1:9" x14ac:dyDescent="0.2">
      <c r="A39" s="1" t="s">
        <v>81</v>
      </c>
      <c r="B39" s="6">
        <f>B13</f>
        <v>23004</v>
      </c>
      <c r="C39" s="6">
        <f>C13/$B$39</f>
        <v>5128.6924834811334</v>
      </c>
      <c r="D39" s="6">
        <f>D13/$B$39</f>
        <v>883.14895974613114</v>
      </c>
      <c r="E39" s="6">
        <f>E13/$B$39</f>
        <v>571.87806816205875</v>
      </c>
      <c r="F39" s="6">
        <f>F13/$B$39</f>
        <v>197.77773952356114</v>
      </c>
      <c r="G39" s="6">
        <f>G13/$B$39</f>
        <v>299.50571074595723</v>
      </c>
      <c r="H39" s="6">
        <f t="shared" si="9"/>
        <v>7081.0029616588408</v>
      </c>
      <c r="I39" s="122"/>
    </row>
    <row r="40" spans="1:9" x14ac:dyDescent="0.2">
      <c r="A40" s="1" t="s">
        <v>82</v>
      </c>
      <c r="B40" s="6">
        <f>B14</f>
        <v>9223</v>
      </c>
      <c r="C40" s="6">
        <f>C14/$B$40</f>
        <v>5413.1887585384366</v>
      </c>
      <c r="D40" s="6">
        <f>D14/$B$40</f>
        <v>768.4511991759731</v>
      </c>
      <c r="E40" s="6">
        <f>E14/$B$40</f>
        <v>790.72854277350098</v>
      </c>
      <c r="F40" s="6">
        <f>F14/$B$40</f>
        <v>372.11497452022121</v>
      </c>
      <c r="G40" s="6">
        <f>G14/$B$40</f>
        <v>100.31992843977014</v>
      </c>
      <c r="H40" s="6">
        <f t="shared" si="9"/>
        <v>7444.8034034479006</v>
      </c>
      <c r="I40" s="122"/>
    </row>
    <row r="41" spans="1:9" x14ac:dyDescent="0.2">
      <c r="A41" s="1" t="s">
        <v>83</v>
      </c>
      <c r="B41" s="6">
        <f>B15</f>
        <v>5092</v>
      </c>
      <c r="C41" s="6">
        <f>C15/$B$41</f>
        <v>5957.9249450117832</v>
      </c>
      <c r="D41" s="6">
        <f>D15/$B$41</f>
        <v>1130.6315161036921</v>
      </c>
      <c r="E41" s="6">
        <f>E15/$B$41</f>
        <v>1199.5866496465042</v>
      </c>
      <c r="F41" s="6">
        <f>F15/$B$41</f>
        <v>434.83967792615869</v>
      </c>
      <c r="G41" s="6">
        <f>G15/$B$41</f>
        <v>234.03469952867241</v>
      </c>
      <c r="H41" s="6">
        <f t="shared" si="9"/>
        <v>8957.0174882168103</v>
      </c>
      <c r="I41" s="122"/>
    </row>
    <row r="42" spans="1:9" x14ac:dyDescent="0.2">
      <c r="A42" s="1" t="s">
        <v>84</v>
      </c>
      <c r="B42" s="6">
        <f>B16</f>
        <v>4900</v>
      </c>
      <c r="C42" s="6">
        <f>C16/$B$42</f>
        <v>7157.5569999999998</v>
      </c>
      <c r="D42" s="6">
        <f>D16/$B$42</f>
        <v>1516.9827020408163</v>
      </c>
      <c r="E42" s="6">
        <f>E16/$B$42</f>
        <v>1343.7506591836736</v>
      </c>
      <c r="F42" s="6">
        <f>F16/$B$42</f>
        <v>696.23454285714286</v>
      </c>
      <c r="G42" s="6">
        <f>G16/$B$42</f>
        <v>275.80004693877549</v>
      </c>
      <c r="H42" s="6">
        <f t="shared" si="9"/>
        <v>10990.324951020408</v>
      </c>
      <c r="I42" s="122"/>
    </row>
    <row r="43" spans="1:9" x14ac:dyDescent="0.2">
      <c r="A43" s="14" t="s">
        <v>85</v>
      </c>
      <c r="B43" s="6">
        <f>B17</f>
        <v>1532</v>
      </c>
      <c r="C43" s="6">
        <f>C17/$B$43</f>
        <v>9376.5516057441255</v>
      </c>
      <c r="D43" s="6">
        <f>D17/$B$43</f>
        <v>2008.5360900783289</v>
      </c>
      <c r="E43" s="6">
        <f>E17/$B$43</f>
        <v>1731.7260182767623</v>
      </c>
      <c r="F43" s="6">
        <f>F17/$B$43</f>
        <v>697.15767624020896</v>
      </c>
      <c r="G43" s="6">
        <f>G17/$B$43</f>
        <v>182.59766971279373</v>
      </c>
      <c r="H43" s="6">
        <f t="shared" si="9"/>
        <v>13996.569060052219</v>
      </c>
      <c r="I43" s="122"/>
    </row>
    <row r="44" spans="1:9" ht="13.5" thickBot="1" x14ac:dyDescent="0.25">
      <c r="A44" s="15" t="s">
        <v>104</v>
      </c>
      <c r="B44" s="8">
        <f>SUM(B39:B43)</f>
        <v>43751</v>
      </c>
      <c r="C44" s="8">
        <f>C18/$B$44</f>
        <v>5661.1492763593978</v>
      </c>
      <c r="D44" s="8">
        <f>D18/$B$44</f>
        <v>998.16809421498931</v>
      </c>
      <c r="E44" s="8">
        <f>E18/$B$44</f>
        <v>818.13101734817496</v>
      </c>
      <c r="F44" s="8">
        <f>F18/$B$44</f>
        <v>335.43219560695758</v>
      </c>
      <c r="G44" s="8">
        <f>G18/$B$44</f>
        <v>243.14746222943478</v>
      </c>
      <c r="H44" s="8">
        <f t="shared" si="9"/>
        <v>8056.0280457589552</v>
      </c>
      <c r="I44" s="122"/>
    </row>
    <row r="45" spans="1:9" ht="13.5" thickTop="1" x14ac:dyDescent="0.2">
      <c r="A45" s="1"/>
      <c r="B45" s="6"/>
      <c r="C45" s="6"/>
      <c r="D45" s="6"/>
      <c r="E45" s="6"/>
      <c r="F45" s="6"/>
      <c r="G45" s="6"/>
      <c r="H45" s="6"/>
      <c r="I45" s="122"/>
    </row>
    <row r="46" spans="1:9" x14ac:dyDescent="0.2">
      <c r="A46" s="1"/>
      <c r="C46" s="6"/>
      <c r="D46" s="6"/>
      <c r="E46" s="6"/>
      <c r="F46" s="6"/>
      <c r="G46" s="6"/>
      <c r="H46" s="6"/>
      <c r="I46" s="122"/>
    </row>
    <row r="47" spans="1:9" x14ac:dyDescent="0.2">
      <c r="A47" s="1" t="s">
        <v>86</v>
      </c>
      <c r="B47" s="6">
        <f>B21</f>
        <v>12215</v>
      </c>
      <c r="C47" s="6">
        <f>C21/$B$47</f>
        <v>5110.6764772820306</v>
      </c>
      <c r="D47" s="6">
        <f>D21/$B$47</f>
        <v>731.97755873925507</v>
      </c>
      <c r="E47" s="6">
        <f>E21/$B$47</f>
        <v>582.71701187065082</v>
      </c>
      <c r="F47" s="6">
        <f>F21/$B$47</f>
        <v>225.92658288988949</v>
      </c>
      <c r="G47" s="6">
        <f>G21/$B$47</f>
        <v>314.25954891526811</v>
      </c>
      <c r="H47" s="6">
        <f t="shared" si="9"/>
        <v>6965.5571796970944</v>
      </c>
      <c r="I47" s="122"/>
    </row>
    <row r="48" spans="1:9" x14ac:dyDescent="0.2">
      <c r="A48" s="1" t="s">
        <v>87</v>
      </c>
      <c r="B48" s="6">
        <f>B22</f>
        <v>6257</v>
      </c>
      <c r="C48" s="6">
        <f>C22/$B$48</f>
        <v>7197.108767780087</v>
      </c>
      <c r="D48" s="6">
        <f>D22/$B$48</f>
        <v>1167.3980310052741</v>
      </c>
      <c r="E48" s="6">
        <f>E22/$B$48</f>
        <v>1212.6540674444623</v>
      </c>
      <c r="F48" s="6">
        <f>F22/$B$48</f>
        <v>393.45081668531242</v>
      </c>
      <c r="G48" s="6">
        <f>G22/$B$48</f>
        <v>248.29265462681795</v>
      </c>
      <c r="H48" s="6">
        <f t="shared" si="9"/>
        <v>10218.904337541953</v>
      </c>
      <c r="I48" s="122"/>
    </row>
    <row r="49" spans="1:9" ht="13.5" thickBot="1" x14ac:dyDescent="0.25">
      <c r="A49" s="15" t="s">
        <v>105</v>
      </c>
      <c r="B49" s="8">
        <f>SUM(B47:B48)</f>
        <v>18472</v>
      </c>
      <c r="C49" s="8">
        <f>C23/$B$49</f>
        <v>5817.411364768298</v>
      </c>
      <c r="D49" s="8">
        <f>D23/$B$49</f>
        <v>879.4670506712863</v>
      </c>
      <c r="E49" s="8">
        <f>E23/$B$49</f>
        <v>796.09488956258122</v>
      </c>
      <c r="F49" s="8">
        <f>F23/$B$49</f>
        <v>282.67188014291901</v>
      </c>
      <c r="G49" s="8">
        <f>G23/$B$49</f>
        <v>291.91465623646604</v>
      </c>
      <c r="H49" s="8">
        <f t="shared" si="9"/>
        <v>8067.5598413815505</v>
      </c>
      <c r="I49" s="122"/>
    </row>
    <row r="50" spans="1:9" ht="13.5" thickTop="1" x14ac:dyDescent="0.2">
      <c r="A50" s="1"/>
      <c r="B50" s="6"/>
      <c r="C50" s="6"/>
      <c r="D50" s="6"/>
      <c r="E50" s="6"/>
      <c r="F50" s="6"/>
      <c r="G50" s="6"/>
      <c r="H50" s="6"/>
      <c r="I50" s="122"/>
    </row>
    <row r="51" spans="1:9" ht="13.5" thickBot="1" x14ac:dyDescent="0.25">
      <c r="A51" s="128" t="s">
        <v>209</v>
      </c>
      <c r="B51" s="126">
        <f>B36+B44+B49</f>
        <v>151511</v>
      </c>
      <c r="C51" s="126">
        <f>C25/$B$51</f>
        <v>5547.8598118288446</v>
      </c>
      <c r="D51" s="126">
        <f>D25/$B$51</f>
        <v>820.22660143487929</v>
      </c>
      <c r="E51" s="126">
        <f>E25/$B$51</f>
        <v>702.7332419428293</v>
      </c>
      <c r="F51" s="126">
        <f>F25/$B$51</f>
        <v>279.84355749747544</v>
      </c>
      <c r="G51" s="126">
        <f>G25/$B$51</f>
        <v>218.84080799413906</v>
      </c>
      <c r="H51" s="126">
        <f t="shared" si="9"/>
        <v>7569.5040206981676</v>
      </c>
      <c r="I51" s="122"/>
    </row>
    <row r="52" spans="1:9" x14ac:dyDescent="0.2">
      <c r="A52" s="1"/>
      <c r="B52" s="6"/>
      <c r="C52" s="6"/>
      <c r="D52" s="6"/>
      <c r="E52" s="6"/>
      <c r="F52" s="6"/>
      <c r="G52" s="6"/>
      <c r="H52" s="6"/>
      <c r="I52" s="122"/>
    </row>
    <row r="53" spans="1:9" x14ac:dyDescent="0.2">
      <c r="A53" s="1"/>
      <c r="B53" s="6"/>
      <c r="C53" s="6"/>
      <c r="D53" s="6"/>
      <c r="E53" s="6"/>
      <c r="F53" s="6"/>
      <c r="G53" s="6"/>
      <c r="H53" s="6"/>
      <c r="I53" s="122"/>
    </row>
    <row r="54" spans="1:9" x14ac:dyDescent="0.2">
      <c r="A54" s="1"/>
      <c r="B54" s="6"/>
      <c r="C54" s="6"/>
      <c r="D54" s="6"/>
      <c r="E54" s="6"/>
      <c r="F54" s="6"/>
      <c r="G54" s="6"/>
      <c r="H54" s="6"/>
      <c r="I54" s="122"/>
    </row>
    <row r="55" spans="1:9" x14ac:dyDescent="0.2">
      <c r="A55" s="36" t="s">
        <v>247</v>
      </c>
      <c r="B55" s="6"/>
      <c r="C55" s="6"/>
      <c r="D55" s="6"/>
      <c r="E55" s="6"/>
      <c r="F55" s="6"/>
      <c r="G55" s="6"/>
      <c r="H55" s="6"/>
      <c r="I55" s="122"/>
    </row>
    <row r="56" spans="1:9" x14ac:dyDescent="0.2">
      <c r="A56" s="36" t="s">
        <v>478</v>
      </c>
      <c r="B56" s="6"/>
      <c r="C56" s="6"/>
      <c r="D56" s="6"/>
      <c r="E56" s="6"/>
      <c r="F56" s="6"/>
      <c r="G56" s="6"/>
      <c r="H56" s="6"/>
      <c r="I56" s="122"/>
    </row>
    <row r="57" spans="1:9" ht="33.75" x14ac:dyDescent="0.2">
      <c r="A57" s="155" t="s">
        <v>245</v>
      </c>
      <c r="B57" s="141" t="str">
        <f>B3</f>
        <v>ANB03</v>
      </c>
      <c r="C57" s="141" t="s">
        <v>479</v>
      </c>
      <c r="D57" s="141" t="s">
        <v>480</v>
      </c>
      <c r="E57" s="141" t="s">
        <v>481</v>
      </c>
      <c r="F57" s="141" t="s">
        <v>482</v>
      </c>
      <c r="G57" s="141" t="s">
        <v>473</v>
      </c>
      <c r="H57" s="141" t="s">
        <v>483</v>
      </c>
      <c r="I57" s="122"/>
    </row>
    <row r="58" spans="1:9" x14ac:dyDescent="0.2">
      <c r="A58" s="1" t="s">
        <v>102</v>
      </c>
      <c r="B58" s="6">
        <f t="shared" ref="B58:B63" si="10">B4</f>
        <v>34236</v>
      </c>
      <c r="C58" s="9">
        <f>C4/$H$4</f>
        <v>0.79272322856838973</v>
      </c>
      <c r="D58" s="9">
        <f>D4/$H$4</f>
        <v>0.10278750956031255</v>
      </c>
      <c r="E58" s="9">
        <f>E4/$H$4</f>
        <v>6.7723408932299001E-2</v>
      </c>
      <c r="F58" s="9">
        <f>F4/$H$4</f>
        <v>1.9774285099254937E-2</v>
      </c>
      <c r="G58" s="9">
        <f>G4/$H$4</f>
        <v>1.6991567839743881E-2</v>
      </c>
      <c r="H58" s="9">
        <f>SUM(C58:G58)</f>
        <v>1.0000000000000002</v>
      </c>
      <c r="I58" s="122"/>
    </row>
    <row r="59" spans="1:9" x14ac:dyDescent="0.2">
      <c r="A59" s="1" t="s">
        <v>76</v>
      </c>
      <c r="B59" s="6">
        <f t="shared" si="10"/>
        <v>21444</v>
      </c>
      <c r="C59" s="9">
        <f>C5/$H$5</f>
        <v>0.75085426278768252</v>
      </c>
      <c r="D59" s="9">
        <f>D5/$H$5</f>
        <v>8.4793889823516558E-2</v>
      </c>
      <c r="E59" s="9">
        <f>E5/$H$5</f>
        <v>8.5522480382528049E-2</v>
      </c>
      <c r="F59" s="9">
        <f>F5/$H$5</f>
        <v>4.0063318246801406E-2</v>
      </c>
      <c r="G59" s="9">
        <f>G5/$H$5</f>
        <v>3.8766048759471539E-2</v>
      </c>
      <c r="H59" s="9">
        <f t="shared" ref="H59:H79" si="11">SUM(C59:G59)</f>
        <v>1</v>
      </c>
      <c r="I59" s="122"/>
    </row>
    <row r="60" spans="1:9" x14ac:dyDescent="0.2">
      <c r="A60" s="1" t="s">
        <v>77</v>
      </c>
      <c r="B60" s="6">
        <f t="shared" si="10"/>
        <v>12158</v>
      </c>
      <c r="C60" s="9">
        <f>C6/$H$6</f>
        <v>0.75243531925348794</v>
      </c>
      <c r="D60" s="9">
        <f>D6/$H$6</f>
        <v>8.4774453633165256E-2</v>
      </c>
      <c r="E60" s="9">
        <f>E6/$H$6</f>
        <v>9.2568405863775224E-2</v>
      </c>
      <c r="F60" s="9">
        <f>F6/$H$6</f>
        <v>5.0866659210779576E-2</v>
      </c>
      <c r="G60" s="9">
        <f>G6/$H$6</f>
        <v>1.9355162038791989E-2</v>
      </c>
      <c r="H60" s="9">
        <f t="shared" si="11"/>
        <v>1</v>
      </c>
      <c r="I60" s="122"/>
    </row>
    <row r="61" spans="1:9" x14ac:dyDescent="0.2">
      <c r="A61" s="1" t="s">
        <v>78</v>
      </c>
      <c r="B61" s="6">
        <f t="shared" si="10"/>
        <v>13223</v>
      </c>
      <c r="C61" s="9">
        <f>C7/$H$7</f>
        <v>0.71671492845750651</v>
      </c>
      <c r="D61" s="9">
        <f>D7/$H$7</f>
        <v>0.10500615027419591</v>
      </c>
      <c r="E61" s="9">
        <f>E7/$H$7</f>
        <v>0.10068903343208332</v>
      </c>
      <c r="F61" s="9">
        <f>F7/$H$7</f>
        <v>3.9327179611374843E-2</v>
      </c>
      <c r="G61" s="9">
        <f>G7/$H$7</f>
        <v>3.8262708224839376E-2</v>
      </c>
      <c r="H61" s="9">
        <f t="shared" si="11"/>
        <v>1</v>
      </c>
      <c r="I61" s="122"/>
    </row>
    <row r="62" spans="1:9" x14ac:dyDescent="0.2">
      <c r="A62" s="1" t="s">
        <v>79</v>
      </c>
      <c r="B62" s="6">
        <f t="shared" si="10"/>
        <v>6800</v>
      </c>
      <c r="C62" s="9">
        <f>C8/$H$8</f>
        <v>0.69399983659995368</v>
      </c>
      <c r="D62" s="9">
        <f>D8/$H$8</f>
        <v>0.12239089331609514</v>
      </c>
      <c r="E62" s="9">
        <f>E8/$H$8</f>
        <v>0.1172193211082027</v>
      </c>
      <c r="F62" s="9">
        <f>F8/$H$8</f>
        <v>3.9044095772739963E-2</v>
      </c>
      <c r="G62" s="9">
        <f>G8/$H$8</f>
        <v>2.7345853203008457E-2</v>
      </c>
      <c r="H62" s="9">
        <f t="shared" si="11"/>
        <v>0.99999999999999978</v>
      </c>
      <c r="I62" s="122"/>
    </row>
    <row r="63" spans="1:9" x14ac:dyDescent="0.2">
      <c r="A63" s="1" t="s">
        <v>80</v>
      </c>
      <c r="B63" s="6">
        <f t="shared" si="10"/>
        <v>1427</v>
      </c>
      <c r="C63" s="9">
        <f>C9/$H$9</f>
        <v>0.57769856709837808</v>
      </c>
      <c r="D63" s="9">
        <f>D9/$H$9</f>
        <v>0.2007570847967301</v>
      </c>
      <c r="E63" s="9">
        <f>E9/$H$9</f>
        <v>0.14905035327134683</v>
      </c>
      <c r="F63" s="9">
        <f>F9/$H$9</f>
        <v>6.6168963342286446E-2</v>
      </c>
      <c r="G63" s="9">
        <f>G9/$H$9</f>
        <v>6.3250314912585608E-3</v>
      </c>
      <c r="H63" s="9">
        <f t="shared" si="11"/>
        <v>1.0000000000000002</v>
      </c>
      <c r="I63" s="122"/>
    </row>
    <row r="64" spans="1:9" ht="13.5" thickBot="1" x14ac:dyDescent="0.25">
      <c r="A64" s="15" t="s">
        <v>103</v>
      </c>
      <c r="B64" s="8"/>
      <c r="C64" s="11">
        <f>C10/$H$10</f>
        <v>0.75214868302864479</v>
      </c>
      <c r="D64" s="11">
        <f>D10/$H$10</f>
        <v>9.9719541044060181E-2</v>
      </c>
      <c r="E64" s="11">
        <f>E10/$H$10</f>
        <v>8.6727683067977332E-2</v>
      </c>
      <c r="F64" s="11">
        <f>F10/$H$10</f>
        <v>3.4866857710638438E-2</v>
      </c>
      <c r="G64" s="11">
        <f>G10/$H$10</f>
        <v>2.6537235148679408E-2</v>
      </c>
      <c r="H64" s="11">
        <f t="shared" si="11"/>
        <v>1.0000000000000002</v>
      </c>
      <c r="I64" s="122"/>
    </row>
    <row r="65" spans="1:9" ht="13.5" thickTop="1" x14ac:dyDescent="0.2">
      <c r="A65" s="1"/>
      <c r="B65" s="6"/>
      <c r="C65" s="9"/>
      <c r="D65" s="9"/>
      <c r="E65" s="9"/>
      <c r="F65" s="9"/>
      <c r="G65" s="9"/>
      <c r="H65" s="9"/>
      <c r="I65" s="122"/>
    </row>
    <row r="66" spans="1:9" x14ac:dyDescent="0.2">
      <c r="A66" s="1"/>
      <c r="B66" s="6"/>
      <c r="C66" s="9"/>
      <c r="D66" s="9"/>
      <c r="E66" s="9"/>
      <c r="F66" s="9"/>
      <c r="G66" s="9"/>
      <c r="H66" s="9"/>
      <c r="I66" s="122"/>
    </row>
    <row r="67" spans="1:9" x14ac:dyDescent="0.2">
      <c r="A67" s="1" t="s">
        <v>81</v>
      </c>
      <c r="B67" s="6">
        <f t="shared" ref="B67:B72" si="12">B13</f>
        <v>23004</v>
      </c>
      <c r="C67" s="9">
        <f>C13/$H$13</f>
        <v>0.72428899002743141</v>
      </c>
      <c r="D67" s="9">
        <f>D13/$H$13</f>
        <v>0.12472088551975959</v>
      </c>
      <c r="E67" s="9">
        <f>E13/$H$13</f>
        <v>8.076229755284367E-2</v>
      </c>
      <c r="F67" s="9">
        <f>F13/$H$13</f>
        <v>2.7930752266939935E-2</v>
      </c>
      <c r="G67" s="9">
        <f>G13/$H$13</f>
        <v>4.2297074633025296E-2</v>
      </c>
      <c r="H67" s="9">
        <f t="shared" si="11"/>
        <v>1</v>
      </c>
      <c r="I67" s="122"/>
    </row>
    <row r="68" spans="1:9" x14ac:dyDescent="0.2">
      <c r="A68" s="1" t="s">
        <v>82</v>
      </c>
      <c r="B68" s="6">
        <f t="shared" si="12"/>
        <v>9223</v>
      </c>
      <c r="C68" s="9">
        <f>C14/$H$14</f>
        <v>0.72710969856254815</v>
      </c>
      <c r="D68" s="9">
        <f>D14/$H$14</f>
        <v>0.10321981085760858</v>
      </c>
      <c r="E68" s="9">
        <f>E14/$H$14</f>
        <v>0.10621214556280853</v>
      </c>
      <c r="F68" s="9">
        <f>F14/$H$14</f>
        <v>4.9983183484453603E-2</v>
      </c>
      <c r="G68" s="9">
        <f>G14/$H$14</f>
        <v>1.3475161532581114E-2</v>
      </c>
      <c r="H68" s="9">
        <f t="shared" si="11"/>
        <v>1</v>
      </c>
      <c r="I68" s="122"/>
    </row>
    <row r="69" spans="1:9" x14ac:dyDescent="0.2">
      <c r="A69" s="1" t="s">
        <v>83</v>
      </c>
      <c r="B69" s="6">
        <f t="shared" si="12"/>
        <v>5092</v>
      </c>
      <c r="C69" s="9">
        <f>C15/$H$15</f>
        <v>0.66516839481999324</v>
      </c>
      <c r="D69" s="9">
        <f>D15/$H$15</f>
        <v>0.12622857079279651</v>
      </c>
      <c r="E69" s="9">
        <f>E15/$H$15</f>
        <v>0.13392701881229904</v>
      </c>
      <c r="F69" s="9">
        <f>F15/$H$15</f>
        <v>4.854737400012913E-2</v>
      </c>
      <c r="G69" s="9">
        <f>G15/$H$15</f>
        <v>2.6128641574782136E-2</v>
      </c>
      <c r="H69" s="9">
        <f t="shared" si="11"/>
        <v>1</v>
      </c>
      <c r="I69" s="122"/>
    </row>
    <row r="70" spans="1:9" x14ac:dyDescent="0.2">
      <c r="A70" s="1" t="s">
        <v>84</v>
      </c>
      <c r="B70" s="6">
        <f t="shared" si="12"/>
        <v>4900</v>
      </c>
      <c r="C70" s="9">
        <f>C16/$H$16</f>
        <v>0.65125981551031842</v>
      </c>
      <c r="D70" s="9">
        <f>D16/$H$16</f>
        <v>0.13802892169261755</v>
      </c>
      <c r="E70" s="9">
        <f>E16/$H$16</f>
        <v>0.12226669049115894</v>
      </c>
      <c r="F70" s="9">
        <f>F16/$H$16</f>
        <v>6.3349768633774589E-2</v>
      </c>
      <c r="G70" s="9">
        <f>G16/$H$16</f>
        <v>2.5094803672130607E-2</v>
      </c>
      <c r="H70" s="9">
        <f t="shared" si="11"/>
        <v>1.0000000000000002</v>
      </c>
      <c r="I70" s="122"/>
    </row>
    <row r="71" spans="1:9" x14ac:dyDescent="0.2">
      <c r="A71" s="14" t="s">
        <v>85</v>
      </c>
      <c r="B71" s="6">
        <f t="shared" si="12"/>
        <v>1532</v>
      </c>
      <c r="C71" s="9">
        <f>C17/$H$17</f>
        <v>0.66991786097822059</v>
      </c>
      <c r="D71" s="9">
        <f>D17/$H$17</f>
        <v>0.14350203120927091</v>
      </c>
      <c r="E71" s="9">
        <f>E17/$H$17</f>
        <v>0.12372503653193861</v>
      </c>
      <c r="F71" s="9">
        <f>F17/$H$17</f>
        <v>4.9809183468395503E-2</v>
      </c>
      <c r="G71" s="9">
        <f>G17/$H$17</f>
        <v>1.3045887812174486E-2</v>
      </c>
      <c r="H71" s="9">
        <f t="shared" si="11"/>
        <v>1.0000000000000002</v>
      </c>
      <c r="I71" s="122"/>
    </row>
    <row r="72" spans="1:9" ht="13.5" thickBot="1" x14ac:dyDescent="0.25">
      <c r="A72" s="15" t="s">
        <v>104</v>
      </c>
      <c r="B72" s="8">
        <f t="shared" si="12"/>
        <v>43751</v>
      </c>
      <c r="C72" s="11">
        <f>C18/$H$18</f>
        <v>0.70272214101087616</v>
      </c>
      <c r="D72" s="11">
        <f>D18/$H$18</f>
        <v>0.12390325462440124</v>
      </c>
      <c r="E72" s="11">
        <f>E18/$H$18</f>
        <v>0.10155513519827862</v>
      </c>
      <c r="F72" s="11">
        <f>F18/$H$18</f>
        <v>4.1637416565790598E-2</v>
      </c>
      <c r="G72" s="11">
        <f>G18/$H$18</f>
        <v>3.0182052600653275E-2</v>
      </c>
      <c r="H72" s="11">
        <f t="shared" si="11"/>
        <v>0.99999999999999989</v>
      </c>
      <c r="I72" s="122"/>
    </row>
    <row r="73" spans="1:9" ht="13.5" thickTop="1" x14ac:dyDescent="0.2">
      <c r="A73" s="1"/>
      <c r="B73" s="6"/>
      <c r="C73" s="9"/>
      <c r="D73" s="9"/>
      <c r="E73" s="9"/>
      <c r="F73" s="9"/>
      <c r="G73" s="9"/>
      <c r="H73" s="9"/>
      <c r="I73" s="122"/>
    </row>
    <row r="74" spans="1:9" x14ac:dyDescent="0.2">
      <c r="A74" s="1"/>
      <c r="B74" s="6"/>
      <c r="C74" s="9"/>
      <c r="D74" s="9"/>
      <c r="E74" s="9"/>
      <c r="F74" s="9"/>
      <c r="G74" s="9"/>
      <c r="H74" s="9"/>
      <c r="I74" s="122"/>
    </row>
    <row r="75" spans="1:9" x14ac:dyDescent="0.2">
      <c r="A75" s="1" t="s">
        <v>86</v>
      </c>
      <c r="B75" s="6">
        <f>B47</f>
        <v>12215</v>
      </c>
      <c r="C75" s="9">
        <f>C21/$H$21</f>
        <v>0.73370677254339556</v>
      </c>
      <c r="D75" s="9">
        <f>D21/$H$21</f>
        <v>0.10508528461625322</v>
      </c>
      <c r="E75" s="9">
        <f>E21/$H$21</f>
        <v>8.3656913128088206E-2</v>
      </c>
      <c r="F75" s="9">
        <f>F21/$H$21</f>
        <v>3.243481850215954E-2</v>
      </c>
      <c r="G75" s="9">
        <f>G21/$H$21</f>
        <v>4.5116211210103674E-2</v>
      </c>
      <c r="H75" s="9">
        <f t="shared" si="11"/>
        <v>1.0000000000000002</v>
      </c>
      <c r="I75" s="122"/>
    </row>
    <row r="76" spans="1:9" x14ac:dyDescent="0.2">
      <c r="A76" s="1" t="s">
        <v>87</v>
      </c>
      <c r="B76" s="6">
        <f>B48</f>
        <v>6257</v>
      </c>
      <c r="C76" s="9">
        <f>C22/$H$22</f>
        <v>0.70429358471822945</v>
      </c>
      <c r="D76" s="9">
        <f>D22/$H$22</f>
        <v>0.11423906051419981</v>
      </c>
      <c r="E76" s="9">
        <f>E22/$H$22</f>
        <v>0.11866771890499495</v>
      </c>
      <c r="F76" s="9">
        <f>F22/$H$22</f>
        <v>3.8502250700191282E-2</v>
      </c>
      <c r="G76" s="9">
        <f>G22/$H$22</f>
        <v>2.4297385162384447E-2</v>
      </c>
      <c r="H76" s="9">
        <f t="shared" si="11"/>
        <v>1</v>
      </c>
      <c r="I76" s="122"/>
    </row>
    <row r="77" spans="1:9" ht="13.5" thickBot="1" x14ac:dyDescent="0.25">
      <c r="A77" s="15" t="s">
        <v>105</v>
      </c>
      <c r="B77" s="8"/>
      <c r="C77" s="11">
        <f>C23/$H$23</f>
        <v>0.72108685639102499</v>
      </c>
      <c r="D77" s="11">
        <f>D23/$H$23</f>
        <v>0.10901277064722457</v>
      </c>
      <c r="E77" s="11">
        <f>E23/$H$23</f>
        <v>9.8678523024906623E-2</v>
      </c>
      <c r="F77" s="11">
        <f>F23/$H$23</f>
        <v>3.5038089050543952E-2</v>
      </c>
      <c r="G77" s="11">
        <f>G23/$H$23</f>
        <v>3.6183760886299959E-2</v>
      </c>
      <c r="H77" s="11">
        <f t="shared" si="11"/>
        <v>1.0000000000000002</v>
      </c>
      <c r="I77" s="122"/>
    </row>
    <row r="78" spans="1:9" ht="13.5" thickTop="1" x14ac:dyDescent="0.2">
      <c r="A78" s="1"/>
      <c r="B78" s="6"/>
      <c r="C78" s="9"/>
      <c r="D78" s="9"/>
      <c r="E78" s="9"/>
      <c r="F78" s="9"/>
      <c r="G78" s="9"/>
      <c r="H78" s="9"/>
      <c r="I78" s="122"/>
    </row>
    <row r="79" spans="1:9" ht="13.5" thickBot="1" x14ac:dyDescent="0.25">
      <c r="A79" s="128" t="s">
        <v>230</v>
      </c>
      <c r="B79" s="126"/>
      <c r="C79" s="127">
        <f>C25/$H$25</f>
        <v>0.73292250016100025</v>
      </c>
      <c r="D79" s="127">
        <f>D25/$H$25</f>
        <v>0.10835935870990215</v>
      </c>
      <c r="E79" s="127">
        <f>E25/$H$25</f>
        <v>9.2837422375530124E-2</v>
      </c>
      <c r="F79" s="127">
        <f>F25/$H$25</f>
        <v>3.6969867078776489E-2</v>
      </c>
      <c r="G79" s="127">
        <f>G25/$H$25</f>
        <v>2.891085167479103E-2</v>
      </c>
      <c r="H79" s="127">
        <f t="shared" si="11"/>
        <v>1</v>
      </c>
      <c r="I79" s="122"/>
    </row>
    <row r="80" spans="1:9" x14ac:dyDescent="0.2">
      <c r="H80" s="9"/>
      <c r="I80" s="122"/>
    </row>
    <row r="81" spans="8:9" x14ac:dyDescent="0.2">
      <c r="H81" s="9"/>
      <c r="I81" s="122"/>
    </row>
    <row r="82" spans="8:9" x14ac:dyDescent="0.2">
      <c r="H82" s="9"/>
      <c r="I82" s="122"/>
    </row>
  </sheetData>
  <phoneticPr fontId="7" type="noConversion"/>
  <pageMargins left="0.25" right="0.25" top="1" bottom="1" header="0.5" footer="0.5"/>
  <pageSetup orientation="landscape" r:id="rId1"/>
  <headerFooter alignWithMargins="0">
    <oddFooter>&amp;L&amp;Z&amp;F</oddFooter>
  </headerFooter>
  <rowBreaks count="2" manualBreakCount="2">
    <brk id="25" max="16383" man="1"/>
    <brk id="52"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74"/>
  <dimension ref="A1:I82"/>
  <sheetViews>
    <sheetView workbookViewId="0">
      <selection activeCell="C3" sqref="C3:H3"/>
    </sheetView>
  </sheetViews>
  <sheetFormatPr defaultRowHeight="12.75" x14ac:dyDescent="0.2"/>
  <cols>
    <col min="1" max="1" width="17.140625" customWidth="1"/>
    <col min="2" max="2" width="9.28515625" bestFit="1" customWidth="1"/>
    <col min="3" max="3" width="11.140625" bestFit="1" customWidth="1"/>
    <col min="4" max="5" width="10.140625" bestFit="1" customWidth="1"/>
    <col min="6" max="7" width="9.28515625" bestFit="1" customWidth="1"/>
    <col min="8" max="8" width="13.140625" customWidth="1"/>
    <col min="9" max="9" width="9.140625" style="122"/>
  </cols>
  <sheetData>
    <row r="1" spans="1:9" x14ac:dyDescent="0.2">
      <c r="A1" s="36" t="s">
        <v>247</v>
      </c>
    </row>
    <row r="2" spans="1:9" x14ac:dyDescent="0.2">
      <c r="A2" s="22" t="s">
        <v>419</v>
      </c>
    </row>
    <row r="3" spans="1:9" ht="22.5" x14ac:dyDescent="0.2">
      <c r="A3" s="155" t="s">
        <v>245</v>
      </c>
      <c r="B3" s="141" t="s">
        <v>408</v>
      </c>
      <c r="C3" s="141" t="s">
        <v>89</v>
      </c>
      <c r="D3" s="141" t="s">
        <v>90</v>
      </c>
      <c r="E3" s="141" t="s">
        <v>91</v>
      </c>
      <c r="F3" s="141" t="s">
        <v>92</v>
      </c>
      <c r="G3" s="141" t="s">
        <v>93</v>
      </c>
      <c r="H3" s="141" t="s">
        <v>106</v>
      </c>
      <c r="I3" s="141" t="s">
        <v>452</v>
      </c>
    </row>
    <row r="4" spans="1:9" x14ac:dyDescent="0.2">
      <c r="A4" s="83" t="s">
        <v>102</v>
      </c>
      <c r="B4" s="6">
        <v>34874</v>
      </c>
      <c r="C4" s="6">
        <v>168371873.86000001</v>
      </c>
      <c r="D4" s="6">
        <v>21392240.359999999</v>
      </c>
      <c r="E4" s="6">
        <v>12128051.6</v>
      </c>
      <c r="F4" s="6">
        <v>3103086.4</v>
      </c>
      <c r="G4" s="6">
        <v>5171214.58</v>
      </c>
      <c r="H4" s="6">
        <f>SUM(C4:G4)</f>
        <v>210166466.80000004</v>
      </c>
      <c r="I4" s="6">
        <f>H4/B4</f>
        <v>6026.4514193955392</v>
      </c>
    </row>
    <row r="5" spans="1:9" x14ac:dyDescent="0.2">
      <c r="A5" s="1" t="s">
        <v>76</v>
      </c>
      <c r="B5" s="6">
        <v>22782</v>
      </c>
      <c r="C5" s="6">
        <v>115753232.48999999</v>
      </c>
      <c r="D5" s="6">
        <v>11879291.380000001</v>
      </c>
      <c r="E5" s="6">
        <v>12350726.640000001</v>
      </c>
      <c r="F5" s="6">
        <v>8767403.9000000004</v>
      </c>
      <c r="G5" s="6">
        <v>6223861.7599999998</v>
      </c>
      <c r="H5" s="6">
        <f t="shared" ref="H5:H10" si="0">SUM(C5:G5)</f>
        <v>154974516.16999999</v>
      </c>
      <c r="I5" s="6">
        <f t="shared" ref="I5:I10" si="1">H5/B5</f>
        <v>6802.4982955842324</v>
      </c>
    </row>
    <row r="6" spans="1:9" x14ac:dyDescent="0.2">
      <c r="A6" s="1" t="s">
        <v>77</v>
      </c>
      <c r="B6" s="6">
        <v>12060</v>
      </c>
      <c r="C6" s="6">
        <v>66092062.299999997</v>
      </c>
      <c r="D6" s="6">
        <v>7108131.9400000004</v>
      </c>
      <c r="E6" s="6">
        <v>8554342</v>
      </c>
      <c r="F6" s="6">
        <v>4573734.53</v>
      </c>
      <c r="G6" s="6">
        <v>1312743.28</v>
      </c>
      <c r="H6" s="6">
        <f t="shared" si="0"/>
        <v>87641014.049999997</v>
      </c>
      <c r="I6" s="6">
        <f t="shared" si="1"/>
        <v>7267.0824253731344</v>
      </c>
    </row>
    <row r="7" spans="1:9" x14ac:dyDescent="0.2">
      <c r="A7" s="1" t="s">
        <v>78</v>
      </c>
      <c r="B7" s="6">
        <v>13847</v>
      </c>
      <c r="C7" s="6">
        <v>68444083.469999999</v>
      </c>
      <c r="D7" s="6">
        <v>10140840.77</v>
      </c>
      <c r="E7" s="6">
        <v>9715536.7100000009</v>
      </c>
      <c r="F7" s="6">
        <v>2590155.4900000002</v>
      </c>
      <c r="G7" s="6">
        <v>3966849.92</v>
      </c>
      <c r="H7" s="6">
        <f t="shared" si="0"/>
        <v>94857466.359999985</v>
      </c>
      <c r="I7" s="6">
        <f t="shared" si="1"/>
        <v>6850.3983794323667</v>
      </c>
    </row>
    <row r="8" spans="1:9" x14ac:dyDescent="0.2">
      <c r="A8" s="1" t="s">
        <v>79</v>
      </c>
      <c r="B8" s="6">
        <v>6286</v>
      </c>
      <c r="C8" s="6">
        <v>35192240.950000003</v>
      </c>
      <c r="D8" s="6">
        <v>6509147.8200000003</v>
      </c>
      <c r="E8" s="6">
        <v>5664780.0700000003</v>
      </c>
      <c r="F8" s="6">
        <v>2216026.29</v>
      </c>
      <c r="G8" s="6">
        <v>1706129.39</v>
      </c>
      <c r="H8" s="6">
        <f t="shared" si="0"/>
        <v>51288324.520000003</v>
      </c>
      <c r="I8" s="6">
        <f t="shared" si="1"/>
        <v>8159.1353038498255</v>
      </c>
    </row>
    <row r="9" spans="1:9" x14ac:dyDescent="0.2">
      <c r="A9" s="14" t="s">
        <v>80</v>
      </c>
      <c r="B9" s="7">
        <v>1492</v>
      </c>
      <c r="C9" s="7">
        <v>6355104.4199999999</v>
      </c>
      <c r="D9" s="7">
        <v>1982804.62</v>
      </c>
      <c r="E9" s="7">
        <v>1269612.8</v>
      </c>
      <c r="F9" s="7">
        <v>355789.27</v>
      </c>
      <c r="G9" s="7">
        <v>97376.41</v>
      </c>
      <c r="H9" s="7">
        <f t="shared" si="0"/>
        <v>10060687.52</v>
      </c>
      <c r="I9" s="6">
        <f t="shared" si="1"/>
        <v>6743.0881501340482</v>
      </c>
    </row>
    <row r="10" spans="1:9" ht="13.5" thickBot="1" x14ac:dyDescent="0.25">
      <c r="A10" s="15" t="s">
        <v>103</v>
      </c>
      <c r="B10" s="27">
        <f t="shared" ref="B10:G10" si="2">SUM(B4:B9)</f>
        <v>91341</v>
      </c>
      <c r="C10" s="27">
        <f t="shared" si="2"/>
        <v>460208597.49000001</v>
      </c>
      <c r="D10" s="27">
        <f t="shared" si="2"/>
        <v>59012456.890000001</v>
      </c>
      <c r="E10" s="27">
        <f t="shared" si="2"/>
        <v>49683049.82</v>
      </c>
      <c r="F10" s="27">
        <f t="shared" si="2"/>
        <v>21606195.879999999</v>
      </c>
      <c r="G10" s="27">
        <f t="shared" si="2"/>
        <v>18478175.34</v>
      </c>
      <c r="H10" s="8">
        <f t="shared" si="0"/>
        <v>608988475.42000008</v>
      </c>
      <c r="I10" s="8">
        <f t="shared" si="1"/>
        <v>6667.1973748918899</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22879</v>
      </c>
      <c r="C13" s="6">
        <v>114712204.64</v>
      </c>
      <c r="D13" s="6">
        <v>19466350.059999999</v>
      </c>
      <c r="E13" s="6">
        <v>12400342.039999999</v>
      </c>
      <c r="F13" s="6">
        <v>3427691.5</v>
      </c>
      <c r="G13" s="6">
        <v>8165182.0800000001</v>
      </c>
      <c r="H13" s="6">
        <f t="shared" ref="H13:H25" si="3">SUM(C13:G13)</f>
        <v>158171770.32000002</v>
      </c>
      <c r="I13" s="6">
        <f t="shared" ref="I13:I18" si="4">H13/B13</f>
        <v>6913.4040089164746</v>
      </c>
    </row>
    <row r="14" spans="1:9" x14ac:dyDescent="0.2">
      <c r="A14" s="1" t="s">
        <v>82</v>
      </c>
      <c r="B14" s="6">
        <v>9866</v>
      </c>
      <c r="C14" s="6">
        <v>51107759.530000001</v>
      </c>
      <c r="D14" s="6">
        <v>6890978.9100000001</v>
      </c>
      <c r="E14" s="6">
        <v>8027845.6200000001</v>
      </c>
      <c r="F14" s="6">
        <v>3024009.49</v>
      </c>
      <c r="G14" s="6">
        <v>930329.84</v>
      </c>
      <c r="H14" s="6">
        <f t="shared" si="3"/>
        <v>69980923.390000001</v>
      </c>
      <c r="I14" s="6">
        <f t="shared" si="4"/>
        <v>7093.1404206365296</v>
      </c>
    </row>
    <row r="15" spans="1:9" x14ac:dyDescent="0.2">
      <c r="A15" s="1" t="s">
        <v>83</v>
      </c>
      <c r="B15" s="6">
        <v>4940</v>
      </c>
      <c r="C15" s="6">
        <v>27773925.57</v>
      </c>
      <c r="D15" s="6">
        <v>5445225.4299999997</v>
      </c>
      <c r="E15" s="6">
        <v>4882569.66</v>
      </c>
      <c r="F15" s="6">
        <v>1600478.42</v>
      </c>
      <c r="G15" s="6">
        <v>1309063.69</v>
      </c>
      <c r="H15" s="6">
        <f t="shared" si="3"/>
        <v>41011262.769999996</v>
      </c>
      <c r="I15" s="6">
        <f t="shared" si="4"/>
        <v>8301.8750546558695</v>
      </c>
    </row>
    <row r="16" spans="1:9" x14ac:dyDescent="0.2">
      <c r="A16" s="1" t="s">
        <v>84</v>
      </c>
      <c r="B16" s="6">
        <v>5024</v>
      </c>
      <c r="C16" s="6">
        <v>34006837.460000001</v>
      </c>
      <c r="D16" s="6">
        <v>6863314.6699999999</v>
      </c>
      <c r="E16" s="6">
        <v>6335310.9900000002</v>
      </c>
      <c r="F16" s="6">
        <v>2518220.29</v>
      </c>
      <c r="G16" s="6">
        <v>1144327.04</v>
      </c>
      <c r="H16" s="6">
        <f t="shared" si="3"/>
        <v>50868010.450000003</v>
      </c>
      <c r="I16" s="6">
        <f t="shared" si="4"/>
        <v>10125.002080015924</v>
      </c>
    </row>
    <row r="17" spans="1:9" x14ac:dyDescent="0.2">
      <c r="A17" s="14" t="s">
        <v>85</v>
      </c>
      <c r="B17" s="6">
        <v>1460</v>
      </c>
      <c r="C17" s="6">
        <v>12802075.439999999</v>
      </c>
      <c r="D17" s="6">
        <v>2721286.31</v>
      </c>
      <c r="E17" s="6">
        <v>2190537.83</v>
      </c>
      <c r="F17" s="6">
        <v>903098.59</v>
      </c>
      <c r="G17" s="6">
        <v>490179.26</v>
      </c>
      <c r="H17" s="6">
        <f t="shared" si="3"/>
        <v>19107177.43</v>
      </c>
      <c r="I17" s="6">
        <f t="shared" si="4"/>
        <v>13087.107828767123</v>
      </c>
    </row>
    <row r="18" spans="1:9" ht="13.5" thickBot="1" x14ac:dyDescent="0.25">
      <c r="A18" s="15" t="s">
        <v>104</v>
      </c>
      <c r="B18" s="8">
        <f t="shared" ref="B18:G18" si="5">SUM(B13:B17)</f>
        <v>44169</v>
      </c>
      <c r="C18" s="8">
        <f t="shared" si="5"/>
        <v>240402802.64000002</v>
      </c>
      <c r="D18" s="8">
        <f t="shared" si="5"/>
        <v>41387155.380000003</v>
      </c>
      <c r="E18" s="8">
        <f t="shared" si="5"/>
        <v>33836606.140000001</v>
      </c>
      <c r="F18" s="8">
        <f t="shared" si="5"/>
        <v>11473498.289999999</v>
      </c>
      <c r="G18" s="8">
        <f t="shared" si="5"/>
        <v>12039081.909999998</v>
      </c>
      <c r="H18" s="8">
        <f t="shared" si="3"/>
        <v>339139144.36000007</v>
      </c>
      <c r="I18" s="8">
        <f t="shared" si="4"/>
        <v>7678.21649482669</v>
      </c>
    </row>
    <row r="19" spans="1:9" ht="13.5" thickTop="1" x14ac:dyDescent="0.2">
      <c r="A19" s="1"/>
      <c r="B19" s="6"/>
      <c r="C19" s="6"/>
      <c r="D19" s="6"/>
      <c r="E19" s="6"/>
      <c r="F19" s="6"/>
      <c r="G19" s="6"/>
      <c r="H19" s="6"/>
    </row>
    <row r="20" spans="1:9" x14ac:dyDescent="0.2">
      <c r="A20" s="1"/>
      <c r="C20" s="6"/>
      <c r="D20" s="6"/>
      <c r="E20" s="6"/>
      <c r="F20" s="6"/>
      <c r="G20" s="6"/>
      <c r="H20" s="6"/>
    </row>
    <row r="21" spans="1:9" x14ac:dyDescent="0.2">
      <c r="A21" s="1" t="s">
        <v>86</v>
      </c>
      <c r="B21" s="6">
        <v>12059</v>
      </c>
      <c r="C21" s="6">
        <v>57729322.009999998</v>
      </c>
      <c r="D21" s="6">
        <v>8633986.4299999997</v>
      </c>
      <c r="E21" s="6">
        <v>6674942.4699999997</v>
      </c>
      <c r="F21" s="6">
        <v>2802781.05</v>
      </c>
      <c r="G21" s="6">
        <v>3803200.31</v>
      </c>
      <c r="H21" s="6">
        <f t="shared" si="3"/>
        <v>79644232.269999996</v>
      </c>
      <c r="I21" s="6">
        <f>H21/B21</f>
        <v>6604.5469997512228</v>
      </c>
    </row>
    <row r="22" spans="1:9" x14ac:dyDescent="0.2">
      <c r="A22" s="14" t="s">
        <v>87</v>
      </c>
      <c r="B22" s="6">
        <v>6890</v>
      </c>
      <c r="C22" s="6">
        <v>45992445.060000002</v>
      </c>
      <c r="D22" s="6">
        <v>6811092.1399999997</v>
      </c>
      <c r="E22" s="6">
        <v>7480289.5700000003</v>
      </c>
      <c r="F22" s="6">
        <v>5907722.7199999997</v>
      </c>
      <c r="G22" s="6">
        <v>1593205.64</v>
      </c>
      <c r="H22" s="6">
        <f t="shared" si="3"/>
        <v>67784755.129999995</v>
      </c>
      <c r="I22" s="6">
        <f>H22/B22</f>
        <v>9838.1357227866465</v>
      </c>
    </row>
    <row r="23" spans="1:9" ht="13.5" thickBot="1" x14ac:dyDescent="0.25">
      <c r="A23" s="15" t="s">
        <v>105</v>
      </c>
      <c r="B23" s="8">
        <f>SUM(B21:B22)</f>
        <v>18949</v>
      </c>
      <c r="C23" s="8">
        <f t="shared" ref="C23:H23" si="6">SUM(C21:C22)</f>
        <v>103721767.06999999</v>
      </c>
      <c r="D23" s="8">
        <f t="shared" si="6"/>
        <v>15445078.57</v>
      </c>
      <c r="E23" s="8">
        <f t="shared" si="6"/>
        <v>14155232.039999999</v>
      </c>
      <c r="F23" s="8">
        <f t="shared" si="6"/>
        <v>8710503.7699999996</v>
      </c>
      <c r="G23" s="8">
        <f t="shared" si="6"/>
        <v>5396405.9500000002</v>
      </c>
      <c r="H23" s="8">
        <f t="shared" si="6"/>
        <v>147428987.39999998</v>
      </c>
      <c r="I23" s="8">
        <f>H23/B23</f>
        <v>7780.3043643464025</v>
      </c>
    </row>
    <row r="24" spans="1:9" ht="14.25" thickTop="1" thickBot="1" x14ac:dyDescent="0.25">
      <c r="A24" s="1"/>
      <c r="B24" s="25"/>
      <c r="C24" s="25"/>
      <c r="D24" s="25"/>
      <c r="E24" s="25"/>
      <c r="F24" s="25"/>
      <c r="G24" s="25"/>
      <c r="H24" s="25"/>
      <c r="I24" s="6"/>
    </row>
    <row r="25" spans="1:9" ht="13.5" thickBot="1" x14ac:dyDescent="0.25">
      <c r="A25" s="128" t="s">
        <v>209</v>
      </c>
      <c r="B25" s="27">
        <f t="shared" ref="B25:G25" si="7">B10+B18+B23</f>
        <v>154459</v>
      </c>
      <c r="C25" s="27">
        <f t="shared" si="7"/>
        <v>804333167.20000005</v>
      </c>
      <c r="D25" s="27">
        <f t="shared" si="7"/>
        <v>115844690.84</v>
      </c>
      <c r="E25" s="27">
        <f t="shared" si="7"/>
        <v>97674888</v>
      </c>
      <c r="F25" s="27">
        <f t="shared" si="7"/>
        <v>41790197.939999998</v>
      </c>
      <c r="G25" s="27">
        <f t="shared" si="7"/>
        <v>35913663.200000003</v>
      </c>
      <c r="H25" s="39">
        <f t="shared" si="3"/>
        <v>1095556607.1800001</v>
      </c>
      <c r="I25" s="8">
        <f>H25/B25</f>
        <v>7092.8635248188848</v>
      </c>
    </row>
    <row r="26" spans="1:9" x14ac:dyDescent="0.2">
      <c r="A26" s="1"/>
      <c r="C26" s="6"/>
      <c r="D26" s="6"/>
      <c r="E26" s="6"/>
      <c r="F26" s="6"/>
      <c r="G26" s="6"/>
    </row>
    <row r="27" spans="1:9" x14ac:dyDescent="0.2">
      <c r="A27" s="36" t="s">
        <v>247</v>
      </c>
      <c r="B27" s="6"/>
      <c r="C27" s="6"/>
      <c r="D27" s="6"/>
      <c r="E27" s="6"/>
      <c r="F27" s="6"/>
      <c r="G27" s="6"/>
      <c r="H27" s="6"/>
    </row>
    <row r="28" spans="1:9" x14ac:dyDescent="0.2">
      <c r="A28" s="36" t="s">
        <v>398</v>
      </c>
      <c r="B28" s="1"/>
      <c r="C28" s="6"/>
      <c r="D28" s="6"/>
      <c r="E28" s="6"/>
      <c r="F28" s="6"/>
      <c r="G28" s="6"/>
      <c r="H28" s="6"/>
    </row>
    <row r="29" spans="1:9" ht="33.75" x14ac:dyDescent="0.2">
      <c r="A29" s="155" t="s">
        <v>245</v>
      </c>
      <c r="B29" s="141" t="s">
        <v>408</v>
      </c>
      <c r="C29" s="141" t="s">
        <v>420</v>
      </c>
      <c r="D29" s="141" t="s">
        <v>421</v>
      </c>
      <c r="E29" s="141" t="s">
        <v>422</v>
      </c>
      <c r="F29" s="141" t="s">
        <v>423</v>
      </c>
      <c r="G29" s="141" t="s">
        <v>405</v>
      </c>
      <c r="H29" s="155" t="s">
        <v>424</v>
      </c>
    </row>
    <row r="30" spans="1:9" x14ac:dyDescent="0.2">
      <c r="A30" s="1" t="s">
        <v>102</v>
      </c>
      <c r="B30" s="6">
        <f t="shared" ref="B30:B35" si="8">B4</f>
        <v>34874</v>
      </c>
      <c r="C30" s="6">
        <f>C4/$B$30</f>
        <v>4828.0057882663305</v>
      </c>
      <c r="D30" s="6">
        <f>D4/$B$30</f>
        <v>613.41516201181389</v>
      </c>
      <c r="E30" s="6">
        <f>E4/$B$30</f>
        <v>347.76772380570048</v>
      </c>
      <c r="F30" s="6">
        <f>F4/$B$30</f>
        <v>88.979939209726439</v>
      </c>
      <c r="G30" s="6">
        <f>G4/$B$30</f>
        <v>148.28280610196708</v>
      </c>
      <c r="H30" s="6">
        <f>SUM(C30:G30)</f>
        <v>6026.4514193955383</v>
      </c>
    </row>
    <row r="31" spans="1:9" x14ac:dyDescent="0.2">
      <c r="A31" s="1" t="s">
        <v>76</v>
      </c>
      <c r="B31" s="6">
        <f t="shared" si="8"/>
        <v>22782</v>
      </c>
      <c r="C31" s="6">
        <f>C5/$B$31</f>
        <v>5080.9074045298921</v>
      </c>
      <c r="D31" s="6">
        <f>D5/$B$31</f>
        <v>521.4332095514003</v>
      </c>
      <c r="E31" s="6">
        <f>E5/$B$31</f>
        <v>542.12653147221488</v>
      </c>
      <c r="F31" s="6">
        <f>F5/$B$31</f>
        <v>384.83907909753316</v>
      </c>
      <c r="G31" s="6">
        <f>G5/$B$31</f>
        <v>273.19207093319284</v>
      </c>
      <c r="H31" s="6">
        <f t="shared" ref="H31:H51" si="9">SUM(C31:G31)</f>
        <v>6802.4982955842324</v>
      </c>
    </row>
    <row r="32" spans="1:9" x14ac:dyDescent="0.2">
      <c r="A32" s="1" t="s">
        <v>77</v>
      </c>
      <c r="B32" s="6">
        <f t="shared" si="8"/>
        <v>12060</v>
      </c>
      <c r="C32" s="6">
        <f>C6/$B$32</f>
        <v>5480.2705058043111</v>
      </c>
      <c r="D32" s="6">
        <f>D6/$B$32</f>
        <v>589.39734162520733</v>
      </c>
      <c r="E32" s="6">
        <f>E6/$B$32</f>
        <v>709.31525704809292</v>
      </c>
      <c r="F32" s="6">
        <f>F6/$B$32</f>
        <v>379.24830265339966</v>
      </c>
      <c r="G32" s="6">
        <f>G6/$B$32</f>
        <v>108.85101824212272</v>
      </c>
      <c r="H32" s="6">
        <f t="shared" si="9"/>
        <v>7267.0824253731334</v>
      </c>
    </row>
    <row r="33" spans="1:8" x14ac:dyDescent="0.2">
      <c r="A33" s="1" t="s">
        <v>78</v>
      </c>
      <c r="B33" s="6">
        <f t="shared" si="8"/>
        <v>13847</v>
      </c>
      <c r="C33" s="6">
        <f>C7/$B$33</f>
        <v>4942.8817411713726</v>
      </c>
      <c r="D33" s="6">
        <f>D7/$B$33</f>
        <v>732.34930093160972</v>
      </c>
      <c r="E33" s="6">
        <f>E7/$B$33</f>
        <v>701.6347735971691</v>
      </c>
      <c r="F33" s="6">
        <f>F7/$B$33</f>
        <v>187.05535422835274</v>
      </c>
      <c r="G33" s="6">
        <f>G7/$B$33</f>
        <v>286.47720950386366</v>
      </c>
      <c r="H33" s="6">
        <f t="shared" si="9"/>
        <v>6850.3983794323676</v>
      </c>
    </row>
    <row r="34" spans="1:8" x14ac:dyDescent="0.2">
      <c r="A34" s="1" t="s">
        <v>79</v>
      </c>
      <c r="B34" s="6">
        <f t="shared" si="8"/>
        <v>6286</v>
      </c>
      <c r="C34" s="6">
        <f>C8/$B$34</f>
        <v>5598.5111279032772</v>
      </c>
      <c r="D34" s="6">
        <f>D8/$B$34</f>
        <v>1035.4991759465479</v>
      </c>
      <c r="E34" s="6">
        <f>E8/$B$34</f>
        <v>901.17404867960556</v>
      </c>
      <c r="F34" s="6">
        <f>F8/$B$34</f>
        <v>352.53361279032771</v>
      </c>
      <c r="G34" s="6">
        <f>G8/$B$34</f>
        <v>271.41733853006679</v>
      </c>
      <c r="H34" s="6">
        <f t="shared" si="9"/>
        <v>8159.1353038498246</v>
      </c>
    </row>
    <row r="35" spans="1:8" x14ac:dyDescent="0.2">
      <c r="A35" s="1" t="s">
        <v>80</v>
      </c>
      <c r="B35" s="7">
        <f t="shared" si="8"/>
        <v>1492</v>
      </c>
      <c r="C35" s="6">
        <f>C9/$B$35</f>
        <v>4259.4533646112604</v>
      </c>
      <c r="D35" s="6">
        <f>D9/$B$35</f>
        <v>1328.9575201072387</v>
      </c>
      <c r="E35" s="6">
        <f>E9/$B$35</f>
        <v>850.9469168900805</v>
      </c>
      <c r="F35" s="6">
        <f>F9/$B$35</f>
        <v>238.46465817694371</v>
      </c>
      <c r="G35" s="6">
        <f>G9/$B$35</f>
        <v>65.265690348525467</v>
      </c>
      <c r="H35" s="6">
        <f t="shared" si="9"/>
        <v>6743.0881501340491</v>
      </c>
    </row>
    <row r="36" spans="1:8" ht="13.5" thickBot="1" x14ac:dyDescent="0.25">
      <c r="A36" s="15" t="s">
        <v>103</v>
      </c>
      <c r="B36" s="27">
        <f>SUM(B30:B35)</f>
        <v>91341</v>
      </c>
      <c r="C36" s="8">
        <f>C10/$B$36</f>
        <v>5038.3573366834171</v>
      </c>
      <c r="D36" s="8">
        <f>D10/$B$36</f>
        <v>646.06755881805543</v>
      </c>
      <c r="E36" s="8">
        <f>E10/$B$36</f>
        <v>543.92933972695721</v>
      </c>
      <c r="F36" s="8">
        <f>F10/$B$36</f>
        <v>236.54433255602632</v>
      </c>
      <c r="G36" s="8">
        <f>G10/$B$36</f>
        <v>202.29880710743259</v>
      </c>
      <c r="H36" s="8">
        <f t="shared" si="9"/>
        <v>6667.197374891889</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f>B13</f>
        <v>22879</v>
      </c>
      <c r="C39" s="6">
        <f>C13/$B$39</f>
        <v>5013.8644451243499</v>
      </c>
      <c r="D39" s="6">
        <f>D13/$B$39</f>
        <v>850.83920013986619</v>
      </c>
      <c r="E39" s="6">
        <f>E13/$B$39</f>
        <v>541.99667992482182</v>
      </c>
      <c r="F39" s="6">
        <f>F13/$B$39</f>
        <v>149.81823943354166</v>
      </c>
      <c r="G39" s="6">
        <f>G13/$B$39</f>
        <v>356.88544429389395</v>
      </c>
      <c r="H39" s="6">
        <f t="shared" si="9"/>
        <v>6913.4040089164737</v>
      </c>
    </row>
    <row r="40" spans="1:8" x14ac:dyDescent="0.2">
      <c r="A40" s="1" t="s">
        <v>82</v>
      </c>
      <c r="B40" s="6">
        <f>B14</f>
        <v>9866</v>
      </c>
      <c r="C40" s="6">
        <f>C14/$B$40</f>
        <v>5180.1905057774175</v>
      </c>
      <c r="D40" s="6">
        <f>D14/$B$40</f>
        <v>698.4572177174133</v>
      </c>
      <c r="E40" s="6">
        <f>E14/$B$40</f>
        <v>813.68798094465842</v>
      </c>
      <c r="F40" s="6">
        <f>F14/$B$40</f>
        <v>306.50815832150823</v>
      </c>
      <c r="G40" s="6">
        <f>G14/$B$40</f>
        <v>94.29655787553213</v>
      </c>
      <c r="H40" s="6">
        <f t="shared" si="9"/>
        <v>7093.1404206365287</v>
      </c>
    </row>
    <row r="41" spans="1:8" x14ac:dyDescent="0.2">
      <c r="A41" s="1" t="s">
        <v>83</v>
      </c>
      <c r="B41" s="6">
        <f>B15</f>
        <v>4940</v>
      </c>
      <c r="C41" s="6">
        <f>C15/$B$41</f>
        <v>5622.2521396761131</v>
      </c>
      <c r="D41" s="6">
        <f>D15/$B$41</f>
        <v>1102.2723542510121</v>
      </c>
      <c r="E41" s="6">
        <f>E15/$B$41</f>
        <v>988.37442510121457</v>
      </c>
      <c r="F41" s="6">
        <f>F15/$B$41</f>
        <v>323.98348582995948</v>
      </c>
      <c r="G41" s="6">
        <f>G15/$B$41</f>
        <v>264.99264979757083</v>
      </c>
      <c r="H41" s="6">
        <f t="shared" si="9"/>
        <v>8301.8750546558695</v>
      </c>
    </row>
    <row r="42" spans="1:8" x14ac:dyDescent="0.2">
      <c r="A42" s="1" t="s">
        <v>84</v>
      </c>
      <c r="B42" s="6">
        <f>B16</f>
        <v>5024</v>
      </c>
      <c r="C42" s="6">
        <f>C16/$B$42</f>
        <v>6768.8768829617838</v>
      </c>
      <c r="D42" s="6">
        <f>D16/$B$42</f>
        <v>1366.1056269904459</v>
      </c>
      <c r="E42" s="6">
        <f>E16/$B$42</f>
        <v>1261.0093531050957</v>
      </c>
      <c r="F42" s="6">
        <f>F16/$B$42</f>
        <v>501.23811504777069</v>
      </c>
      <c r="G42" s="6">
        <f>G16/$B$42</f>
        <v>227.77210191082804</v>
      </c>
      <c r="H42" s="6">
        <f t="shared" si="9"/>
        <v>10125.002080015924</v>
      </c>
    </row>
    <row r="43" spans="1:8" x14ac:dyDescent="0.2">
      <c r="A43" s="14" t="s">
        <v>85</v>
      </c>
      <c r="B43" s="6">
        <f>B17</f>
        <v>1460</v>
      </c>
      <c r="C43" s="6">
        <f>C17/$B$43</f>
        <v>8768.544821917807</v>
      </c>
      <c r="D43" s="6">
        <f>D17/$B$43</f>
        <v>1863.8947328767124</v>
      </c>
      <c r="E43" s="6">
        <f>E17/$B$43</f>
        <v>1500.3683767123289</v>
      </c>
      <c r="F43" s="6">
        <f>F17/$B$43</f>
        <v>618.56067808219177</v>
      </c>
      <c r="G43" s="6">
        <f>G17/$B$43</f>
        <v>335.73921917808218</v>
      </c>
      <c r="H43" s="6">
        <f t="shared" si="9"/>
        <v>13087.107828767123</v>
      </c>
    </row>
    <row r="44" spans="1:8" ht="13.5" thickBot="1" x14ac:dyDescent="0.25">
      <c r="A44" s="15" t="s">
        <v>104</v>
      </c>
      <c r="B44" s="8">
        <f>SUM(B39:B43)</f>
        <v>44169</v>
      </c>
      <c r="C44" s="8">
        <f>C18/$B$44</f>
        <v>5442.7947800493566</v>
      </c>
      <c r="D44" s="8">
        <f>D18/$B$44</f>
        <v>937.01816613461938</v>
      </c>
      <c r="E44" s="8">
        <f>E18/$B$44</f>
        <v>766.07136543729769</v>
      </c>
      <c r="F44" s="8">
        <f>F18/$B$44</f>
        <v>259.76359641377434</v>
      </c>
      <c r="G44" s="8">
        <f>G18/$B$44</f>
        <v>272.56858679164117</v>
      </c>
      <c r="H44" s="8">
        <f t="shared" si="9"/>
        <v>7678.2164948266891</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f>B21</f>
        <v>12059</v>
      </c>
      <c r="C47" s="6">
        <f>C21/$B$47</f>
        <v>4787.2395729330792</v>
      </c>
      <c r="D47" s="6">
        <f>D21/$B$47</f>
        <v>715.9786408491583</v>
      </c>
      <c r="E47" s="6">
        <f>E21/$B$47</f>
        <v>553.52371423832824</v>
      </c>
      <c r="F47" s="6">
        <f>F21/$B$47</f>
        <v>232.42234430715646</v>
      </c>
      <c r="G47" s="6">
        <f>G21/$B$47</f>
        <v>315.38272742350114</v>
      </c>
      <c r="H47" s="6">
        <f t="shared" si="9"/>
        <v>6604.5469997512237</v>
      </c>
    </row>
    <row r="48" spans="1:8" x14ac:dyDescent="0.2">
      <c r="A48" s="1" t="s">
        <v>87</v>
      </c>
      <c r="B48" s="6">
        <f>B22</f>
        <v>6890</v>
      </c>
      <c r="C48" s="6">
        <f>C22/$B$48</f>
        <v>6675.2460174165462</v>
      </c>
      <c r="D48" s="6">
        <f>D22/$B$48</f>
        <v>988.54748040638606</v>
      </c>
      <c r="E48" s="6">
        <f>E22/$B$48</f>
        <v>1085.6733773584906</v>
      </c>
      <c r="F48" s="6">
        <f>F22/$B$48</f>
        <v>857.43435703918715</v>
      </c>
      <c r="G48" s="6">
        <f>G22/$B$48</f>
        <v>231.23449056603772</v>
      </c>
      <c r="H48" s="6">
        <f t="shared" si="9"/>
        <v>9838.1357227866465</v>
      </c>
    </row>
    <row r="49" spans="1:8" ht="13.5" thickBot="1" x14ac:dyDescent="0.25">
      <c r="A49" s="15" t="s">
        <v>105</v>
      </c>
      <c r="B49" s="8">
        <f>SUM(B47:B48)</f>
        <v>18949</v>
      </c>
      <c r="C49" s="8">
        <f>C23/$B$49</f>
        <v>5473.733023906274</v>
      </c>
      <c r="D49" s="8">
        <f>D23/$B$49</f>
        <v>815.08673650324556</v>
      </c>
      <c r="E49" s="8">
        <f>E23/$B$49</f>
        <v>747.0173645047231</v>
      </c>
      <c r="F49" s="8">
        <f>F23/$B$49</f>
        <v>459.68144862525725</v>
      </c>
      <c r="G49" s="8">
        <f>G23/$B$49</f>
        <v>284.78579080690275</v>
      </c>
      <c r="H49" s="8">
        <f t="shared" si="9"/>
        <v>7780.3043643464025</v>
      </c>
    </row>
    <row r="50" spans="1:8" ht="13.5" thickTop="1" x14ac:dyDescent="0.2">
      <c r="A50" s="1"/>
      <c r="B50" s="6"/>
      <c r="C50" s="6"/>
      <c r="D50" s="6"/>
      <c r="E50" s="6"/>
      <c r="F50" s="6"/>
      <c r="G50" s="6"/>
      <c r="H50" s="6"/>
    </row>
    <row r="51" spans="1:8" ht="13.5" thickBot="1" x14ac:dyDescent="0.25">
      <c r="A51" s="128" t="s">
        <v>209</v>
      </c>
      <c r="B51" s="126">
        <f>B36+B44+B49</f>
        <v>154459</v>
      </c>
      <c r="C51" s="126">
        <f>C25/$B$51</f>
        <v>5207.4218219721743</v>
      </c>
      <c r="D51" s="126">
        <f>D25/$B$51</f>
        <v>750.00285409072956</v>
      </c>
      <c r="E51" s="126">
        <f>E25/$B$51</f>
        <v>632.36773512712114</v>
      </c>
      <c r="F51" s="126">
        <f>F25/$B$51</f>
        <v>270.55851675849254</v>
      </c>
      <c r="G51" s="126">
        <f>G25/$B$51</f>
        <v>232.51259687036691</v>
      </c>
      <c r="H51" s="126">
        <f t="shared" si="9"/>
        <v>7092.8635248188839</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6" t="s">
        <v>247</v>
      </c>
      <c r="B55" s="6"/>
      <c r="C55" s="6"/>
      <c r="D55" s="6"/>
      <c r="E55" s="6"/>
      <c r="F55" s="6"/>
      <c r="G55" s="6"/>
      <c r="H55" s="6"/>
    </row>
    <row r="56" spans="1:8" x14ac:dyDescent="0.2">
      <c r="A56" s="36" t="s">
        <v>398</v>
      </c>
      <c r="B56" s="1"/>
      <c r="C56" s="6"/>
      <c r="D56" s="6"/>
      <c r="E56" s="6"/>
      <c r="F56" s="6"/>
      <c r="G56" s="6"/>
      <c r="H56" s="6"/>
    </row>
    <row r="57" spans="1:8" ht="33.75" x14ac:dyDescent="0.2">
      <c r="A57" s="155" t="s">
        <v>245</v>
      </c>
      <c r="B57" s="141" t="s">
        <v>408</v>
      </c>
      <c r="C57" s="141" t="s">
        <v>420</v>
      </c>
      <c r="D57" s="141" t="s">
        <v>421</v>
      </c>
      <c r="E57" s="141" t="s">
        <v>422</v>
      </c>
      <c r="F57" s="141" t="s">
        <v>423</v>
      </c>
      <c r="G57" s="141" t="s">
        <v>405</v>
      </c>
      <c r="H57" s="155" t="s">
        <v>424</v>
      </c>
    </row>
    <row r="58" spans="1:8" x14ac:dyDescent="0.2">
      <c r="A58" s="1" t="s">
        <v>102</v>
      </c>
      <c r="B58" s="6">
        <f t="shared" ref="B58:B63" si="10">B4</f>
        <v>34874</v>
      </c>
      <c r="C58" s="9">
        <f>C4/$H$4</f>
        <v>0.80113576834418188</v>
      </c>
      <c r="D58" s="9">
        <f>D4/$H$4</f>
        <v>0.10178712468130047</v>
      </c>
      <c r="E58" s="9">
        <f>E4/$H$4</f>
        <v>5.7706882475886956E-2</v>
      </c>
      <c r="F58" s="9">
        <f>F4/$H$4</f>
        <v>1.4764897784350054E-2</v>
      </c>
      <c r="G58" s="9">
        <f>G4/$H$4</f>
        <v>2.4605326714280562E-2</v>
      </c>
      <c r="H58" s="9">
        <f>SUM(C58:G58)</f>
        <v>1</v>
      </c>
    </row>
    <row r="59" spans="1:8" x14ac:dyDescent="0.2">
      <c r="A59" s="1" t="s">
        <v>76</v>
      </c>
      <c r="B59" s="6">
        <f t="shared" si="10"/>
        <v>22782</v>
      </c>
      <c r="C59" s="9">
        <f>C5/$H$5</f>
        <v>0.74691785043564174</v>
      </c>
      <c r="D59" s="9">
        <f>D5/$H$5</f>
        <v>7.665319223819328E-2</v>
      </c>
      <c r="E59" s="9">
        <f>E5/$H$5</f>
        <v>7.9695210188311327E-2</v>
      </c>
      <c r="F59" s="9">
        <f>F5/$H$5</f>
        <v>5.6573197430618574E-2</v>
      </c>
      <c r="G59" s="9">
        <f>G5/$H$5</f>
        <v>4.0160549707235135E-2</v>
      </c>
      <c r="H59" s="9">
        <f t="shared" ref="H59:H79" si="11">SUM(C59:G59)</f>
        <v>1</v>
      </c>
    </row>
    <row r="60" spans="1:8" x14ac:dyDescent="0.2">
      <c r="A60" s="1" t="s">
        <v>77</v>
      </c>
      <c r="B60" s="6">
        <f t="shared" si="10"/>
        <v>12060</v>
      </c>
      <c r="C60" s="9">
        <f>C6/$H$6</f>
        <v>0.75412251919282758</v>
      </c>
      <c r="D60" s="9">
        <f>D6/$H$6</f>
        <v>8.1105085524737844E-2</v>
      </c>
      <c r="E60" s="9">
        <f>E6/$H$6</f>
        <v>9.7606606823600534E-2</v>
      </c>
      <c r="F60" s="9">
        <f>F6/$H$6</f>
        <v>5.2187147531070815E-2</v>
      </c>
      <c r="G60" s="9">
        <f>G6/$H$6</f>
        <v>1.4978640927763204E-2</v>
      </c>
      <c r="H60" s="9">
        <f t="shared" si="11"/>
        <v>1</v>
      </c>
    </row>
    <row r="61" spans="1:8" x14ac:dyDescent="0.2">
      <c r="A61" s="1" t="s">
        <v>78</v>
      </c>
      <c r="B61" s="6">
        <f t="shared" si="10"/>
        <v>13847</v>
      </c>
      <c r="C61" s="9">
        <f>C7/$H$7</f>
        <v>0.72154661194769032</v>
      </c>
      <c r="D61" s="9">
        <f>D7/$H$7</f>
        <v>0.10690608930575701</v>
      </c>
      <c r="E61" s="9">
        <f>E7/$H$7</f>
        <v>0.10242247745820988</v>
      </c>
      <c r="F61" s="9">
        <f>F7/$H$7</f>
        <v>2.7305762945110994E-2</v>
      </c>
      <c r="G61" s="9">
        <f>G7/$H$7</f>
        <v>4.1819058343231935E-2</v>
      </c>
      <c r="H61" s="9">
        <f t="shared" si="11"/>
        <v>1</v>
      </c>
    </row>
    <row r="62" spans="1:8" x14ac:dyDescent="0.2">
      <c r="A62" s="1" t="s">
        <v>79</v>
      </c>
      <c r="B62" s="6">
        <f t="shared" si="10"/>
        <v>6286</v>
      </c>
      <c r="C62" s="9">
        <f>C8/$H$8</f>
        <v>0.68616476126602077</v>
      </c>
      <c r="D62" s="9">
        <f>D8/$H$8</f>
        <v>0.12691285747620284</v>
      </c>
      <c r="E62" s="9">
        <f>E8/$H$8</f>
        <v>0.1104497002586038</v>
      </c>
      <c r="F62" s="9">
        <f>F8/$H$8</f>
        <v>4.3207227195262647E-2</v>
      </c>
      <c r="G62" s="9">
        <f>G8/$H$8</f>
        <v>3.3265453803909904E-2</v>
      </c>
      <c r="H62" s="9">
        <f t="shared" si="11"/>
        <v>0.99999999999999989</v>
      </c>
    </row>
    <row r="63" spans="1:8" x14ac:dyDescent="0.2">
      <c r="A63" s="1" t="s">
        <v>80</v>
      </c>
      <c r="B63" s="6">
        <f t="shared" si="10"/>
        <v>1492</v>
      </c>
      <c r="C63" s="9">
        <f>C9/$H$9</f>
        <v>0.63167695123881551</v>
      </c>
      <c r="D63" s="9">
        <f>D9/$H$9</f>
        <v>0.19708440561922952</v>
      </c>
      <c r="E63" s="9">
        <f>E9/$H$9</f>
        <v>0.12619543122436627</v>
      </c>
      <c r="F63" s="9">
        <f>F9/$H$9</f>
        <v>3.5364309774328431E-2</v>
      </c>
      <c r="G63" s="9">
        <f>G9/$H$9</f>
        <v>9.6789021432602852E-3</v>
      </c>
      <c r="H63" s="9">
        <f t="shared" si="11"/>
        <v>1</v>
      </c>
    </row>
    <row r="64" spans="1:8" ht="13.5" thickBot="1" x14ac:dyDescent="0.25">
      <c r="A64" s="15" t="s">
        <v>103</v>
      </c>
      <c r="B64" s="15"/>
      <c r="C64" s="11">
        <f>C10/$H$10</f>
        <v>0.7556934425936529</v>
      </c>
      <c r="D64" s="11">
        <f>D10/$H$10</f>
        <v>9.6902419786024652E-2</v>
      </c>
      <c r="E64" s="11">
        <f>E10/$H$10</f>
        <v>8.1582906451119902E-2</v>
      </c>
      <c r="F64" s="11">
        <f>F10/$H$10</f>
        <v>3.5478825547723032E-2</v>
      </c>
      <c r="G64" s="11">
        <f>G10/$H$10</f>
        <v>3.0342405621479433E-2</v>
      </c>
      <c r="H64" s="11">
        <f t="shared" si="11"/>
        <v>0.99999999999999989</v>
      </c>
    </row>
    <row r="65" spans="1:8" ht="13.5" thickTop="1" x14ac:dyDescent="0.2">
      <c r="A65" s="1"/>
      <c r="B65" s="1"/>
      <c r="C65" s="9"/>
      <c r="D65" s="9"/>
      <c r="E65" s="9"/>
      <c r="F65" s="9"/>
      <c r="G65" s="9"/>
      <c r="H65" s="9"/>
    </row>
    <row r="66" spans="1:8" x14ac:dyDescent="0.2">
      <c r="A66" s="1"/>
      <c r="B66" s="1"/>
      <c r="C66" s="9"/>
      <c r="D66" s="9"/>
      <c r="E66" s="9"/>
      <c r="F66" s="9"/>
      <c r="G66" s="9"/>
      <c r="H66" s="9"/>
    </row>
    <row r="67" spans="1:8" x14ac:dyDescent="0.2">
      <c r="A67" s="1" t="s">
        <v>81</v>
      </c>
      <c r="B67" s="6">
        <f t="shared" ref="B67:B72" si="12">B13</f>
        <v>22879</v>
      </c>
      <c r="C67" s="9">
        <f>C13/$H$13</f>
        <v>0.72523816612739289</v>
      </c>
      <c r="D67" s="9">
        <f>D13/$H$13</f>
        <v>0.12307095014879894</v>
      </c>
      <c r="E67" s="9">
        <f>E13/$H$13</f>
        <v>7.8397946832817603E-2</v>
      </c>
      <c r="F67" s="9">
        <f>F13/$H$13</f>
        <v>2.1670690623651605E-2</v>
      </c>
      <c r="G67" s="9">
        <f>G13/$H$13</f>
        <v>5.1622246267338856E-2</v>
      </c>
      <c r="H67" s="9">
        <f t="shared" si="11"/>
        <v>1</v>
      </c>
    </row>
    <row r="68" spans="1:8" x14ac:dyDescent="0.2">
      <c r="A68" s="1" t="s">
        <v>82</v>
      </c>
      <c r="B68" s="6">
        <f t="shared" si="12"/>
        <v>9866</v>
      </c>
      <c r="C68" s="9">
        <f>C14/$H$14</f>
        <v>0.73030987666709035</v>
      </c>
      <c r="D68" s="9">
        <f>D14/$H$14</f>
        <v>9.8469391030994793E-2</v>
      </c>
      <c r="E68" s="9">
        <f>E14/$H$14</f>
        <v>0.11471477127075387</v>
      </c>
      <c r="F68" s="9">
        <f>F14/$H$14</f>
        <v>4.3211911811271118E-2</v>
      </c>
      <c r="G68" s="9">
        <f>G14/$H$14</f>
        <v>1.3294049219889838E-2</v>
      </c>
      <c r="H68" s="9">
        <f t="shared" si="11"/>
        <v>1</v>
      </c>
    </row>
    <row r="69" spans="1:8" x14ac:dyDescent="0.2">
      <c r="A69" s="1" t="s">
        <v>83</v>
      </c>
      <c r="B69" s="6">
        <f t="shared" si="12"/>
        <v>4940</v>
      </c>
      <c r="C69" s="9">
        <f>C15/$H$15</f>
        <v>0.67722678342683973</v>
      </c>
      <c r="D69" s="9">
        <f>D15/$H$15</f>
        <v>0.13277390312358822</v>
      </c>
      <c r="E69" s="9">
        <f>E15/$H$15</f>
        <v>0.11905436044197185</v>
      </c>
      <c r="F69" s="9">
        <f>F15/$H$15</f>
        <v>3.9025338697221496E-2</v>
      </c>
      <c r="G69" s="9">
        <f>G15/$H$15</f>
        <v>3.1919614310378867E-2</v>
      </c>
      <c r="H69" s="9">
        <f t="shared" si="11"/>
        <v>1</v>
      </c>
    </row>
    <row r="70" spans="1:8" x14ac:dyDescent="0.2">
      <c r="A70" s="1" t="s">
        <v>84</v>
      </c>
      <c r="B70" s="6">
        <f t="shared" si="12"/>
        <v>5024</v>
      </c>
      <c r="C70" s="9">
        <f>C16/$H$16</f>
        <v>0.66853091283030508</v>
      </c>
      <c r="D70" s="9">
        <f>D16/$H$16</f>
        <v>0.13492398482433668</v>
      </c>
      <c r="E70" s="9">
        <f>E16/$H$16</f>
        <v>0.12454410805445605</v>
      </c>
      <c r="F70" s="9">
        <f>F16/$H$16</f>
        <v>4.9504988847072155E-2</v>
      </c>
      <c r="G70" s="9">
        <f>G16/$H$16</f>
        <v>2.2496005443829972E-2</v>
      </c>
      <c r="H70" s="9">
        <f t="shared" si="11"/>
        <v>0.99999999999999989</v>
      </c>
    </row>
    <row r="71" spans="1:8" x14ac:dyDescent="0.2">
      <c r="A71" s="14" t="s">
        <v>85</v>
      </c>
      <c r="B71" s="6">
        <f t="shared" si="12"/>
        <v>1460</v>
      </c>
      <c r="C71" s="9">
        <f>C17/$H$17</f>
        <v>0.67001395087793458</v>
      </c>
      <c r="D71" s="9">
        <f>D17/$H$17</f>
        <v>0.14242220338244904</v>
      </c>
      <c r="E71" s="9">
        <f>E17/$H$17</f>
        <v>0.11464476310146454</v>
      </c>
      <c r="F71" s="9">
        <f>F17/$H$17</f>
        <v>4.726488741252035E-2</v>
      </c>
      <c r="G71" s="9">
        <f>G17/$H$17</f>
        <v>2.5654195225631504E-2</v>
      </c>
      <c r="H71" s="9">
        <f t="shared" si="11"/>
        <v>1</v>
      </c>
    </row>
    <row r="72" spans="1:8" ht="13.5" thickBot="1" x14ac:dyDescent="0.25">
      <c r="A72" s="15" t="s">
        <v>104</v>
      </c>
      <c r="B72" s="8">
        <f t="shared" si="12"/>
        <v>44169</v>
      </c>
      <c r="C72" s="11">
        <f>C18/$H$18</f>
        <v>0.70886185401473356</v>
      </c>
      <c r="D72" s="11">
        <f>D18/$H$18</f>
        <v>0.12203591377840792</v>
      </c>
      <c r="E72" s="11">
        <f>E18/$H$18</f>
        <v>9.9772045494347469E-2</v>
      </c>
      <c r="F72" s="11">
        <f>F18/$H$18</f>
        <v>3.3831241485414464E-2</v>
      </c>
      <c r="G72" s="11">
        <f>G18/$H$18</f>
        <v>3.549894522709645E-2</v>
      </c>
      <c r="H72" s="11">
        <f t="shared" si="11"/>
        <v>0.99999999999999989</v>
      </c>
    </row>
    <row r="73" spans="1:8" ht="13.5" thickTop="1" x14ac:dyDescent="0.2">
      <c r="A73" s="1"/>
      <c r="B73" s="1"/>
      <c r="C73" s="9"/>
      <c r="D73" s="9"/>
      <c r="E73" s="9"/>
      <c r="F73" s="9"/>
      <c r="G73" s="9"/>
      <c r="H73" s="9"/>
    </row>
    <row r="74" spans="1:8" x14ac:dyDescent="0.2">
      <c r="A74" s="1"/>
      <c r="B74" s="1"/>
      <c r="C74" s="9"/>
      <c r="D74" s="9"/>
      <c r="E74" s="9"/>
      <c r="F74" s="9"/>
      <c r="G74" s="9"/>
      <c r="H74" s="9"/>
    </row>
    <row r="75" spans="1:8" x14ac:dyDescent="0.2">
      <c r="A75" s="1" t="s">
        <v>86</v>
      </c>
      <c r="B75" s="6">
        <f>B47</f>
        <v>12059</v>
      </c>
      <c r="C75" s="9">
        <f>C21/$H$21</f>
        <v>0.72483995845792337</v>
      </c>
      <c r="D75" s="9">
        <f>D21/$H$21</f>
        <v>0.10840692645175021</v>
      </c>
      <c r="E75" s="9">
        <f>E21/$H$21</f>
        <v>8.3809489774117452E-2</v>
      </c>
      <c r="F75" s="9">
        <f>F21/$H$21</f>
        <v>3.5191262067771074E-2</v>
      </c>
      <c r="G75" s="9">
        <f>G21/$H$21</f>
        <v>4.7752363248437908E-2</v>
      </c>
      <c r="H75" s="9">
        <f t="shared" si="11"/>
        <v>1</v>
      </c>
    </row>
    <row r="76" spans="1:8" x14ac:dyDescent="0.2">
      <c r="A76" s="1" t="s">
        <v>87</v>
      </c>
      <c r="B76" s="6">
        <f>B48</f>
        <v>6890</v>
      </c>
      <c r="C76" s="9">
        <f>C22/$H$22</f>
        <v>0.67850720964904376</v>
      </c>
      <c r="D76" s="9">
        <f>D22/$H$22</f>
        <v>0.10048117938815958</v>
      </c>
      <c r="E76" s="9">
        <f>E22/$H$22</f>
        <v>0.11035356778458574</v>
      </c>
      <c r="F76" s="9">
        <f>F22/$H$22</f>
        <v>8.7154150054388493E-2</v>
      </c>
      <c r="G76" s="9">
        <f>G22/$H$22</f>
        <v>2.3503893123822516E-2</v>
      </c>
      <c r="H76" s="9">
        <f t="shared" si="11"/>
        <v>1.0000000000000002</v>
      </c>
    </row>
    <row r="77" spans="1:8" ht="13.5" thickBot="1" x14ac:dyDescent="0.25">
      <c r="A77" s="15" t="s">
        <v>105</v>
      </c>
      <c r="B77" s="15"/>
      <c r="C77" s="11">
        <f>C23/$H$23</f>
        <v>0.70353713268466778</v>
      </c>
      <c r="D77" s="11">
        <f>D23/$H$23</f>
        <v>0.10476283424571634</v>
      </c>
      <c r="E77" s="11">
        <f>E23/$H$23</f>
        <v>9.6013899909618464E-2</v>
      </c>
      <c r="F77" s="11">
        <f>F23/$H$23</f>
        <v>5.9082707706367935E-2</v>
      </c>
      <c r="G77" s="11">
        <f>G23/$H$23</f>
        <v>3.6603425453629622E-2</v>
      </c>
      <c r="H77" s="11">
        <f t="shared" si="11"/>
        <v>1.0000000000000002</v>
      </c>
    </row>
    <row r="78" spans="1:8" ht="13.5" thickTop="1" x14ac:dyDescent="0.2">
      <c r="A78" s="1"/>
      <c r="B78" s="1"/>
      <c r="C78" s="9"/>
      <c r="D78" s="9"/>
      <c r="E78" s="9"/>
      <c r="F78" s="9"/>
      <c r="G78" s="9"/>
      <c r="H78" s="9"/>
    </row>
    <row r="79" spans="1:8" ht="13.5" thickBot="1" x14ac:dyDescent="0.25">
      <c r="A79" s="128" t="s">
        <v>230</v>
      </c>
      <c r="B79" s="128"/>
      <c r="C79" s="127">
        <f>C25/$H$25</f>
        <v>0.73417764260523333</v>
      </c>
      <c r="D79" s="127">
        <f>D25/$H$25</f>
        <v>0.10574048851586791</v>
      </c>
      <c r="E79" s="127">
        <f>E25/$H$25</f>
        <v>8.9155491701536513E-2</v>
      </c>
      <c r="F79" s="127">
        <f>F25/$H$25</f>
        <v>3.8145174485843675E-2</v>
      </c>
      <c r="G79" s="127">
        <f>G25/$H$25</f>
        <v>3.2781202691518602E-2</v>
      </c>
      <c r="H79" s="127">
        <f t="shared" si="11"/>
        <v>1</v>
      </c>
    </row>
    <row r="80" spans="1:8" x14ac:dyDescent="0.2">
      <c r="H80" s="9"/>
    </row>
    <row r="81" spans="8:8" x14ac:dyDescent="0.2">
      <c r="H81" s="9"/>
    </row>
    <row r="82" spans="8:8" x14ac:dyDescent="0.2">
      <c r="H82" s="9"/>
    </row>
  </sheetData>
  <phoneticPr fontId="7" type="noConversion"/>
  <pageMargins left="0.25" right="0.25" top="1" bottom="1" header="0.5" footer="0.5"/>
  <pageSetup orientation="landscape" r:id="rId1"/>
  <headerFooter alignWithMargins="0">
    <oddFooter>&amp;L&amp;Z&amp;F</oddFooter>
  </headerFooter>
  <rowBreaks count="2" manualBreakCount="2">
    <brk id="25" max="16383" man="1"/>
    <brk id="52" max="8" man="1"/>
  </row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75"/>
  <dimension ref="A1:I82"/>
  <sheetViews>
    <sheetView workbookViewId="0">
      <selection activeCell="C32" sqref="C32"/>
    </sheetView>
  </sheetViews>
  <sheetFormatPr defaultRowHeight="12.75" x14ac:dyDescent="0.2"/>
  <cols>
    <col min="1" max="1" width="17.7109375" customWidth="1"/>
    <col min="2" max="2" width="9.28515625" bestFit="1" customWidth="1"/>
    <col min="3" max="3" width="10.140625" bestFit="1" customWidth="1"/>
    <col min="4" max="4" width="9.7109375" bestFit="1" customWidth="1"/>
    <col min="5" max="7" width="9.28515625" bestFit="1" customWidth="1"/>
    <col min="8" max="8" width="11.7109375" customWidth="1"/>
    <col min="9" max="9" width="9.140625" style="122"/>
  </cols>
  <sheetData>
    <row r="1" spans="1:9" x14ac:dyDescent="0.2">
      <c r="A1" s="36" t="s">
        <v>247</v>
      </c>
    </row>
    <row r="2" spans="1:9" x14ac:dyDescent="0.2">
      <c r="A2" s="22" t="s">
        <v>275</v>
      </c>
    </row>
    <row r="3" spans="1:9" ht="22.5" x14ac:dyDescent="0.2">
      <c r="A3" s="155" t="s">
        <v>245</v>
      </c>
      <c r="B3" s="141" t="s">
        <v>235</v>
      </c>
      <c r="C3" s="141" t="s">
        <v>89</v>
      </c>
      <c r="D3" s="141" t="s">
        <v>90</v>
      </c>
      <c r="E3" s="141" t="s">
        <v>91</v>
      </c>
      <c r="F3" s="141" t="s">
        <v>92</v>
      </c>
      <c r="G3" s="141" t="s">
        <v>93</v>
      </c>
      <c r="H3" s="141" t="s">
        <v>106</v>
      </c>
      <c r="I3" s="141" t="s">
        <v>452</v>
      </c>
    </row>
    <row r="4" spans="1:9" x14ac:dyDescent="0.2">
      <c r="A4" s="83" t="s">
        <v>102</v>
      </c>
      <c r="B4" s="6">
        <v>35570</v>
      </c>
      <c r="C4" s="6">
        <v>165286267.11000001</v>
      </c>
      <c r="D4" s="6">
        <v>21769280.280000001</v>
      </c>
      <c r="E4" s="6">
        <v>12095433.15</v>
      </c>
      <c r="F4" s="6">
        <v>2593705.6800000002</v>
      </c>
      <c r="G4" s="6">
        <v>4707445.26</v>
      </c>
      <c r="H4" s="6">
        <f>SUM(C4:G4)</f>
        <v>206452131.48000002</v>
      </c>
      <c r="I4" s="6">
        <f>H4/B4</f>
        <v>5804.1082788867025</v>
      </c>
    </row>
    <row r="5" spans="1:9" x14ac:dyDescent="0.2">
      <c r="A5" s="1" t="s">
        <v>76</v>
      </c>
      <c r="B5" s="6">
        <v>24009</v>
      </c>
      <c r="C5" s="6">
        <v>116509004.33</v>
      </c>
      <c r="D5" s="6">
        <v>11700122.09</v>
      </c>
      <c r="E5" s="6">
        <v>11706172.25</v>
      </c>
      <c r="F5" s="6">
        <v>4682691.16</v>
      </c>
      <c r="G5" s="6">
        <v>5498765.21</v>
      </c>
      <c r="H5" s="6">
        <f t="shared" ref="H5:H10" si="0">SUM(C5:G5)</f>
        <v>150096755.04000002</v>
      </c>
      <c r="I5" s="6">
        <f t="shared" ref="I5:I10" si="1">H5/B5</f>
        <v>6251.6870773459959</v>
      </c>
    </row>
    <row r="6" spans="1:9" x14ac:dyDescent="0.2">
      <c r="A6" s="1" t="s">
        <v>77</v>
      </c>
      <c r="B6" s="6">
        <v>12224</v>
      </c>
      <c r="C6" s="6">
        <v>64865522.359999999</v>
      </c>
      <c r="D6" s="6">
        <v>7811101.5700000003</v>
      </c>
      <c r="E6" s="6">
        <v>8993619.2599999998</v>
      </c>
      <c r="F6" s="6">
        <v>3373144.56</v>
      </c>
      <c r="G6" s="6">
        <v>1773901.55</v>
      </c>
      <c r="H6" s="6">
        <f t="shared" si="0"/>
        <v>86817289.300000012</v>
      </c>
      <c r="I6" s="6">
        <f t="shared" si="1"/>
        <v>7102.199713678011</v>
      </c>
    </row>
    <row r="7" spans="1:9" x14ac:dyDescent="0.2">
      <c r="A7" s="1" t="s">
        <v>78</v>
      </c>
      <c r="B7" s="6">
        <v>13555</v>
      </c>
      <c r="C7" s="6">
        <v>61596419.130000003</v>
      </c>
      <c r="D7" s="6">
        <v>8975071.8000000007</v>
      </c>
      <c r="E7" s="6">
        <v>8308909.2400000002</v>
      </c>
      <c r="F7" s="6">
        <v>2078174.73</v>
      </c>
      <c r="G7" s="6">
        <v>3353130.98</v>
      </c>
      <c r="H7" s="6">
        <f t="shared" si="0"/>
        <v>84311705.88000001</v>
      </c>
      <c r="I7" s="6">
        <f t="shared" si="1"/>
        <v>6219.9709243821471</v>
      </c>
    </row>
    <row r="8" spans="1:9" x14ac:dyDescent="0.2">
      <c r="A8" s="1" t="s">
        <v>79</v>
      </c>
      <c r="B8" s="6">
        <v>6320</v>
      </c>
      <c r="C8" s="6">
        <v>32370498.800000001</v>
      </c>
      <c r="D8" s="6">
        <v>5951736.1299999999</v>
      </c>
      <c r="E8" s="6">
        <v>5149891.87</v>
      </c>
      <c r="F8" s="6">
        <v>1718653.51</v>
      </c>
      <c r="G8" s="6">
        <v>1334749.6499999999</v>
      </c>
      <c r="H8" s="6">
        <f t="shared" si="0"/>
        <v>46525529.959999993</v>
      </c>
      <c r="I8" s="6">
        <f t="shared" si="1"/>
        <v>7361.6344873417711</v>
      </c>
    </row>
    <row r="9" spans="1:9" x14ac:dyDescent="0.2">
      <c r="A9" s="14" t="s">
        <v>80</v>
      </c>
      <c r="B9" s="7">
        <v>1638</v>
      </c>
      <c r="C9" s="7">
        <v>6305971.6600000001</v>
      </c>
      <c r="D9" s="7">
        <v>2099730.21</v>
      </c>
      <c r="E9" s="7">
        <v>1196778.3799999999</v>
      </c>
      <c r="F9" s="7">
        <v>299828.21999999997</v>
      </c>
      <c r="G9" s="7">
        <v>126367.53</v>
      </c>
      <c r="H9" s="7">
        <f t="shared" si="0"/>
        <v>10028676</v>
      </c>
      <c r="I9" s="6">
        <f t="shared" si="1"/>
        <v>6122.5128205128203</v>
      </c>
    </row>
    <row r="10" spans="1:9" ht="13.5" thickBot="1" x14ac:dyDescent="0.25">
      <c r="A10" s="15" t="s">
        <v>103</v>
      </c>
      <c r="B10" s="27">
        <f t="shared" ref="B10:G10" si="2">SUM(B4:B9)</f>
        <v>93316</v>
      </c>
      <c r="C10" s="27">
        <f t="shared" si="2"/>
        <v>446933683.39000005</v>
      </c>
      <c r="D10" s="27">
        <f t="shared" si="2"/>
        <v>58307042.079999998</v>
      </c>
      <c r="E10" s="27">
        <f t="shared" si="2"/>
        <v>47450804.149999999</v>
      </c>
      <c r="F10" s="27">
        <f t="shared" si="2"/>
        <v>14746197.860000001</v>
      </c>
      <c r="G10" s="27">
        <f t="shared" si="2"/>
        <v>16794360.18</v>
      </c>
      <c r="H10" s="8">
        <f t="shared" si="0"/>
        <v>584232087.65999997</v>
      </c>
      <c r="I10" s="8">
        <f t="shared" si="1"/>
        <v>6260.7922291997083</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22945</v>
      </c>
      <c r="C13" s="6">
        <v>111450951.98</v>
      </c>
      <c r="D13" s="6">
        <v>20504382.93</v>
      </c>
      <c r="E13" s="6">
        <v>11750753.439999999</v>
      </c>
      <c r="F13" s="6">
        <v>4133554.04</v>
      </c>
      <c r="G13" s="6">
        <v>6471097.79</v>
      </c>
      <c r="H13" s="6">
        <f t="shared" ref="H13:H25" si="3">SUM(C13:G13)</f>
        <v>154310740.17999998</v>
      </c>
      <c r="I13" s="6">
        <f t="shared" ref="I13:I18" si="4">H13/B13</f>
        <v>6725.2447234691645</v>
      </c>
    </row>
    <row r="14" spans="1:9" x14ac:dyDescent="0.2">
      <c r="A14" s="1" t="s">
        <v>82</v>
      </c>
      <c r="B14" s="6">
        <v>10221</v>
      </c>
      <c r="C14" s="6">
        <v>49773813.009999998</v>
      </c>
      <c r="D14" s="6">
        <v>7007743.04</v>
      </c>
      <c r="E14" s="6">
        <v>7749923.0700000003</v>
      </c>
      <c r="F14" s="6">
        <v>4329834.7</v>
      </c>
      <c r="G14" s="6">
        <v>750855.43</v>
      </c>
      <c r="H14" s="6">
        <f t="shared" si="3"/>
        <v>69612169.25</v>
      </c>
      <c r="I14" s="6">
        <f t="shared" si="4"/>
        <v>6810.7004451619214</v>
      </c>
    </row>
    <row r="15" spans="1:9" x14ac:dyDescent="0.2">
      <c r="A15" s="1" t="s">
        <v>83</v>
      </c>
      <c r="B15" s="6">
        <v>4767</v>
      </c>
      <c r="C15" s="6">
        <v>25528025.84</v>
      </c>
      <c r="D15" s="6">
        <v>4913434.6100000003</v>
      </c>
      <c r="E15" s="6">
        <v>4066025.49</v>
      </c>
      <c r="F15" s="6">
        <v>1944805.21</v>
      </c>
      <c r="G15" s="6">
        <v>1210731.8999999999</v>
      </c>
      <c r="H15" s="6">
        <f t="shared" si="3"/>
        <v>37663023.049999997</v>
      </c>
      <c r="I15" s="6">
        <f t="shared" si="4"/>
        <v>7900.7810048248366</v>
      </c>
    </row>
    <row r="16" spans="1:9" x14ac:dyDescent="0.2">
      <c r="A16" s="1" t="s">
        <v>84</v>
      </c>
      <c r="B16" s="6">
        <v>5471</v>
      </c>
      <c r="C16" s="6">
        <v>34930525.960000001</v>
      </c>
      <c r="D16" s="6">
        <v>7423092.6500000004</v>
      </c>
      <c r="E16" s="6">
        <v>7250026.7000000002</v>
      </c>
      <c r="F16" s="6">
        <v>2380442.85</v>
      </c>
      <c r="G16" s="6">
        <v>1110101.32</v>
      </c>
      <c r="H16" s="6">
        <f t="shared" si="3"/>
        <v>53094189.480000004</v>
      </c>
      <c r="I16" s="6">
        <f t="shared" si="4"/>
        <v>9704.6590166331571</v>
      </c>
    </row>
    <row r="17" spans="1:9" x14ac:dyDescent="0.2">
      <c r="A17" s="14" t="s">
        <v>85</v>
      </c>
      <c r="B17" s="6">
        <v>1316</v>
      </c>
      <c r="C17" s="6">
        <v>11148599.550000001</v>
      </c>
      <c r="D17" s="6">
        <v>2332267.4</v>
      </c>
      <c r="E17" s="6">
        <v>2033678.66</v>
      </c>
      <c r="F17" s="6">
        <v>799968.82</v>
      </c>
      <c r="G17" s="6">
        <v>293743.14</v>
      </c>
      <c r="H17" s="6">
        <f t="shared" si="3"/>
        <v>16608257.570000002</v>
      </c>
      <c r="I17" s="6">
        <f t="shared" si="4"/>
        <v>12620.256512158056</v>
      </c>
    </row>
    <row r="18" spans="1:9" ht="13.5" thickBot="1" x14ac:dyDescent="0.25">
      <c r="A18" s="15" t="s">
        <v>104</v>
      </c>
      <c r="B18" s="8">
        <f t="shared" ref="B18:G18" si="5">SUM(B13:B17)</f>
        <v>44720</v>
      </c>
      <c r="C18" s="8">
        <f t="shared" si="5"/>
        <v>232831916.34000003</v>
      </c>
      <c r="D18" s="8">
        <f t="shared" si="5"/>
        <v>42180920.629999995</v>
      </c>
      <c r="E18" s="8">
        <f t="shared" si="5"/>
        <v>32850407.359999999</v>
      </c>
      <c r="F18" s="8">
        <f t="shared" si="5"/>
        <v>13588605.619999999</v>
      </c>
      <c r="G18" s="8">
        <f t="shared" si="5"/>
        <v>9836529.5800000001</v>
      </c>
      <c r="H18" s="8">
        <f t="shared" si="3"/>
        <v>331288379.53000003</v>
      </c>
      <c r="I18" s="8">
        <f t="shared" si="4"/>
        <v>7408.0585762522369</v>
      </c>
    </row>
    <row r="19" spans="1:9" ht="13.5" thickTop="1" x14ac:dyDescent="0.2">
      <c r="A19" s="1"/>
      <c r="B19" s="6"/>
      <c r="C19" s="6"/>
      <c r="D19" s="6"/>
      <c r="E19" s="6"/>
      <c r="F19" s="6"/>
      <c r="G19" s="6"/>
      <c r="H19" s="6"/>
    </row>
    <row r="20" spans="1:9" x14ac:dyDescent="0.2">
      <c r="A20" s="1"/>
      <c r="C20" s="6"/>
      <c r="D20" s="6"/>
      <c r="E20" s="6"/>
      <c r="F20" s="6"/>
      <c r="G20" s="6"/>
      <c r="H20" s="6"/>
    </row>
    <row r="21" spans="1:9" x14ac:dyDescent="0.2">
      <c r="A21" s="1" t="s">
        <v>86</v>
      </c>
      <c r="B21" s="6">
        <v>12246</v>
      </c>
      <c r="C21" s="6">
        <v>55800197.119999997</v>
      </c>
      <c r="D21" s="6">
        <v>8913372.9499999993</v>
      </c>
      <c r="E21" s="6">
        <v>6612151.29</v>
      </c>
      <c r="F21" s="6">
        <v>2705316.42</v>
      </c>
      <c r="G21" s="6">
        <v>3679983.92</v>
      </c>
      <c r="H21" s="6">
        <f t="shared" si="3"/>
        <v>77711021.700000003</v>
      </c>
      <c r="I21" s="6">
        <f>H21/B21</f>
        <v>6345.8289808917198</v>
      </c>
    </row>
    <row r="22" spans="1:9" x14ac:dyDescent="0.2">
      <c r="A22" s="14" t="s">
        <v>87</v>
      </c>
      <c r="B22" s="6">
        <v>7215</v>
      </c>
      <c r="C22" s="6">
        <v>45259150.359999999</v>
      </c>
      <c r="D22" s="6">
        <v>7059508.71</v>
      </c>
      <c r="E22" s="6">
        <v>7313836.1500000004</v>
      </c>
      <c r="F22" s="6">
        <v>3808448.73</v>
      </c>
      <c r="G22" s="6">
        <v>1792520.12</v>
      </c>
      <c r="H22" s="6">
        <f t="shared" si="3"/>
        <v>65233464.069999993</v>
      </c>
      <c r="I22" s="6">
        <f>H22/B22</f>
        <v>9041.3671614691611</v>
      </c>
    </row>
    <row r="23" spans="1:9" ht="13.5" thickBot="1" x14ac:dyDescent="0.25">
      <c r="A23" s="15" t="s">
        <v>105</v>
      </c>
      <c r="B23" s="8">
        <f>SUM(B21:B22)</f>
        <v>19461</v>
      </c>
      <c r="C23" s="8">
        <f t="shared" ref="C23:H23" si="6">SUM(C21:C22)</f>
        <v>101059347.47999999</v>
      </c>
      <c r="D23" s="8">
        <f t="shared" si="6"/>
        <v>15972881.66</v>
      </c>
      <c r="E23" s="8">
        <f t="shared" si="6"/>
        <v>13925987.440000001</v>
      </c>
      <c r="F23" s="8">
        <f t="shared" si="6"/>
        <v>6513765.1500000004</v>
      </c>
      <c r="G23" s="8">
        <f t="shared" si="6"/>
        <v>5472504.04</v>
      </c>
      <c r="H23" s="8">
        <f t="shared" si="6"/>
        <v>142944485.76999998</v>
      </c>
      <c r="I23" s="8">
        <f>H23/B23</f>
        <v>7345.1768033502894</v>
      </c>
    </row>
    <row r="24" spans="1:9" ht="14.25" thickTop="1" thickBot="1" x14ac:dyDescent="0.25">
      <c r="A24" s="1"/>
      <c r="B24" s="25"/>
      <c r="C24" s="25"/>
      <c r="D24" s="25"/>
      <c r="E24" s="25"/>
      <c r="F24" s="25"/>
      <c r="G24" s="25"/>
      <c r="H24" s="25"/>
      <c r="I24" s="6"/>
    </row>
    <row r="25" spans="1:9" ht="13.5" thickBot="1" x14ac:dyDescent="0.25">
      <c r="A25" s="128" t="s">
        <v>209</v>
      </c>
      <c r="B25" s="27">
        <f t="shared" ref="B25:G25" si="7">B10+B18+B23</f>
        <v>157497</v>
      </c>
      <c r="C25" s="27">
        <f t="shared" si="7"/>
        <v>780824947.21000004</v>
      </c>
      <c r="D25" s="27">
        <f t="shared" si="7"/>
        <v>116460844.36999999</v>
      </c>
      <c r="E25" s="27">
        <f t="shared" si="7"/>
        <v>94227198.949999988</v>
      </c>
      <c r="F25" s="27">
        <f t="shared" si="7"/>
        <v>34848568.630000003</v>
      </c>
      <c r="G25" s="27">
        <f t="shared" si="7"/>
        <v>32103393.799999997</v>
      </c>
      <c r="H25" s="39">
        <f t="shared" si="3"/>
        <v>1058464952.9599999</v>
      </c>
      <c r="I25" s="8">
        <f>H25/B25</f>
        <v>6720.5404100395554</v>
      </c>
    </row>
    <row r="26" spans="1:9" x14ac:dyDescent="0.2">
      <c r="A26" s="1"/>
      <c r="C26" s="6"/>
      <c r="D26" s="6"/>
      <c r="E26" s="6"/>
      <c r="F26" s="6"/>
      <c r="G26" s="6"/>
    </row>
    <row r="27" spans="1:9" x14ac:dyDescent="0.2">
      <c r="A27" s="36" t="s">
        <v>247</v>
      </c>
      <c r="B27" s="6"/>
      <c r="C27" s="6"/>
      <c r="D27" s="6"/>
      <c r="E27" s="6"/>
      <c r="F27" s="6"/>
      <c r="G27" s="6"/>
      <c r="H27" s="6"/>
    </row>
    <row r="28" spans="1:9" x14ac:dyDescent="0.2">
      <c r="A28" s="36" t="s">
        <v>249</v>
      </c>
      <c r="B28" s="1"/>
      <c r="C28" s="6"/>
      <c r="D28" s="6"/>
      <c r="E28" s="6"/>
      <c r="F28" s="6"/>
      <c r="G28" s="6"/>
      <c r="H28" s="6"/>
    </row>
    <row r="29" spans="1:9" ht="33.75" x14ac:dyDescent="0.2">
      <c r="A29" s="155" t="s">
        <v>245</v>
      </c>
      <c r="B29" s="141" t="s">
        <v>235</v>
      </c>
      <c r="C29" s="141" t="s">
        <v>276</v>
      </c>
      <c r="D29" s="141" t="s">
        <v>277</v>
      </c>
      <c r="E29" s="141" t="s">
        <v>278</v>
      </c>
      <c r="F29" s="141" t="s">
        <v>279</v>
      </c>
      <c r="G29" s="141" t="s">
        <v>242</v>
      </c>
      <c r="H29" s="155" t="s">
        <v>280</v>
      </c>
    </row>
    <row r="30" spans="1:9" x14ac:dyDescent="0.2">
      <c r="A30" s="1" t="s">
        <v>102</v>
      </c>
      <c r="B30" s="6">
        <v>35570</v>
      </c>
      <c r="C30" s="6">
        <f>C4/$B$30</f>
        <v>4646.788504638741</v>
      </c>
      <c r="D30" s="6">
        <f>D4/$B$30</f>
        <v>612.01237784649993</v>
      </c>
      <c r="E30" s="6">
        <f>E4/$B$30</f>
        <v>340.04591369131293</v>
      </c>
      <c r="F30" s="6">
        <f>F4/$B$30</f>
        <v>72.918349170649435</v>
      </c>
      <c r="G30" s="6">
        <f>G4/$B$30</f>
        <v>132.34313353949958</v>
      </c>
      <c r="H30" s="6">
        <f>SUM(C30:G30)</f>
        <v>5804.1082788867025</v>
      </c>
    </row>
    <row r="31" spans="1:9" x14ac:dyDescent="0.2">
      <c r="A31" s="1" t="s">
        <v>76</v>
      </c>
      <c r="B31" s="6">
        <v>24009</v>
      </c>
      <c r="C31" s="6">
        <f>C5/$B$31</f>
        <v>4852.7220763047189</v>
      </c>
      <c r="D31" s="6">
        <f>D5/$B$31</f>
        <v>487.32234120538129</v>
      </c>
      <c r="E31" s="6">
        <f>E5/$B$31</f>
        <v>487.5743367070682</v>
      </c>
      <c r="F31" s="6">
        <f>F5/$B$31</f>
        <v>195.03899204464992</v>
      </c>
      <c r="G31" s="6">
        <f>G5/$B$31</f>
        <v>229.02933108417676</v>
      </c>
      <c r="H31" s="6">
        <f t="shared" ref="H31:H51" si="8">SUM(C31:G31)</f>
        <v>6251.687077345995</v>
      </c>
    </row>
    <row r="32" spans="1:9" x14ac:dyDescent="0.2">
      <c r="A32" s="1" t="s">
        <v>77</v>
      </c>
      <c r="B32" s="6">
        <v>12224</v>
      </c>
      <c r="C32" s="6">
        <f>C6/$B$32</f>
        <v>5306.4072611256543</v>
      </c>
      <c r="D32" s="6">
        <f>D6/$B$32</f>
        <v>638.99718340968593</v>
      </c>
      <c r="E32" s="6">
        <f>E6/$B$32</f>
        <v>735.73455988219894</v>
      </c>
      <c r="F32" s="6">
        <f>F6/$B$32</f>
        <v>275.94441753926702</v>
      </c>
      <c r="G32" s="6">
        <f>G6/$B$32</f>
        <v>145.11629172120419</v>
      </c>
      <c r="H32" s="6">
        <f t="shared" si="8"/>
        <v>7102.1997136780101</v>
      </c>
    </row>
    <row r="33" spans="1:8" x14ac:dyDescent="0.2">
      <c r="A33" s="1" t="s">
        <v>78</v>
      </c>
      <c r="B33" s="6">
        <v>13555</v>
      </c>
      <c r="C33" s="6">
        <f>C7/$B$33</f>
        <v>4544.184369605312</v>
      </c>
      <c r="D33" s="6">
        <f>D7/$B$33</f>
        <v>662.1225968277389</v>
      </c>
      <c r="E33" s="6">
        <f>E7/$B$33</f>
        <v>612.97744300995942</v>
      </c>
      <c r="F33" s="6">
        <f>F7/$B$33</f>
        <v>153.31425525636297</v>
      </c>
      <c r="G33" s="6">
        <f>G7/$B$33</f>
        <v>247.37225968277389</v>
      </c>
      <c r="H33" s="6">
        <f t="shared" si="8"/>
        <v>6219.9709243821471</v>
      </c>
    </row>
    <row r="34" spans="1:8" x14ac:dyDescent="0.2">
      <c r="A34" s="1" t="s">
        <v>79</v>
      </c>
      <c r="B34" s="6">
        <v>6320</v>
      </c>
      <c r="C34" s="6">
        <f>C8/$B$34</f>
        <v>5121.9143670886078</v>
      </c>
      <c r="D34" s="6">
        <f>D8/$B$34</f>
        <v>941.73040031645564</v>
      </c>
      <c r="E34" s="6">
        <f>E8/$B$34</f>
        <v>814.85630854430383</v>
      </c>
      <c r="F34" s="6">
        <f>F8/$B$34</f>
        <v>271.93884651898736</v>
      </c>
      <c r="G34" s="6">
        <f>G8/$B$34</f>
        <v>211.1945648734177</v>
      </c>
      <c r="H34" s="6">
        <f t="shared" si="8"/>
        <v>7361.6344873417729</v>
      </c>
    </row>
    <row r="35" spans="1:8" x14ac:dyDescent="0.2">
      <c r="A35" s="1" t="s">
        <v>80</v>
      </c>
      <c r="B35" s="7">
        <v>1638</v>
      </c>
      <c r="C35" s="6">
        <f>C9/$B$35</f>
        <v>3849.7995482295482</v>
      </c>
      <c r="D35" s="6">
        <f>D9/$B$35</f>
        <v>1281.886575091575</v>
      </c>
      <c r="E35" s="6">
        <f>E9/$B$35</f>
        <v>730.63393162393152</v>
      </c>
      <c r="F35" s="6">
        <f>F9/$B$35</f>
        <v>183.04531135531133</v>
      </c>
      <c r="G35" s="6">
        <f>G9/$B$35</f>
        <v>77.147454212454207</v>
      </c>
      <c r="H35" s="6">
        <f t="shared" si="8"/>
        <v>6122.5128205128203</v>
      </c>
    </row>
    <row r="36" spans="1:8" ht="13.5" thickBot="1" x14ac:dyDescent="0.25">
      <c r="A36" s="15" t="s">
        <v>103</v>
      </c>
      <c r="B36" s="27">
        <f>SUM(B30:B35)</f>
        <v>93316</v>
      </c>
      <c r="C36" s="8">
        <f>C10/$B$36</f>
        <v>4789.4646511852206</v>
      </c>
      <c r="D36" s="8">
        <f>D10/$B$36</f>
        <v>624.83434866475204</v>
      </c>
      <c r="E36" s="8">
        <f>E10/$B$36</f>
        <v>508.49590799005529</v>
      </c>
      <c r="F36" s="8">
        <f>F10/$B$36</f>
        <v>158.02432444596855</v>
      </c>
      <c r="G36" s="8">
        <f>G10/$B$36</f>
        <v>179.97299691371254</v>
      </c>
      <c r="H36" s="8">
        <f t="shared" si="8"/>
        <v>6260.7922291997093</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v>22945</v>
      </c>
      <c r="C39" s="6">
        <f>C13/$B$39</f>
        <v>4857.3088681629988</v>
      </c>
      <c r="D39" s="6">
        <f>D13/$B$39</f>
        <v>893.63185574199167</v>
      </c>
      <c r="E39" s="6">
        <f>E13/$B$39</f>
        <v>512.12697494007409</v>
      </c>
      <c r="F39" s="6">
        <f>F13/$B$39</f>
        <v>180.15053562867726</v>
      </c>
      <c r="G39" s="6">
        <f>G13/$B$39</f>
        <v>282.02648899542385</v>
      </c>
      <c r="H39" s="6">
        <f t="shared" si="8"/>
        <v>6725.2447234691663</v>
      </c>
    </row>
    <row r="40" spans="1:8" x14ac:dyDescent="0.2">
      <c r="A40" s="1" t="s">
        <v>82</v>
      </c>
      <c r="B40" s="6">
        <v>10221</v>
      </c>
      <c r="C40" s="6">
        <f>C14/$B$40</f>
        <v>4869.7596135407493</v>
      </c>
      <c r="D40" s="6">
        <f>D14/$B$40</f>
        <v>685.62205655023968</v>
      </c>
      <c r="E40" s="6">
        <f>E14/$B$40</f>
        <v>758.2353067214558</v>
      </c>
      <c r="F40" s="6">
        <f>F14/$B$40</f>
        <v>423.6214362586831</v>
      </c>
      <c r="G40" s="6">
        <f>G14/$B$40</f>
        <v>73.462032090793471</v>
      </c>
      <c r="H40" s="6">
        <f t="shared" si="8"/>
        <v>6810.7004451619223</v>
      </c>
    </row>
    <row r="41" spans="1:8" x14ac:dyDescent="0.2">
      <c r="A41" s="1" t="s">
        <v>83</v>
      </c>
      <c r="B41" s="6">
        <v>4767</v>
      </c>
      <c r="C41" s="6">
        <f>C15/$B$41</f>
        <v>5355.1554101111806</v>
      </c>
      <c r="D41" s="6">
        <f>D15/$B$41</f>
        <v>1030.7183994126285</v>
      </c>
      <c r="E41" s="6">
        <f>E15/$B$41</f>
        <v>852.95269351793581</v>
      </c>
      <c r="F41" s="6">
        <f>F15/$B$41</f>
        <v>407.97256345710088</v>
      </c>
      <c r="G41" s="6">
        <f>G15/$B$41</f>
        <v>253.98193832599117</v>
      </c>
      <c r="H41" s="6">
        <f t="shared" si="8"/>
        <v>7900.7810048248366</v>
      </c>
    </row>
    <row r="42" spans="1:8" x14ac:dyDescent="0.2">
      <c r="A42" s="1" t="s">
        <v>84</v>
      </c>
      <c r="B42" s="6">
        <v>5471</v>
      </c>
      <c r="C42" s="6">
        <f>C16/$B$42</f>
        <v>6384.6693401571929</v>
      </c>
      <c r="D42" s="6">
        <f>D16/$B$42</f>
        <v>1356.8072838603546</v>
      </c>
      <c r="E42" s="6">
        <f>E16/$B$42</f>
        <v>1325.1739535733871</v>
      </c>
      <c r="F42" s="6">
        <f>F16/$B$42</f>
        <v>435.10196490586731</v>
      </c>
      <c r="G42" s="6">
        <f>G16/$B$42</f>
        <v>202.90647413635534</v>
      </c>
      <c r="H42" s="6">
        <f t="shared" si="8"/>
        <v>9704.6590166331571</v>
      </c>
    </row>
    <row r="43" spans="1:8" x14ac:dyDescent="0.2">
      <c r="A43" s="14" t="s">
        <v>85</v>
      </c>
      <c r="B43" s="6">
        <v>1316</v>
      </c>
      <c r="C43" s="6">
        <f>C17/$B$43</f>
        <v>8471.5802051671744</v>
      </c>
      <c r="D43" s="6">
        <f>D17/$B$43</f>
        <v>1772.2396656534954</v>
      </c>
      <c r="E43" s="6">
        <f>E17/$B$43</f>
        <v>1545.3485258358662</v>
      </c>
      <c r="F43" s="6">
        <f>F17/$B$43</f>
        <v>607.87904255319143</v>
      </c>
      <c r="G43" s="6">
        <f>G17/$B$43</f>
        <v>223.20907294832827</v>
      </c>
      <c r="H43" s="6">
        <f t="shared" si="8"/>
        <v>12620.256512158056</v>
      </c>
    </row>
    <row r="44" spans="1:8" ht="13.5" thickBot="1" x14ac:dyDescent="0.25">
      <c r="A44" s="15" t="s">
        <v>104</v>
      </c>
      <c r="B44" s="8">
        <f>SUM(B39:B43)</f>
        <v>44720</v>
      </c>
      <c r="C44" s="8">
        <f>C18/$B$44</f>
        <v>5206.4382008050097</v>
      </c>
      <c r="D44" s="8">
        <f>D18/$B$44</f>
        <v>943.22273322898025</v>
      </c>
      <c r="E44" s="8">
        <f>E18/$B$44</f>
        <v>734.57977101967799</v>
      </c>
      <c r="F44" s="8">
        <f>F18/$B$44</f>
        <v>303.85969633273703</v>
      </c>
      <c r="G44" s="8">
        <f>G18/$B$44</f>
        <v>219.95817486583184</v>
      </c>
      <c r="H44" s="8">
        <f t="shared" si="8"/>
        <v>7408.0585762522369</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v>12246</v>
      </c>
      <c r="C47" s="6">
        <f>C21/$B$47</f>
        <v>4556.6060035930095</v>
      </c>
      <c r="D47" s="6">
        <f>D21/$B$47</f>
        <v>727.85995018781637</v>
      </c>
      <c r="E47" s="6">
        <f>E21/$B$47</f>
        <v>539.94376041156295</v>
      </c>
      <c r="F47" s="6">
        <f>F21/$B$47</f>
        <v>220.91429201371875</v>
      </c>
      <c r="G47" s="6">
        <f>G21/$B$47</f>
        <v>300.50497468561161</v>
      </c>
      <c r="H47" s="6">
        <f t="shared" si="8"/>
        <v>6345.8289808917179</v>
      </c>
    </row>
    <row r="48" spans="1:8" x14ac:dyDescent="0.2">
      <c r="A48" s="1" t="s">
        <v>87</v>
      </c>
      <c r="B48" s="6">
        <v>7215</v>
      </c>
      <c r="C48" s="6">
        <f>C22/$B$48</f>
        <v>6272.924512820513</v>
      </c>
      <c r="D48" s="6">
        <f>D22/$B$48</f>
        <v>978.44888565488566</v>
      </c>
      <c r="E48" s="6">
        <f>E22/$B$48</f>
        <v>1013.6987040887042</v>
      </c>
      <c r="F48" s="6">
        <f>F22/$B$48</f>
        <v>527.85152182952186</v>
      </c>
      <c r="G48" s="6">
        <f>G22/$B$48</f>
        <v>248.44353707553708</v>
      </c>
      <c r="H48" s="6">
        <f t="shared" si="8"/>
        <v>9041.3671614691611</v>
      </c>
    </row>
    <row r="49" spans="1:8" ht="13.5" thickBot="1" x14ac:dyDescent="0.25">
      <c r="A49" s="15" t="s">
        <v>105</v>
      </c>
      <c r="B49" s="8">
        <f>SUM(B47:B48)</f>
        <v>19461</v>
      </c>
      <c r="C49" s="8">
        <f>C23/$B$49</f>
        <v>5192.9164729458917</v>
      </c>
      <c r="D49" s="8">
        <f>D23/$B$49</f>
        <v>820.76366373773192</v>
      </c>
      <c r="E49" s="8">
        <f>E23/$B$49</f>
        <v>715.58437079286784</v>
      </c>
      <c r="F49" s="8">
        <f>F23/$B$49</f>
        <v>334.70865577308467</v>
      </c>
      <c r="G49" s="8">
        <f>G23/$B$49</f>
        <v>281.20364010071427</v>
      </c>
      <c r="H49" s="8">
        <f t="shared" si="8"/>
        <v>7345.1768033502904</v>
      </c>
    </row>
    <row r="50" spans="1:8" ht="13.5" thickTop="1" x14ac:dyDescent="0.2">
      <c r="A50" s="1"/>
      <c r="B50" s="6"/>
      <c r="C50" s="6"/>
      <c r="D50" s="6"/>
      <c r="E50" s="6"/>
      <c r="F50" s="6"/>
      <c r="G50" s="6"/>
      <c r="H50" s="6"/>
    </row>
    <row r="51" spans="1:8" ht="13.5" thickBot="1" x14ac:dyDescent="0.25">
      <c r="A51" s="128" t="s">
        <v>209</v>
      </c>
      <c r="B51" s="126">
        <f>B36+B44+B49</f>
        <v>157497</v>
      </c>
      <c r="C51" s="126">
        <f>C25/$B$51</f>
        <v>4957.7131450757797</v>
      </c>
      <c r="D51" s="126">
        <f>D25/$B$51</f>
        <v>739.44801723207422</v>
      </c>
      <c r="E51" s="126">
        <f>E25/$B$51</f>
        <v>598.27932563794855</v>
      </c>
      <c r="F51" s="126">
        <f>F25/$B$51</f>
        <v>221.26496777716403</v>
      </c>
      <c r="G51" s="126">
        <f>G25/$B$51</f>
        <v>203.83495431659014</v>
      </c>
      <c r="H51" s="126">
        <f t="shared" si="8"/>
        <v>6720.5404100395572</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6" t="s">
        <v>247</v>
      </c>
      <c r="B55" s="1"/>
      <c r="C55" s="6"/>
      <c r="D55" s="6"/>
      <c r="E55" s="6"/>
      <c r="F55" s="6"/>
      <c r="G55" s="6"/>
      <c r="H55" s="6"/>
    </row>
    <row r="56" spans="1:8" x14ac:dyDescent="0.2">
      <c r="A56" s="22" t="s">
        <v>281</v>
      </c>
      <c r="B56" s="1"/>
      <c r="C56" s="6"/>
      <c r="D56" s="6"/>
      <c r="E56" s="6"/>
      <c r="F56" s="6"/>
      <c r="G56" s="6"/>
      <c r="H56" s="6"/>
    </row>
    <row r="57" spans="1:8" ht="33.75" x14ac:dyDescent="0.2">
      <c r="A57" s="155" t="s">
        <v>245</v>
      </c>
      <c r="B57" s="141"/>
      <c r="C57" s="141" t="s">
        <v>276</v>
      </c>
      <c r="D57" s="141" t="s">
        <v>277</v>
      </c>
      <c r="E57" s="141" t="s">
        <v>278</v>
      </c>
      <c r="F57" s="141" t="s">
        <v>279</v>
      </c>
      <c r="G57" s="141" t="s">
        <v>242</v>
      </c>
      <c r="H57" s="125"/>
    </row>
    <row r="58" spans="1:8" x14ac:dyDescent="0.2">
      <c r="A58" s="1" t="s">
        <v>102</v>
      </c>
      <c r="B58" s="1"/>
      <c r="C58" s="9">
        <f>C4/$H$4</f>
        <v>0.80060334531354582</v>
      </c>
      <c r="D58" s="9">
        <f>D4/$H$4</f>
        <v>0.10544468649435519</v>
      </c>
      <c r="E58" s="9">
        <f>E4/$H$4</f>
        <v>5.858710715792121E-2</v>
      </c>
      <c r="F58" s="9">
        <f>F4/$H$4</f>
        <v>1.2563230330471374E-2</v>
      </c>
      <c r="G58" s="9">
        <f>G4/$H$4</f>
        <v>2.2801630703706402E-2</v>
      </c>
      <c r="H58" s="9">
        <f>SUM(C58:G58)</f>
        <v>1</v>
      </c>
    </row>
    <row r="59" spans="1:8" x14ac:dyDescent="0.2">
      <c r="A59" s="1" t="s">
        <v>76</v>
      </c>
      <c r="B59" s="1"/>
      <c r="C59" s="9">
        <f>C5/$H$5</f>
        <v>0.77622600367976602</v>
      </c>
      <c r="D59" s="9">
        <f>D5/$H$5</f>
        <v>7.7950533220268334E-2</v>
      </c>
      <c r="E59" s="9">
        <f>E5/$H$5</f>
        <v>7.7990841619996143E-2</v>
      </c>
      <c r="F59" s="9">
        <f>F5/$H$5</f>
        <v>3.1197817426180111E-2</v>
      </c>
      <c r="G59" s="9">
        <f>G5/$H$5</f>
        <v>3.6634804053789216E-2</v>
      </c>
      <c r="H59" s="9">
        <f t="shared" ref="H59:H79" si="9">SUM(C59:G59)</f>
        <v>0.99999999999999978</v>
      </c>
    </row>
    <row r="60" spans="1:8" x14ac:dyDescent="0.2">
      <c r="A60" s="1" t="s">
        <v>77</v>
      </c>
      <c r="B60" s="1"/>
      <c r="C60" s="9">
        <f>C6/$H$6</f>
        <v>0.74714982330138235</v>
      </c>
      <c r="D60" s="9">
        <f>D6/$H$6</f>
        <v>8.9971728361714687E-2</v>
      </c>
      <c r="E60" s="9">
        <f>E6/$H$6</f>
        <v>0.10359249099476317</v>
      </c>
      <c r="F60" s="9">
        <f>F6/$H$6</f>
        <v>3.8853373414412737E-2</v>
      </c>
      <c r="G60" s="9">
        <f>G6/$H$6</f>
        <v>2.0432583927726938E-2</v>
      </c>
      <c r="H60" s="9">
        <f t="shared" si="9"/>
        <v>0.99999999999999989</v>
      </c>
    </row>
    <row r="61" spans="1:8" x14ac:dyDescent="0.2">
      <c r="A61" s="1" t="s">
        <v>78</v>
      </c>
      <c r="B61" s="1"/>
      <c r="C61" s="9">
        <f>C7/$H$7</f>
        <v>0.73057968033133569</v>
      </c>
      <c r="D61" s="9">
        <f>D7/$H$7</f>
        <v>0.10645107587757896</v>
      </c>
      <c r="E61" s="9">
        <f>E7/$H$7</f>
        <v>9.8549888811714781E-2</v>
      </c>
      <c r="F61" s="9">
        <f>F7/$H$7</f>
        <v>2.4648709313957483E-2</v>
      </c>
      <c r="G61" s="9">
        <f>G7/$H$7</f>
        <v>3.9770645665413024E-2</v>
      </c>
      <c r="H61" s="9">
        <f t="shared" si="9"/>
        <v>0.99999999999999989</v>
      </c>
    </row>
    <row r="62" spans="1:8" x14ac:dyDescent="0.2">
      <c r="A62" s="1" t="s">
        <v>79</v>
      </c>
      <c r="B62" s="1"/>
      <c r="C62" s="9">
        <f>C8/$H$8</f>
        <v>0.69575776628079933</v>
      </c>
      <c r="D62" s="9">
        <f>D8/$H$8</f>
        <v>0.12792409103382518</v>
      </c>
      <c r="E62" s="9">
        <f>E8/$H$8</f>
        <v>0.11068959073497034</v>
      </c>
      <c r="F62" s="9">
        <f>F8/$H$8</f>
        <v>3.6940009312684902E-2</v>
      </c>
      <c r="G62" s="9">
        <f>G8/$H$8</f>
        <v>2.8688542637720447E-2</v>
      </c>
      <c r="H62" s="9">
        <f t="shared" si="9"/>
        <v>1.0000000000000002</v>
      </c>
    </row>
    <row r="63" spans="1:8" x14ac:dyDescent="0.2">
      <c r="A63" s="1" t="s">
        <v>80</v>
      </c>
      <c r="B63" s="1"/>
      <c r="C63" s="9">
        <f>C9/$H$9</f>
        <v>0.62879403622173058</v>
      </c>
      <c r="D63" s="9">
        <f>D9/$H$9</f>
        <v>0.20937262406323626</v>
      </c>
      <c r="E63" s="9">
        <f>E9/$H$9</f>
        <v>0.11933563114413108</v>
      </c>
      <c r="F63" s="9">
        <f>F9/$H$9</f>
        <v>2.9897089107275971E-2</v>
      </c>
      <c r="G63" s="9">
        <f>G9/$H$9</f>
        <v>1.2600619463626105E-2</v>
      </c>
      <c r="H63" s="9">
        <f t="shared" si="9"/>
        <v>1</v>
      </c>
    </row>
    <row r="64" spans="1:8" ht="13.5" thickBot="1" x14ac:dyDescent="0.25">
      <c r="A64" s="15" t="s">
        <v>103</v>
      </c>
      <c r="B64" s="15"/>
      <c r="C64" s="11">
        <f>C10/$H$10</f>
        <v>0.76499338675505579</v>
      </c>
      <c r="D64" s="11">
        <f>D10/$H$10</f>
        <v>9.9801163461484502E-2</v>
      </c>
      <c r="E64" s="11">
        <f>E10/$H$10</f>
        <v>8.1219099656187482E-2</v>
      </c>
      <c r="F64" s="11">
        <f>F10/$H$10</f>
        <v>2.5240308041042939E-2</v>
      </c>
      <c r="G64" s="11">
        <f>G10/$H$10</f>
        <v>2.874604208622936E-2</v>
      </c>
      <c r="H64" s="11">
        <f t="shared" si="9"/>
        <v>1</v>
      </c>
    </row>
    <row r="65" spans="1:8" ht="13.5" thickTop="1" x14ac:dyDescent="0.2">
      <c r="A65" s="1"/>
      <c r="B65" s="1"/>
      <c r="C65" s="9"/>
      <c r="D65" s="9"/>
      <c r="E65" s="9"/>
      <c r="F65" s="9"/>
      <c r="G65" s="9"/>
      <c r="H65" s="9"/>
    </row>
    <row r="66" spans="1:8" x14ac:dyDescent="0.2">
      <c r="A66" s="1"/>
      <c r="B66" s="1"/>
      <c r="C66" s="9"/>
      <c r="D66" s="9"/>
      <c r="E66" s="9"/>
      <c r="F66" s="9"/>
      <c r="G66" s="9"/>
      <c r="H66" s="9"/>
    </row>
    <row r="67" spans="1:8" x14ac:dyDescent="0.2">
      <c r="A67" s="1" t="s">
        <v>81</v>
      </c>
      <c r="B67" s="1"/>
      <c r="C67" s="9">
        <f>C13/$H$13</f>
        <v>0.72225012886332474</v>
      </c>
      <c r="D67" s="9">
        <f>D13/$H$13</f>
        <v>0.13287722491695719</v>
      </c>
      <c r="E67" s="9">
        <f>E13/$H$13</f>
        <v>7.6149938923842975E-2</v>
      </c>
      <c r="F67" s="9">
        <f>F13/$H$13</f>
        <v>2.67872089472081E-2</v>
      </c>
      <c r="G67" s="9">
        <f>G13/$H$13</f>
        <v>4.1935498348667187E-2</v>
      </c>
      <c r="H67" s="9">
        <f t="shared" si="9"/>
        <v>1.0000000000000002</v>
      </c>
    </row>
    <row r="68" spans="1:8" x14ac:dyDescent="0.2">
      <c r="A68" s="1" t="s">
        <v>82</v>
      </c>
      <c r="B68" s="1"/>
      <c r="C68" s="9">
        <f>C14/$H$14</f>
        <v>0.71501597416460339</v>
      </c>
      <c r="D68" s="9">
        <f>D14/$H$14</f>
        <v>0.10066836180370863</v>
      </c>
      <c r="E68" s="9">
        <f>E14/$H$14</f>
        <v>0.11133000384124649</v>
      </c>
      <c r="F68" s="9">
        <f>F14/$H$14</f>
        <v>6.2199393391263985E-2</v>
      </c>
      <c r="G68" s="9">
        <f>G14/$H$14</f>
        <v>1.0786266799177503E-2</v>
      </c>
      <c r="H68" s="9">
        <f t="shared" si="9"/>
        <v>1</v>
      </c>
    </row>
    <row r="69" spans="1:8" x14ac:dyDescent="0.2">
      <c r="A69" s="1" t="s">
        <v>83</v>
      </c>
      <c r="B69" s="1"/>
      <c r="C69" s="9">
        <f>C15/$H$15</f>
        <v>0.67780076511941068</v>
      </c>
      <c r="D69" s="9">
        <f>D15/$H$15</f>
        <v>0.13045778623444834</v>
      </c>
      <c r="E69" s="9">
        <f>E15/$H$15</f>
        <v>0.10795802250398485</v>
      </c>
      <c r="F69" s="9">
        <f>F15/$H$15</f>
        <v>5.1636991736381609E-2</v>
      </c>
      <c r="G69" s="9">
        <f>G15/$H$15</f>
        <v>3.2146434405774554E-2</v>
      </c>
      <c r="H69" s="9">
        <f t="shared" si="9"/>
        <v>1</v>
      </c>
    </row>
    <row r="70" spans="1:8" x14ac:dyDescent="0.2">
      <c r="A70" s="1" t="s">
        <v>84</v>
      </c>
      <c r="B70" s="1"/>
      <c r="C70" s="9">
        <f>C16/$H$16</f>
        <v>0.65789733871270306</v>
      </c>
      <c r="D70" s="9">
        <f>D16/$H$16</f>
        <v>0.13980988734739416</v>
      </c>
      <c r="E70" s="9">
        <f>E16/$H$16</f>
        <v>0.13655028489946164</v>
      </c>
      <c r="F70" s="9">
        <f>F16/$H$16</f>
        <v>4.4834338245180044E-2</v>
      </c>
      <c r="G70" s="9">
        <f>G16/$H$16</f>
        <v>2.0908150795260996E-2</v>
      </c>
      <c r="H70" s="9">
        <f t="shared" si="9"/>
        <v>0.99999999999999989</v>
      </c>
    </row>
    <row r="71" spans="1:8" x14ac:dyDescent="0.2">
      <c r="A71" s="14" t="s">
        <v>85</v>
      </c>
      <c r="B71" s="1"/>
      <c r="C71" s="9">
        <f>C17/$H$17</f>
        <v>0.67126846407645158</v>
      </c>
      <c r="D71" s="9">
        <f>D17/$H$17</f>
        <v>0.14042818099189677</v>
      </c>
      <c r="E71" s="9">
        <f>E17/$H$17</f>
        <v>0.12244985071001639</v>
      </c>
      <c r="F71" s="9">
        <f>F17/$H$17</f>
        <v>4.816693242071389E-2</v>
      </c>
      <c r="G71" s="9">
        <f>G17/$H$17</f>
        <v>1.7686571800921317E-2</v>
      </c>
      <c r="H71" s="9">
        <f t="shared" si="9"/>
        <v>1</v>
      </c>
    </row>
    <row r="72" spans="1:8" ht="13.5" thickBot="1" x14ac:dyDescent="0.25">
      <c r="A72" s="15" t="s">
        <v>104</v>
      </c>
      <c r="B72" s="15"/>
      <c r="C72" s="11">
        <f>C18/$H$18</f>
        <v>0.70280737486270872</v>
      </c>
      <c r="D72" s="11">
        <f>D18/$H$18</f>
        <v>0.12732387622482325</v>
      </c>
      <c r="E72" s="11">
        <f>E18/$H$18</f>
        <v>9.9159552190164313E-2</v>
      </c>
      <c r="F72" s="11">
        <f>F18/$H$18</f>
        <v>4.1017453251086564E-2</v>
      </c>
      <c r="G72" s="11">
        <f>G18/$H$18</f>
        <v>2.9691743471217186E-2</v>
      </c>
      <c r="H72" s="11">
        <f t="shared" si="9"/>
        <v>1</v>
      </c>
    </row>
    <row r="73" spans="1:8" ht="13.5" thickTop="1" x14ac:dyDescent="0.2">
      <c r="A73" s="1"/>
      <c r="B73" s="1"/>
      <c r="C73" s="9"/>
      <c r="D73" s="9"/>
      <c r="E73" s="9"/>
      <c r="F73" s="9"/>
      <c r="G73" s="9"/>
      <c r="H73" s="9"/>
    </row>
    <row r="74" spans="1:8" x14ac:dyDescent="0.2">
      <c r="A74" s="1"/>
      <c r="B74" s="1"/>
      <c r="C74" s="9"/>
      <c r="D74" s="9"/>
      <c r="E74" s="9"/>
      <c r="F74" s="9"/>
      <c r="G74" s="9"/>
      <c r="H74" s="9"/>
    </row>
    <row r="75" spans="1:8" x14ac:dyDescent="0.2">
      <c r="A75" s="1" t="s">
        <v>86</v>
      </c>
      <c r="B75" s="1"/>
      <c r="C75" s="9">
        <f>C21/$H$21</f>
        <v>0.7180474004757551</v>
      </c>
      <c r="D75" s="9">
        <f>D21/$H$21</f>
        <v>0.11469895460144232</v>
      </c>
      <c r="E75" s="9">
        <f>E21/$H$21</f>
        <v>8.508640274382083E-2</v>
      </c>
      <c r="F75" s="9">
        <f>F21/$H$21</f>
        <v>3.4812519007197659E-2</v>
      </c>
      <c r="G75" s="9">
        <f>G21/$H$21</f>
        <v>4.7354723171784005E-2</v>
      </c>
      <c r="H75" s="9">
        <f t="shared" si="9"/>
        <v>0.99999999999999989</v>
      </c>
    </row>
    <row r="76" spans="1:8" x14ac:dyDescent="0.2">
      <c r="A76" s="1" t="s">
        <v>87</v>
      </c>
      <c r="B76" s="1"/>
      <c r="C76" s="9">
        <f>C22/$H$22</f>
        <v>0.69380265183271306</v>
      </c>
      <c r="D76" s="9">
        <f>D22/$H$22</f>
        <v>0.10821912971576463</v>
      </c>
      <c r="E76" s="9">
        <f>E22/$H$22</f>
        <v>0.11211785629154618</v>
      </c>
      <c r="F76" s="9">
        <f>F22/$H$22</f>
        <v>5.8381825713153493E-2</v>
      </c>
      <c r="G76" s="9">
        <f>G22/$H$22</f>
        <v>2.7478536446822795E-2</v>
      </c>
      <c r="H76" s="9">
        <f t="shared" si="9"/>
        <v>1.0000000000000002</v>
      </c>
    </row>
    <row r="77" spans="1:8" ht="13.5" thickBot="1" x14ac:dyDescent="0.25">
      <c r="A77" s="15" t="s">
        <v>105</v>
      </c>
      <c r="B77" s="15"/>
      <c r="C77" s="11">
        <f>C23/$H$23</f>
        <v>0.70698318256645543</v>
      </c>
      <c r="D77" s="11">
        <f>D23/$H$23</f>
        <v>0.11174185260773632</v>
      </c>
      <c r="E77" s="11">
        <f>E23/$H$23</f>
        <v>9.7422348018426835E-2</v>
      </c>
      <c r="F77" s="11">
        <f>F23/$H$23</f>
        <v>4.5568495454107655E-2</v>
      </c>
      <c r="G77" s="11">
        <f>G23/$H$23</f>
        <v>3.8284121353273803E-2</v>
      </c>
      <c r="H77" s="11">
        <f t="shared" si="9"/>
        <v>1</v>
      </c>
    </row>
    <row r="78" spans="1:8" ht="13.5" thickTop="1" x14ac:dyDescent="0.2">
      <c r="A78" s="1"/>
      <c r="B78" s="1"/>
      <c r="C78" s="9"/>
      <c r="D78" s="9"/>
      <c r="E78" s="9"/>
      <c r="F78" s="9"/>
      <c r="G78" s="9"/>
      <c r="H78" s="9"/>
    </row>
    <row r="79" spans="1:8" ht="13.5" thickBot="1" x14ac:dyDescent="0.25">
      <c r="A79" s="128" t="s">
        <v>230</v>
      </c>
      <c r="B79" s="128"/>
      <c r="C79" s="127">
        <f>C25/$H$25</f>
        <v>0.73769560817901536</v>
      </c>
      <c r="D79" s="127">
        <f>D25/$H$25</f>
        <v>0.11002805907207125</v>
      </c>
      <c r="E79" s="127">
        <f>E25/$H$25</f>
        <v>8.9022502527356606E-2</v>
      </c>
      <c r="F79" s="127">
        <f>F25/$H$25</f>
        <v>3.2923686828312919E-2</v>
      </c>
      <c r="G79" s="127">
        <f>G25/$H$25</f>
        <v>3.0330143393243938E-2</v>
      </c>
      <c r="H79" s="127">
        <f t="shared" si="9"/>
        <v>1</v>
      </c>
    </row>
    <row r="80" spans="1:8" x14ac:dyDescent="0.2">
      <c r="H80" s="9"/>
    </row>
    <row r="81" spans="8:8" x14ac:dyDescent="0.2">
      <c r="H81" s="9"/>
    </row>
    <row r="82" spans="8:8" x14ac:dyDescent="0.2">
      <c r="H82" s="9"/>
    </row>
  </sheetData>
  <phoneticPr fontId="7"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76"/>
  <dimension ref="A1:I79"/>
  <sheetViews>
    <sheetView workbookViewId="0">
      <selection activeCell="C32" sqref="C32"/>
    </sheetView>
  </sheetViews>
  <sheetFormatPr defaultRowHeight="12.75" x14ac:dyDescent="0.2"/>
  <cols>
    <col min="1" max="1" width="24.42578125" bestFit="1" customWidth="1"/>
    <col min="2" max="2" width="6.5703125" bestFit="1" customWidth="1"/>
    <col min="3" max="4" width="9.5703125" bestFit="1" customWidth="1"/>
    <col min="8" max="8" width="11.5703125" customWidth="1"/>
    <col min="9" max="9" width="9.140625" style="122"/>
  </cols>
  <sheetData>
    <row r="1" spans="1:9" x14ac:dyDescent="0.2">
      <c r="A1" s="36" t="s">
        <v>247</v>
      </c>
    </row>
    <row r="2" spans="1:9" x14ac:dyDescent="0.2">
      <c r="A2" s="22" t="s">
        <v>273</v>
      </c>
    </row>
    <row r="3" spans="1:9" ht="22.5" x14ac:dyDescent="0.2">
      <c r="A3" s="155" t="s">
        <v>245</v>
      </c>
      <c r="B3" s="141" t="s">
        <v>201</v>
      </c>
      <c r="C3" s="141" t="s">
        <v>89</v>
      </c>
      <c r="D3" s="141" t="s">
        <v>90</v>
      </c>
      <c r="E3" s="141" t="s">
        <v>91</v>
      </c>
      <c r="F3" s="141" t="s">
        <v>92</v>
      </c>
      <c r="G3" s="141" t="s">
        <v>93</v>
      </c>
      <c r="H3" s="141" t="s">
        <v>106</v>
      </c>
      <c r="I3" s="141" t="s">
        <v>452</v>
      </c>
    </row>
    <row r="4" spans="1:9" x14ac:dyDescent="0.2">
      <c r="A4" s="83" t="s">
        <v>102</v>
      </c>
      <c r="B4" s="6">
        <v>35959</v>
      </c>
      <c r="C4" s="6">
        <v>159452020.22999999</v>
      </c>
      <c r="D4" s="6">
        <v>20879427.530000001</v>
      </c>
      <c r="E4" s="6">
        <v>11672059.800000001</v>
      </c>
      <c r="F4" s="6">
        <v>3138533.46</v>
      </c>
      <c r="G4" s="6">
        <v>4873087.33</v>
      </c>
      <c r="H4" s="6">
        <v>200015128.35000002</v>
      </c>
      <c r="I4" s="6">
        <f>H4/B4</f>
        <v>5562.3106412859097</v>
      </c>
    </row>
    <row r="5" spans="1:9" x14ac:dyDescent="0.2">
      <c r="A5" s="1" t="s">
        <v>76</v>
      </c>
      <c r="B5" s="6">
        <v>24474</v>
      </c>
      <c r="C5" s="6">
        <v>111909624.63</v>
      </c>
      <c r="D5" s="6">
        <v>10984747.199999999</v>
      </c>
      <c r="E5" s="6">
        <v>10600064.539999999</v>
      </c>
      <c r="F5" s="6">
        <v>4439995.95</v>
      </c>
      <c r="G5" s="6">
        <v>4519548.9800000004</v>
      </c>
      <c r="H5" s="6">
        <v>142453981.29999998</v>
      </c>
      <c r="I5" s="6">
        <f t="shared" ref="I5:I10" si="0">H5/B5</f>
        <v>5820.6252063414231</v>
      </c>
    </row>
    <row r="6" spans="1:9" x14ac:dyDescent="0.2">
      <c r="A6" s="1" t="s">
        <v>77</v>
      </c>
      <c r="B6" s="6">
        <v>12843</v>
      </c>
      <c r="C6" s="6">
        <v>62732732.009999998</v>
      </c>
      <c r="D6" s="6">
        <v>6766303.4699999997</v>
      </c>
      <c r="E6" s="6">
        <v>7584072.9400000004</v>
      </c>
      <c r="F6" s="6">
        <v>2494085.4900000002</v>
      </c>
      <c r="G6" s="6">
        <v>2229567.48</v>
      </c>
      <c r="H6" s="6">
        <v>81806761.390000001</v>
      </c>
      <c r="I6" s="6">
        <f t="shared" si="0"/>
        <v>6369.7548384333877</v>
      </c>
    </row>
    <row r="7" spans="1:9" x14ac:dyDescent="0.2">
      <c r="A7" s="1" t="s">
        <v>78</v>
      </c>
      <c r="B7" s="6">
        <v>14333</v>
      </c>
      <c r="C7" s="6">
        <v>62871329.579999998</v>
      </c>
      <c r="D7" s="6">
        <v>8584168.5999999996</v>
      </c>
      <c r="E7" s="6">
        <v>8156529.9400000004</v>
      </c>
      <c r="F7" s="6">
        <v>2221698.1</v>
      </c>
      <c r="G7" s="6">
        <v>3352906.89</v>
      </c>
      <c r="H7" s="6">
        <v>85186633.109999985</v>
      </c>
      <c r="I7" s="6">
        <f t="shared" si="0"/>
        <v>5943.3916912021195</v>
      </c>
    </row>
    <row r="8" spans="1:9" x14ac:dyDescent="0.2">
      <c r="A8" s="1" t="s">
        <v>79</v>
      </c>
      <c r="B8" s="6">
        <v>5735</v>
      </c>
      <c r="C8" s="6">
        <v>27160794.890000001</v>
      </c>
      <c r="D8" s="6">
        <v>4790582.92</v>
      </c>
      <c r="E8" s="6">
        <v>4204671.16</v>
      </c>
      <c r="F8" s="6">
        <v>1402817.55</v>
      </c>
      <c r="G8" s="6">
        <v>1304117.1100000001</v>
      </c>
      <c r="H8" s="6">
        <v>38862983.629999995</v>
      </c>
      <c r="I8" s="6">
        <f t="shared" si="0"/>
        <v>6776.4574768962502</v>
      </c>
    </row>
    <row r="9" spans="1:9" x14ac:dyDescent="0.2">
      <c r="A9" s="14" t="s">
        <v>80</v>
      </c>
      <c r="B9" s="7">
        <v>1522</v>
      </c>
      <c r="C9" s="7">
        <v>6137228.3099999996</v>
      </c>
      <c r="D9" s="7">
        <v>1728913.9</v>
      </c>
      <c r="E9" s="7">
        <v>1201675.42</v>
      </c>
      <c r="F9" s="7">
        <v>575214.76</v>
      </c>
      <c r="G9" s="7">
        <v>80570.559999999998</v>
      </c>
      <c r="H9" s="7">
        <v>9723602.9499999993</v>
      </c>
      <c r="I9" s="6">
        <f t="shared" si="0"/>
        <v>6388.7010183968459</v>
      </c>
    </row>
    <row r="10" spans="1:9" ht="13.5" thickBot="1" x14ac:dyDescent="0.25">
      <c r="A10" s="15" t="s">
        <v>103</v>
      </c>
      <c r="B10" s="8">
        <v>94866</v>
      </c>
      <c r="C10" s="8">
        <v>430263729.64999998</v>
      </c>
      <c r="D10" s="8">
        <v>53734143.620000005</v>
      </c>
      <c r="E10" s="8">
        <v>43419073.799999997</v>
      </c>
      <c r="F10" s="8">
        <v>14272345.310000001</v>
      </c>
      <c r="G10" s="8">
        <v>16359798.350000001</v>
      </c>
      <c r="H10" s="8">
        <v>558049090.73000002</v>
      </c>
      <c r="I10" s="8">
        <f t="shared" si="0"/>
        <v>5882.4983738114815</v>
      </c>
    </row>
    <row r="11" spans="1:9" ht="13.5" thickTop="1" x14ac:dyDescent="0.2">
      <c r="A11" s="1"/>
      <c r="B11" s="6"/>
      <c r="C11" s="6"/>
      <c r="D11" s="6"/>
      <c r="E11" s="6"/>
      <c r="F11" s="6"/>
      <c r="G11" s="6"/>
      <c r="H11" s="6"/>
    </row>
    <row r="12" spans="1:9" x14ac:dyDescent="0.2">
      <c r="A12" s="1"/>
      <c r="B12" s="6"/>
      <c r="C12" s="6"/>
      <c r="D12" s="6"/>
      <c r="E12" s="6"/>
      <c r="F12" s="6"/>
      <c r="G12" s="6"/>
      <c r="H12" s="6"/>
    </row>
    <row r="13" spans="1:9" x14ac:dyDescent="0.2">
      <c r="A13" s="1" t="s">
        <v>81</v>
      </c>
      <c r="B13" s="6">
        <v>22915</v>
      </c>
      <c r="C13" s="6">
        <v>106054876.01000001</v>
      </c>
      <c r="D13" s="6">
        <v>18986423</v>
      </c>
      <c r="E13" s="6">
        <v>10275063.710000001</v>
      </c>
      <c r="F13" s="6">
        <v>3748482.85</v>
      </c>
      <c r="G13" s="6">
        <v>5704551.3300000001</v>
      </c>
      <c r="H13" s="6">
        <v>144769396.90000001</v>
      </c>
      <c r="I13" s="6">
        <f t="shared" ref="I13:I18" si="1">H13/B13</f>
        <v>6317.6695134191577</v>
      </c>
    </row>
    <row r="14" spans="1:9" x14ac:dyDescent="0.2">
      <c r="A14" s="1" t="s">
        <v>82</v>
      </c>
      <c r="B14" s="6">
        <v>10365</v>
      </c>
      <c r="C14" s="6">
        <v>47752515.859999999</v>
      </c>
      <c r="D14" s="6">
        <v>6712439.3099999996</v>
      </c>
      <c r="E14" s="6">
        <v>7127294.4800000004</v>
      </c>
      <c r="F14" s="6">
        <v>2890906.39</v>
      </c>
      <c r="G14" s="6">
        <v>755513.91</v>
      </c>
      <c r="H14" s="6">
        <v>65238669.950000003</v>
      </c>
      <c r="I14" s="6">
        <f t="shared" si="1"/>
        <v>6294.1312059816692</v>
      </c>
    </row>
    <row r="15" spans="1:9" x14ac:dyDescent="0.2">
      <c r="A15" s="1" t="s">
        <v>83</v>
      </c>
      <c r="B15" s="6">
        <v>4844</v>
      </c>
      <c r="C15" s="6">
        <v>24160726.699999999</v>
      </c>
      <c r="D15" s="6">
        <v>4643544.95</v>
      </c>
      <c r="E15" s="6">
        <v>3815229.17</v>
      </c>
      <c r="F15" s="6">
        <v>1965423.11</v>
      </c>
      <c r="G15" s="6">
        <v>1083464.8400000001</v>
      </c>
      <c r="H15" s="6">
        <v>35668388.770000003</v>
      </c>
      <c r="I15" s="6">
        <f t="shared" si="1"/>
        <v>7363.4163439306367</v>
      </c>
    </row>
    <row r="16" spans="1:9" x14ac:dyDescent="0.2">
      <c r="A16" s="1" t="s">
        <v>84</v>
      </c>
      <c r="B16" s="6">
        <v>5489</v>
      </c>
      <c r="C16" s="6">
        <v>32890650.82</v>
      </c>
      <c r="D16" s="6">
        <v>6528181.7300000004</v>
      </c>
      <c r="E16" s="6">
        <v>6032438.4199999999</v>
      </c>
      <c r="F16" s="6">
        <v>1848296.6</v>
      </c>
      <c r="G16" s="6">
        <v>899178.48</v>
      </c>
      <c r="H16" s="6">
        <v>48198746.049999997</v>
      </c>
      <c r="I16" s="6">
        <f t="shared" si="1"/>
        <v>8780.9703133539806</v>
      </c>
    </row>
    <row r="17" spans="1:9" x14ac:dyDescent="0.2">
      <c r="A17" s="14" t="s">
        <v>85</v>
      </c>
      <c r="B17" s="7">
        <v>1447</v>
      </c>
      <c r="C17" s="7">
        <v>11377097.789999999</v>
      </c>
      <c r="D17" s="7">
        <v>2536818.2200000002</v>
      </c>
      <c r="E17" s="7">
        <v>2070868.44</v>
      </c>
      <c r="F17" s="7">
        <v>916026.64</v>
      </c>
      <c r="G17" s="7">
        <v>353669.7</v>
      </c>
      <c r="H17" s="7">
        <v>17254480.789999999</v>
      </c>
      <c r="I17" s="6">
        <f t="shared" si="1"/>
        <v>11924.312916378714</v>
      </c>
    </row>
    <row r="18" spans="1:9" ht="13.5" thickBot="1" x14ac:dyDescent="0.25">
      <c r="A18" s="15" t="s">
        <v>104</v>
      </c>
      <c r="B18" s="8">
        <v>45060</v>
      </c>
      <c r="C18" s="8">
        <v>222235867.17999998</v>
      </c>
      <c r="D18" s="8">
        <v>39407407.209999993</v>
      </c>
      <c r="E18" s="8">
        <v>29320894.220000003</v>
      </c>
      <c r="F18" s="8">
        <v>11369135.59</v>
      </c>
      <c r="G18" s="8">
        <v>8796378.2599999998</v>
      </c>
      <c r="H18" s="8">
        <v>311129682.45999998</v>
      </c>
      <c r="I18" s="8">
        <f t="shared" si="1"/>
        <v>6904.7865614735902</v>
      </c>
    </row>
    <row r="19" spans="1:9" ht="13.5" thickTop="1" x14ac:dyDescent="0.2">
      <c r="A19" s="1"/>
      <c r="B19" s="6"/>
      <c r="C19" s="6"/>
      <c r="D19" s="6"/>
      <c r="E19" s="6"/>
      <c r="F19" s="6"/>
      <c r="G19" s="6"/>
      <c r="H19" s="6"/>
    </row>
    <row r="20" spans="1:9" x14ac:dyDescent="0.2">
      <c r="A20" s="1"/>
      <c r="B20" s="6"/>
      <c r="C20" s="6"/>
      <c r="D20" s="6"/>
      <c r="E20" s="6"/>
      <c r="F20" s="6"/>
      <c r="G20" s="6"/>
      <c r="H20" s="6"/>
    </row>
    <row r="21" spans="1:9" x14ac:dyDescent="0.2">
      <c r="A21" s="1" t="s">
        <v>86</v>
      </c>
      <c r="B21" s="6">
        <v>12332</v>
      </c>
      <c r="C21" s="6">
        <v>53808329.210000001</v>
      </c>
      <c r="D21" s="6">
        <v>7765973.9900000002</v>
      </c>
      <c r="E21" s="6">
        <v>5594794.0800000001</v>
      </c>
      <c r="F21" s="6">
        <v>1942513.07</v>
      </c>
      <c r="G21" s="6">
        <v>3555438.11</v>
      </c>
      <c r="H21" s="6">
        <v>72667048.459999993</v>
      </c>
      <c r="I21" s="6">
        <f>H21/B21</f>
        <v>5892.5598816088223</v>
      </c>
    </row>
    <row r="22" spans="1:9" x14ac:dyDescent="0.2">
      <c r="A22" s="14" t="s">
        <v>87</v>
      </c>
      <c r="B22" s="7">
        <v>7484</v>
      </c>
      <c r="C22" s="7">
        <v>44195613.829999998</v>
      </c>
      <c r="D22" s="7">
        <v>6604755.54</v>
      </c>
      <c r="E22" s="7">
        <v>6794346.1799999997</v>
      </c>
      <c r="F22" s="7">
        <v>2873138.08</v>
      </c>
      <c r="G22" s="7">
        <v>1662112.24</v>
      </c>
      <c r="H22" s="7">
        <v>62129965.869999997</v>
      </c>
      <c r="I22" s="6">
        <f>H22/B22</f>
        <v>8301.7057549438796</v>
      </c>
    </row>
    <row r="23" spans="1:9" ht="13.5" thickBot="1" x14ac:dyDescent="0.25">
      <c r="A23" s="15" t="s">
        <v>105</v>
      </c>
      <c r="B23" s="8">
        <v>19816</v>
      </c>
      <c r="C23" s="8">
        <v>98003943.039999992</v>
      </c>
      <c r="D23" s="8">
        <v>14370729.530000001</v>
      </c>
      <c r="E23" s="8">
        <v>12389140.26</v>
      </c>
      <c r="F23" s="8">
        <v>4815651.1500000004</v>
      </c>
      <c r="G23" s="8">
        <v>5217550.3499999996</v>
      </c>
      <c r="H23" s="8">
        <v>134797014.33000001</v>
      </c>
      <c r="I23" s="8">
        <f>H23/B23</f>
        <v>6802.4331010294718</v>
      </c>
    </row>
    <row r="24" spans="1:9" ht="13.5" thickTop="1" x14ac:dyDescent="0.2">
      <c r="A24" s="1"/>
      <c r="B24" s="6"/>
      <c r="C24" s="6"/>
      <c r="D24" s="6"/>
      <c r="E24" s="6"/>
      <c r="F24" s="6"/>
      <c r="G24" s="6"/>
      <c r="H24" s="6"/>
      <c r="I24" s="6"/>
    </row>
    <row r="25" spans="1:9" ht="13.5" thickBot="1" x14ac:dyDescent="0.25">
      <c r="A25" s="128" t="s">
        <v>209</v>
      </c>
      <c r="B25" s="126">
        <v>159742</v>
      </c>
      <c r="C25" s="126">
        <v>750503539.86999989</v>
      </c>
      <c r="D25" s="126">
        <v>107512280.36</v>
      </c>
      <c r="E25" s="126">
        <v>85129108.280000001</v>
      </c>
      <c r="F25" s="126">
        <v>30457132.050000001</v>
      </c>
      <c r="G25" s="126">
        <v>30373726.960000001</v>
      </c>
      <c r="H25" s="126">
        <v>1003975787.52</v>
      </c>
      <c r="I25" s="8">
        <f>H25/B25</f>
        <v>6284.9832074219676</v>
      </c>
    </row>
    <row r="26" spans="1:9" x14ac:dyDescent="0.2">
      <c r="A26" s="1"/>
      <c r="B26" s="6"/>
      <c r="C26" s="6"/>
      <c r="D26" s="6"/>
      <c r="E26" s="6"/>
      <c r="F26" s="6"/>
      <c r="G26" s="6"/>
      <c r="H26" s="6"/>
    </row>
    <row r="27" spans="1:9" x14ac:dyDescent="0.2">
      <c r="A27" s="36" t="s">
        <v>247</v>
      </c>
      <c r="B27" s="6"/>
      <c r="C27" s="6"/>
      <c r="D27" s="6"/>
      <c r="E27" s="6"/>
      <c r="F27" s="6"/>
      <c r="G27" s="6"/>
      <c r="H27" s="6"/>
    </row>
    <row r="28" spans="1:9" x14ac:dyDescent="0.2">
      <c r="A28" s="36" t="s">
        <v>264</v>
      </c>
      <c r="B28" s="1"/>
      <c r="C28" s="6"/>
      <c r="D28" s="6"/>
      <c r="E28" s="6"/>
      <c r="F28" s="6"/>
      <c r="G28" s="6"/>
      <c r="H28" s="6"/>
    </row>
    <row r="29" spans="1:9" ht="33.75" x14ac:dyDescent="0.2">
      <c r="A29" s="155" t="s">
        <v>245</v>
      </c>
      <c r="B29" s="141" t="s">
        <v>201</v>
      </c>
      <c r="C29" s="141" t="s">
        <v>225</v>
      </c>
      <c r="D29" s="141" t="s">
        <v>226</v>
      </c>
      <c r="E29" s="141" t="s">
        <v>227</v>
      </c>
      <c r="F29" s="141" t="s">
        <v>228</v>
      </c>
      <c r="G29" s="141" t="s">
        <v>216</v>
      </c>
      <c r="H29" s="155" t="s">
        <v>229</v>
      </c>
    </row>
    <row r="30" spans="1:9" x14ac:dyDescent="0.2">
      <c r="A30" s="1" t="s">
        <v>102</v>
      </c>
      <c r="B30" s="6">
        <v>35959</v>
      </c>
      <c r="C30" s="6">
        <v>4434.2700000000004</v>
      </c>
      <c r="D30" s="6">
        <v>580.65</v>
      </c>
      <c r="E30" s="6">
        <v>324.58999999999997</v>
      </c>
      <c r="F30" s="6">
        <v>87.28</v>
      </c>
      <c r="G30" s="6">
        <v>135.52000000000001</v>
      </c>
      <c r="H30" s="6">
        <v>5562.3106412859097</v>
      </c>
    </row>
    <row r="31" spans="1:9" x14ac:dyDescent="0.2">
      <c r="A31" s="1" t="s">
        <v>76</v>
      </c>
      <c r="B31" s="6">
        <v>24474</v>
      </c>
      <c r="C31" s="6">
        <v>4572.59</v>
      </c>
      <c r="D31" s="6">
        <v>448.83</v>
      </c>
      <c r="E31" s="6">
        <v>433.12</v>
      </c>
      <c r="F31" s="6">
        <v>181.42</v>
      </c>
      <c r="G31" s="6">
        <v>184.67</v>
      </c>
      <c r="H31" s="6">
        <v>5820.6252063414231</v>
      </c>
    </row>
    <row r="32" spans="1:9" x14ac:dyDescent="0.2">
      <c r="A32" s="1" t="s">
        <v>77</v>
      </c>
      <c r="B32" s="6">
        <v>12843</v>
      </c>
      <c r="C32" s="6">
        <v>4884.59</v>
      </c>
      <c r="D32" s="6">
        <v>526.85</v>
      </c>
      <c r="E32" s="6">
        <v>590.52</v>
      </c>
      <c r="F32" s="6">
        <v>194.2</v>
      </c>
      <c r="G32" s="6">
        <v>173.6</v>
      </c>
      <c r="H32" s="6">
        <v>6369.7548384333877</v>
      </c>
    </row>
    <row r="33" spans="1:8" x14ac:dyDescent="0.2">
      <c r="A33" s="1" t="s">
        <v>78</v>
      </c>
      <c r="B33" s="6">
        <v>14333</v>
      </c>
      <c r="C33" s="6">
        <v>4386.47</v>
      </c>
      <c r="D33" s="6">
        <v>598.91</v>
      </c>
      <c r="E33" s="6">
        <v>569.07000000000005</v>
      </c>
      <c r="F33" s="6">
        <v>155.01</v>
      </c>
      <c r="G33" s="6">
        <v>233.93</v>
      </c>
      <c r="H33" s="6">
        <v>5943.3916912021195</v>
      </c>
    </row>
    <row r="34" spans="1:8" x14ac:dyDescent="0.2">
      <c r="A34" s="1" t="s">
        <v>79</v>
      </c>
      <c r="B34" s="6">
        <v>5735</v>
      </c>
      <c r="C34" s="6">
        <v>4735.97</v>
      </c>
      <c r="D34" s="6">
        <v>835.32</v>
      </c>
      <c r="E34" s="6">
        <v>733.16</v>
      </c>
      <c r="F34" s="6">
        <v>244.61</v>
      </c>
      <c r="G34" s="6">
        <v>227.4</v>
      </c>
      <c r="H34" s="6">
        <v>6776.4574768962502</v>
      </c>
    </row>
    <row r="35" spans="1:8" x14ac:dyDescent="0.2">
      <c r="A35" s="1" t="s">
        <v>80</v>
      </c>
      <c r="B35" s="6">
        <v>1522</v>
      </c>
      <c r="C35" s="6">
        <v>4032.34</v>
      </c>
      <c r="D35" s="6">
        <v>1135.95</v>
      </c>
      <c r="E35" s="6">
        <v>789.54</v>
      </c>
      <c r="F35" s="6">
        <v>377.93</v>
      </c>
      <c r="G35" s="6">
        <v>52.94</v>
      </c>
      <c r="H35" s="6">
        <v>6388.7010183968459</v>
      </c>
    </row>
    <row r="36" spans="1:8" ht="13.5" thickBot="1" x14ac:dyDescent="0.25">
      <c r="A36" s="15" t="s">
        <v>103</v>
      </c>
      <c r="B36" s="8">
        <v>94866</v>
      </c>
      <c r="C36" s="8">
        <v>4535.4893180907802</v>
      </c>
      <c r="D36" s="8">
        <v>566.42151687643627</v>
      </c>
      <c r="E36" s="8">
        <v>457.68846372778444</v>
      </c>
      <c r="F36" s="8">
        <v>150.44742383994267</v>
      </c>
      <c r="G36" s="8">
        <v>172.45165127653746</v>
      </c>
      <c r="H36" s="8">
        <v>5882.4983738114815</v>
      </c>
    </row>
    <row r="37" spans="1:8" ht="13.5" thickTop="1" x14ac:dyDescent="0.2">
      <c r="A37" s="1"/>
      <c r="B37" s="6"/>
      <c r="C37" s="6"/>
      <c r="D37" s="6"/>
      <c r="E37" s="6"/>
      <c r="F37" s="6"/>
      <c r="G37" s="6"/>
      <c r="H37" s="6"/>
    </row>
    <row r="38" spans="1:8" x14ac:dyDescent="0.2">
      <c r="A38" s="1"/>
      <c r="B38" s="6"/>
      <c r="C38" s="6"/>
      <c r="D38" s="6"/>
      <c r="E38" s="6"/>
      <c r="F38" s="6"/>
      <c r="G38" s="6"/>
      <c r="H38" s="6"/>
    </row>
    <row r="39" spans="1:8" x14ac:dyDescent="0.2">
      <c r="A39" s="1" t="s">
        <v>81</v>
      </c>
      <c r="B39" s="6">
        <v>22915</v>
      </c>
      <c r="C39" s="6">
        <v>4628.1899999999996</v>
      </c>
      <c r="D39" s="6">
        <v>828.56</v>
      </c>
      <c r="E39" s="6">
        <v>448.4</v>
      </c>
      <c r="F39" s="6">
        <v>163.58000000000001</v>
      </c>
      <c r="G39" s="6">
        <v>248.94</v>
      </c>
      <c r="H39" s="6">
        <v>6317.6695134191577</v>
      </c>
    </row>
    <row r="40" spans="1:8" x14ac:dyDescent="0.2">
      <c r="A40" s="1" t="s">
        <v>82</v>
      </c>
      <c r="B40" s="6">
        <v>10365</v>
      </c>
      <c r="C40" s="6">
        <v>4607.09</v>
      </c>
      <c r="D40" s="6">
        <v>647.61</v>
      </c>
      <c r="E40" s="6">
        <v>687.63</v>
      </c>
      <c r="F40" s="6">
        <v>278.91000000000003</v>
      </c>
      <c r="G40" s="6">
        <v>72.89</v>
      </c>
      <c r="H40" s="6">
        <v>6294.1312059816692</v>
      </c>
    </row>
    <row r="41" spans="1:8" x14ac:dyDescent="0.2">
      <c r="A41" s="1" t="s">
        <v>83</v>
      </c>
      <c r="B41" s="6">
        <v>4844</v>
      </c>
      <c r="C41" s="6">
        <v>4987.76</v>
      </c>
      <c r="D41" s="6">
        <v>958.62</v>
      </c>
      <c r="E41" s="6">
        <v>787.62</v>
      </c>
      <c r="F41" s="6">
        <v>405.74</v>
      </c>
      <c r="G41" s="6">
        <v>223.67</v>
      </c>
      <c r="H41" s="6">
        <v>7363.4163439306367</v>
      </c>
    </row>
    <row r="42" spans="1:8" x14ac:dyDescent="0.2">
      <c r="A42" s="1" t="s">
        <v>84</v>
      </c>
      <c r="B42" s="6">
        <v>5489</v>
      </c>
      <c r="C42" s="6">
        <v>5992.1</v>
      </c>
      <c r="D42" s="6">
        <v>1189.32</v>
      </c>
      <c r="E42" s="6">
        <v>1099.01</v>
      </c>
      <c r="F42" s="6">
        <v>336.73</v>
      </c>
      <c r="G42" s="6">
        <v>163.81</v>
      </c>
      <c r="H42" s="6">
        <v>8780.9703133539806</v>
      </c>
    </row>
    <row r="43" spans="1:8" x14ac:dyDescent="0.2">
      <c r="A43" s="14" t="s">
        <v>85</v>
      </c>
      <c r="B43" s="7">
        <v>1447</v>
      </c>
      <c r="C43" s="6">
        <v>7862.54</v>
      </c>
      <c r="D43" s="6">
        <v>1753.16</v>
      </c>
      <c r="E43" s="6">
        <v>1431.15</v>
      </c>
      <c r="F43" s="6">
        <v>633.04999999999995</v>
      </c>
      <c r="G43" s="6">
        <v>244.42</v>
      </c>
      <c r="H43" s="6">
        <v>11924.312916378714</v>
      </c>
    </row>
    <row r="44" spans="1:8" ht="13.5" thickBot="1" x14ac:dyDescent="0.25">
      <c r="A44" s="15" t="s">
        <v>104</v>
      </c>
      <c r="B44" s="8">
        <v>45060</v>
      </c>
      <c r="C44" s="8">
        <v>4931.9988277851744</v>
      </c>
      <c r="D44" s="8">
        <v>874.5540881047491</v>
      </c>
      <c r="E44" s="8">
        <v>650.70781668885934</v>
      </c>
      <c r="F44" s="8">
        <v>252.31104283177984</v>
      </c>
      <c r="G44" s="8">
        <v>195.21478606302708</v>
      </c>
      <c r="H44" s="8">
        <v>6904.7865614735902</v>
      </c>
    </row>
    <row r="45" spans="1:8" ht="13.5" thickTop="1" x14ac:dyDescent="0.2">
      <c r="A45" s="1"/>
      <c r="B45" s="6"/>
      <c r="C45" s="6"/>
      <c r="D45" s="6"/>
      <c r="E45" s="6"/>
      <c r="F45" s="6"/>
      <c r="G45" s="6"/>
      <c r="H45" s="6"/>
    </row>
    <row r="46" spans="1:8" x14ac:dyDescent="0.2">
      <c r="A46" s="1"/>
      <c r="B46" s="6"/>
      <c r="C46" s="6"/>
      <c r="D46" s="6"/>
      <c r="E46" s="6"/>
      <c r="F46" s="6"/>
      <c r="G46" s="6"/>
      <c r="H46" s="6"/>
    </row>
    <row r="47" spans="1:8" x14ac:dyDescent="0.2">
      <c r="A47" s="1" t="s">
        <v>86</v>
      </c>
      <c r="B47" s="6">
        <v>12332</v>
      </c>
      <c r="C47" s="6">
        <v>4363.3100000000004</v>
      </c>
      <c r="D47" s="6">
        <v>629.74</v>
      </c>
      <c r="E47" s="6">
        <v>453.68</v>
      </c>
      <c r="F47" s="6">
        <v>157.52000000000001</v>
      </c>
      <c r="G47" s="6">
        <v>288.31</v>
      </c>
      <c r="H47" s="6">
        <v>5892.5598816088223</v>
      </c>
    </row>
    <row r="48" spans="1:8" x14ac:dyDescent="0.2">
      <c r="A48" s="1" t="s">
        <v>87</v>
      </c>
      <c r="B48" s="6">
        <v>7484</v>
      </c>
      <c r="C48" s="6">
        <v>5905.35</v>
      </c>
      <c r="D48" s="6">
        <v>882.52</v>
      </c>
      <c r="E48" s="6">
        <v>907.85</v>
      </c>
      <c r="F48" s="6">
        <v>383.9</v>
      </c>
      <c r="G48" s="6">
        <v>222.09</v>
      </c>
      <c r="H48" s="6">
        <v>8301.7057549438796</v>
      </c>
    </row>
    <row r="49" spans="1:8" ht="13.5" thickBot="1" x14ac:dyDescent="0.25">
      <c r="A49" s="15" t="s">
        <v>105</v>
      </c>
      <c r="B49" s="8">
        <v>19816</v>
      </c>
      <c r="C49" s="8">
        <v>4945.6975696406944</v>
      </c>
      <c r="D49" s="8">
        <v>725.20839372224475</v>
      </c>
      <c r="E49" s="8">
        <v>625.20893520387563</v>
      </c>
      <c r="F49" s="8">
        <v>243.01832610012113</v>
      </c>
      <c r="G49" s="8">
        <v>263.29987636253531</v>
      </c>
      <c r="H49" s="8">
        <v>6802.4331010294718</v>
      </c>
    </row>
    <row r="50" spans="1:8" ht="13.5" thickTop="1" x14ac:dyDescent="0.2">
      <c r="A50" s="1"/>
      <c r="B50" s="6"/>
      <c r="C50" s="6"/>
      <c r="D50" s="6"/>
      <c r="E50" s="6"/>
      <c r="F50" s="6"/>
      <c r="G50" s="6"/>
      <c r="H50" s="6"/>
    </row>
    <row r="51" spans="1:8" ht="13.5" thickBot="1" x14ac:dyDescent="0.25">
      <c r="A51" s="128" t="s">
        <v>209</v>
      </c>
      <c r="B51" s="126">
        <v>159742</v>
      </c>
      <c r="C51" s="126">
        <v>4698.2230087891721</v>
      </c>
      <c r="D51" s="126">
        <v>673.03702445192869</v>
      </c>
      <c r="E51" s="126">
        <v>532.91625420991352</v>
      </c>
      <c r="F51" s="126">
        <v>190.66452185398956</v>
      </c>
      <c r="G51" s="126">
        <v>190.14239811696362</v>
      </c>
      <c r="H51" s="126">
        <v>6284.9832074219676</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6" t="s">
        <v>247</v>
      </c>
      <c r="B55" s="1"/>
      <c r="C55" s="6"/>
      <c r="D55" s="6"/>
      <c r="E55" s="6"/>
      <c r="F55" s="6"/>
      <c r="G55" s="6"/>
      <c r="H55" s="6"/>
    </row>
    <row r="56" spans="1:8" x14ac:dyDescent="0.2">
      <c r="A56" s="22" t="s">
        <v>274</v>
      </c>
      <c r="B56" s="1"/>
      <c r="C56" s="6"/>
      <c r="D56" s="6"/>
      <c r="E56" s="6"/>
      <c r="F56" s="6"/>
      <c r="G56" s="6"/>
      <c r="H56" s="6"/>
    </row>
    <row r="57" spans="1:8" ht="33.75" x14ac:dyDescent="0.2">
      <c r="A57" s="155" t="s">
        <v>245</v>
      </c>
      <c r="B57" s="141"/>
      <c r="C57" s="141" t="s">
        <v>225</v>
      </c>
      <c r="D57" s="141" t="s">
        <v>226</v>
      </c>
      <c r="E57" s="141" t="s">
        <v>227</v>
      </c>
      <c r="F57" s="141" t="s">
        <v>228</v>
      </c>
      <c r="G57" s="141" t="s">
        <v>216</v>
      </c>
      <c r="H57" s="125"/>
    </row>
    <row r="58" spans="1:8" x14ac:dyDescent="0.2">
      <c r="A58" s="1" t="s">
        <v>102</v>
      </c>
      <c r="B58" s="1"/>
      <c r="C58" s="9">
        <v>0.79719927310188377</v>
      </c>
      <c r="D58" s="9">
        <v>0.10439007050238455</v>
      </c>
      <c r="E58" s="9">
        <v>5.8355244957149749E-2</v>
      </c>
      <c r="F58" s="9">
        <v>1.5691320681043872E-2</v>
      </c>
      <c r="G58" s="9">
        <v>2.4363975466258774E-2</v>
      </c>
      <c r="H58" s="9"/>
    </row>
    <row r="59" spans="1:8" x14ac:dyDescent="0.2">
      <c r="A59" s="1" t="s">
        <v>76</v>
      </c>
      <c r="B59" s="1"/>
      <c r="C59" s="9">
        <v>0.78558399448538274</v>
      </c>
      <c r="D59" s="9">
        <v>7.7110273224775081E-2</v>
      </c>
      <c r="E59" s="9">
        <v>7.4411250449200328E-2</v>
      </c>
      <c r="F59" s="9">
        <v>3.1168473070959372E-2</v>
      </c>
      <c r="G59" s="9">
        <v>3.1726832333888587E-2</v>
      </c>
      <c r="H59" s="9"/>
    </row>
    <row r="60" spans="1:8" x14ac:dyDescent="0.2">
      <c r="A60" s="1" t="s">
        <v>77</v>
      </c>
      <c r="B60" s="1"/>
      <c r="C60" s="9">
        <v>0.76684113029401035</v>
      </c>
      <c r="D60" s="9">
        <v>8.2711189576893732E-2</v>
      </c>
      <c r="E60" s="9">
        <v>9.2706864703325953E-2</v>
      </c>
      <c r="F60" s="9">
        <v>3.0487829583055445E-2</v>
      </c>
      <c r="G60" s="9">
        <v>2.725379616693319E-2</v>
      </c>
      <c r="H60" s="9"/>
    </row>
    <row r="61" spans="1:8" x14ac:dyDescent="0.2">
      <c r="A61" s="1" t="s">
        <v>78</v>
      </c>
      <c r="B61" s="1"/>
      <c r="C61" s="9">
        <v>0.73804154730256155</v>
      </c>
      <c r="D61" s="9">
        <v>0.10076906102058764</v>
      </c>
      <c r="E61" s="9">
        <v>9.5748358776754139E-2</v>
      </c>
      <c r="F61" s="9">
        <v>2.6081067520664691E-2</v>
      </c>
      <c r="G61" s="9">
        <v>3.9359680827747191E-2</v>
      </c>
      <c r="H61" s="9"/>
    </row>
    <row r="62" spans="1:8" x14ac:dyDescent="0.2">
      <c r="A62" s="1" t="s">
        <v>79</v>
      </c>
      <c r="B62" s="1"/>
      <c r="C62" s="9">
        <v>0.69888581403290484</v>
      </c>
      <c r="D62" s="9">
        <v>0.12326794683622702</v>
      </c>
      <c r="E62" s="9">
        <v>0.10819222322277473</v>
      </c>
      <c r="F62" s="9">
        <v>3.6097031647284263E-2</v>
      </c>
      <c r="G62" s="9">
        <v>3.3557356594548227E-2</v>
      </c>
      <c r="H62" s="9"/>
    </row>
    <row r="63" spans="1:8" x14ac:dyDescent="0.2">
      <c r="A63" s="1" t="s">
        <v>80</v>
      </c>
      <c r="B63" s="1"/>
      <c r="C63" s="9">
        <v>0.63116742955860827</v>
      </c>
      <c r="D63" s="9">
        <v>0.1778060980986477</v>
      </c>
      <c r="E63" s="9">
        <v>0.12358380799578</v>
      </c>
      <c r="F63" s="9">
        <v>5.9156000400036907E-2</v>
      </c>
      <c r="G63" s="9">
        <v>8.2865045409942408E-3</v>
      </c>
      <c r="H63" s="9"/>
    </row>
    <row r="64" spans="1:8" ht="13.5" thickBot="1" x14ac:dyDescent="0.25">
      <c r="A64" s="15" t="s">
        <v>103</v>
      </c>
      <c r="B64" s="15"/>
      <c r="C64" s="11">
        <v>0.77101412187081897</v>
      </c>
      <c r="D64" s="11">
        <v>9.6289277256430661E-2</v>
      </c>
      <c r="E64" s="11">
        <v>7.7805115215226428E-2</v>
      </c>
      <c r="F64" s="11">
        <v>2.5575429737426752E-2</v>
      </c>
      <c r="G64" s="11">
        <v>2.9316055920097069E-2</v>
      </c>
      <c r="H64" s="9"/>
    </row>
    <row r="65" spans="1:8" ht="13.5" thickTop="1" x14ac:dyDescent="0.2">
      <c r="A65" s="1"/>
      <c r="B65" s="1"/>
      <c r="C65" s="9"/>
      <c r="D65" s="9"/>
      <c r="E65" s="9"/>
      <c r="F65" s="9"/>
      <c r="G65" s="9"/>
      <c r="H65" s="9"/>
    </row>
    <row r="66" spans="1:8" x14ac:dyDescent="0.2">
      <c r="A66" s="1"/>
      <c r="B66" s="1"/>
      <c r="C66" s="9"/>
      <c r="D66" s="9"/>
      <c r="E66" s="9"/>
      <c r="F66" s="9"/>
      <c r="G66" s="9"/>
      <c r="H66" s="9"/>
    </row>
    <row r="67" spans="1:8" x14ac:dyDescent="0.2">
      <c r="A67" s="1" t="s">
        <v>81</v>
      </c>
      <c r="B67" s="1"/>
      <c r="C67" s="9">
        <v>0.73257868113699376</v>
      </c>
      <c r="D67" s="9">
        <v>0.13114962696926175</v>
      </c>
      <c r="E67" s="9">
        <v>7.0975539167974527E-2</v>
      </c>
      <c r="F67" s="9">
        <v>2.589245918175128E-2</v>
      </c>
      <c r="G67" s="9">
        <v>3.9403770563058826E-2</v>
      </c>
      <c r="H67" s="9"/>
    </row>
    <row r="68" spans="1:8" x14ac:dyDescent="0.2">
      <c r="A68" s="1" t="s">
        <v>82</v>
      </c>
      <c r="B68" s="1"/>
      <c r="C68" s="9">
        <v>0.7319659932766609</v>
      </c>
      <c r="D68" s="9">
        <v>0.10289108676103535</v>
      </c>
      <c r="E68" s="9">
        <v>0.10924939082085011</v>
      </c>
      <c r="F68" s="9">
        <v>4.4312708278933882E-2</v>
      </c>
      <c r="G68" s="9">
        <v>1.1580629258368258E-2</v>
      </c>
      <c r="H68" s="9"/>
    </row>
    <row r="69" spans="1:8" x14ac:dyDescent="0.2">
      <c r="A69" s="1" t="s">
        <v>83</v>
      </c>
      <c r="B69" s="1"/>
      <c r="C69" s="9">
        <v>0.67737036275440365</v>
      </c>
      <c r="D69" s="9">
        <v>0.13018685284448858</v>
      </c>
      <c r="E69" s="9">
        <v>0.10696393673966338</v>
      </c>
      <c r="F69" s="9">
        <v>5.5102140236092299E-2</v>
      </c>
      <c r="G69" s="9">
        <v>3.037584587816524E-2</v>
      </c>
      <c r="H69" s="9"/>
    </row>
    <row r="70" spans="1:8" x14ac:dyDescent="0.2">
      <c r="A70" s="1" t="s">
        <v>84</v>
      </c>
      <c r="B70" s="1"/>
      <c r="C70" s="9">
        <v>0.68239611183826643</v>
      </c>
      <c r="D70" s="9">
        <v>0.13544289042764421</v>
      </c>
      <c r="E70" s="9">
        <v>0.12515815004278519</v>
      </c>
      <c r="F70" s="9">
        <v>3.8347698259257934E-2</v>
      </c>
      <c r="G70" s="9">
        <v>1.8655113746470588E-2</v>
      </c>
      <c r="H70" s="9"/>
    </row>
    <row r="71" spans="1:8" x14ac:dyDescent="0.2">
      <c r="A71" s="14" t="s">
        <v>85</v>
      </c>
      <c r="B71" s="1"/>
      <c r="C71" s="9">
        <v>0.65937048575774615</v>
      </c>
      <c r="D71" s="9">
        <v>0.14702398471881228</v>
      </c>
      <c r="E71" s="9">
        <v>0.12001949378854651</v>
      </c>
      <c r="F71" s="9">
        <v>5.3089012712042319E-2</v>
      </c>
      <c r="G71" s="9">
        <v>2.0497617071443621E-2</v>
      </c>
      <c r="H71" s="9"/>
    </row>
    <row r="72" spans="1:8" ht="13.5" thickBot="1" x14ac:dyDescent="0.25">
      <c r="A72" s="15" t="s">
        <v>104</v>
      </c>
      <c r="B72" s="15"/>
      <c r="C72" s="11">
        <v>0.71428693470469973</v>
      </c>
      <c r="D72" s="11">
        <v>0.1266591052914611</v>
      </c>
      <c r="E72" s="11">
        <v>9.4240105888224304E-2</v>
      </c>
      <c r="F72" s="11">
        <v>3.6541468818108214E-2</v>
      </c>
      <c r="G72" s="11">
        <v>2.82723852975066E-2</v>
      </c>
      <c r="H72" s="9"/>
    </row>
    <row r="73" spans="1:8" ht="13.5" thickTop="1" x14ac:dyDescent="0.2">
      <c r="A73" s="1"/>
      <c r="B73" s="1"/>
      <c r="C73" s="9"/>
      <c r="D73" s="9"/>
      <c r="E73" s="9"/>
      <c r="F73" s="9"/>
      <c r="G73" s="9"/>
      <c r="H73" s="9"/>
    </row>
    <row r="74" spans="1:8" x14ac:dyDescent="0.2">
      <c r="A74" s="1"/>
      <c r="B74" s="1"/>
      <c r="C74" s="9"/>
      <c r="D74" s="9"/>
      <c r="E74" s="9"/>
      <c r="F74" s="9"/>
      <c r="G74" s="9"/>
      <c r="H74" s="9"/>
    </row>
    <row r="75" spans="1:8" x14ac:dyDescent="0.2">
      <c r="A75" s="1" t="s">
        <v>86</v>
      </c>
      <c r="B75" s="1"/>
      <c r="C75" s="9">
        <v>0.74047783775914777</v>
      </c>
      <c r="D75" s="9">
        <v>0.10687036070103789</v>
      </c>
      <c r="E75" s="9">
        <v>7.699200502246463E-2</v>
      </c>
      <c r="F75" s="9">
        <v>2.6732015145341712E-2</v>
      </c>
      <c r="G75" s="9">
        <v>4.8927801463645691E-2</v>
      </c>
      <c r="H75" s="9"/>
    </row>
    <row r="76" spans="1:8" x14ac:dyDescent="0.2">
      <c r="A76" s="1" t="s">
        <v>87</v>
      </c>
      <c r="B76" s="1"/>
      <c r="C76" s="9">
        <v>0.71134176208102928</v>
      </c>
      <c r="D76" s="9">
        <v>0.10630586364428016</v>
      </c>
      <c r="E76" s="9">
        <v>0.10935704381709169</v>
      </c>
      <c r="F76" s="9">
        <v>4.6243508422516379E-2</v>
      </c>
      <c r="G76" s="9">
        <v>2.6752333382538847E-2</v>
      </c>
      <c r="H76" s="9"/>
    </row>
    <row r="77" spans="1:8" ht="13.5" thickBot="1" x14ac:dyDescent="0.25">
      <c r="A77" s="15" t="s">
        <v>105</v>
      </c>
      <c r="B77" s="15"/>
      <c r="C77" s="11">
        <v>0.72704832170892186</v>
      </c>
      <c r="D77" s="11">
        <v>0.10661014712698794</v>
      </c>
      <c r="E77" s="11">
        <v>9.1909604389825941E-2</v>
      </c>
      <c r="F77" s="11">
        <v>3.5725206332913886E-2</v>
      </c>
      <c r="G77" s="11">
        <v>3.870672044135029E-2</v>
      </c>
      <c r="H77" s="9"/>
    </row>
    <row r="78" spans="1:8" ht="13.5" thickTop="1" x14ac:dyDescent="0.2">
      <c r="A78" s="1"/>
      <c r="B78" s="1"/>
      <c r="C78" s="9"/>
      <c r="D78" s="9"/>
      <c r="E78" s="9"/>
      <c r="F78" s="9"/>
      <c r="G78" s="9"/>
      <c r="H78" s="9"/>
    </row>
    <row r="79" spans="1:8" ht="13.5" thickBot="1" x14ac:dyDescent="0.25">
      <c r="A79" s="128" t="s">
        <v>230</v>
      </c>
      <c r="B79" s="128"/>
      <c r="C79" s="127">
        <v>0.74753151340818502</v>
      </c>
      <c r="D79" s="127">
        <v>0.10708652708206698</v>
      </c>
      <c r="E79" s="127">
        <v>8.4791993331118226E-2</v>
      </c>
      <c r="F79" s="127">
        <v>3.0336520490433911E-2</v>
      </c>
      <c r="G79" s="127">
        <v>3.0253445688195876E-2</v>
      </c>
      <c r="H79" s="9"/>
    </row>
  </sheetData>
  <phoneticPr fontId="7"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77"/>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9.5703125" bestFit="1" customWidth="1"/>
    <col min="5" max="7" width="8.7109375" bestFit="1" customWidth="1"/>
    <col min="8" max="8" width="9.5703125" bestFit="1" customWidth="1"/>
  </cols>
  <sheetData>
    <row r="1" spans="1:9" x14ac:dyDescent="0.2">
      <c r="A1" s="36" t="s">
        <v>247</v>
      </c>
      <c r="I1" s="122"/>
    </row>
    <row r="2" spans="1:9" x14ac:dyDescent="0.2">
      <c r="A2" s="22" t="s">
        <v>282</v>
      </c>
      <c r="I2" s="122"/>
    </row>
    <row r="3" spans="1:9" x14ac:dyDescent="0.2">
      <c r="B3" s="80"/>
      <c r="C3" s="81" t="s">
        <v>139</v>
      </c>
      <c r="D3" s="81" t="s">
        <v>140</v>
      </c>
      <c r="E3" s="81"/>
      <c r="F3" s="81" t="s">
        <v>141</v>
      </c>
      <c r="G3" s="81"/>
      <c r="H3" s="81"/>
      <c r="I3" s="181" t="s">
        <v>454</v>
      </c>
    </row>
    <row r="4" spans="1:9" x14ac:dyDescent="0.2">
      <c r="A4" s="155" t="s">
        <v>245</v>
      </c>
      <c r="B4" s="164" t="s">
        <v>180</v>
      </c>
      <c r="C4" s="163" t="s">
        <v>159</v>
      </c>
      <c r="D4" s="163" t="s">
        <v>129</v>
      </c>
      <c r="E4" s="163" t="s">
        <v>91</v>
      </c>
      <c r="F4" s="163" t="s">
        <v>145</v>
      </c>
      <c r="G4" s="163" t="s">
        <v>93</v>
      </c>
      <c r="H4" s="163" t="s">
        <v>106</v>
      </c>
      <c r="I4" s="141" t="s">
        <v>396</v>
      </c>
    </row>
    <row r="5" spans="1:9" x14ac:dyDescent="0.2">
      <c r="A5" s="83" t="s">
        <v>102</v>
      </c>
      <c r="B5" s="83">
        <v>39026</v>
      </c>
      <c r="C5" s="83">
        <v>164094090.88</v>
      </c>
      <c r="D5" s="83">
        <v>19937812.530000001</v>
      </c>
      <c r="E5" s="83">
        <v>11911734.73</v>
      </c>
      <c r="F5" s="83">
        <v>5389798.2199999997</v>
      </c>
      <c r="G5" s="83">
        <v>6227745.9500000002</v>
      </c>
      <c r="H5" s="83">
        <v>207561182.30999997</v>
      </c>
      <c r="I5" s="6">
        <f>H5/B5</f>
        <v>5318.535907087582</v>
      </c>
    </row>
    <row r="6" spans="1:9" x14ac:dyDescent="0.2">
      <c r="A6" s="83" t="s">
        <v>76</v>
      </c>
      <c r="B6" s="83">
        <v>23422</v>
      </c>
      <c r="C6" s="83">
        <v>100615391.68000001</v>
      </c>
      <c r="D6" s="83">
        <v>10292954.380000001</v>
      </c>
      <c r="E6" s="83">
        <v>10180489.029999999</v>
      </c>
      <c r="F6" s="83">
        <v>5652140.7300000004</v>
      </c>
      <c r="G6" s="83">
        <v>3877622.71</v>
      </c>
      <c r="H6" s="83">
        <v>130618598.53</v>
      </c>
      <c r="I6" s="6">
        <f t="shared" ref="I6:I24" si="0">H6/B6</f>
        <v>5576.7482934847576</v>
      </c>
    </row>
    <row r="7" spans="1:9" x14ac:dyDescent="0.2">
      <c r="A7" s="83" t="s">
        <v>77</v>
      </c>
      <c r="B7" s="83">
        <v>12312</v>
      </c>
      <c r="C7" s="83">
        <v>55818866.090000004</v>
      </c>
      <c r="D7" s="83">
        <v>6397370.71</v>
      </c>
      <c r="E7" s="83">
        <v>6480103.3499999996</v>
      </c>
      <c r="F7" s="83">
        <v>3844123.06</v>
      </c>
      <c r="G7" s="83">
        <v>1927064.73</v>
      </c>
      <c r="H7" s="83">
        <v>74467527.940000013</v>
      </c>
      <c r="I7" s="6">
        <f t="shared" si="0"/>
        <v>6048.3697157244978</v>
      </c>
    </row>
    <row r="8" spans="1:9" x14ac:dyDescent="0.2">
      <c r="A8" s="83" t="s">
        <v>78</v>
      </c>
      <c r="B8" s="83">
        <v>15008</v>
      </c>
      <c r="C8" s="83">
        <v>63893005.82</v>
      </c>
      <c r="D8" s="83">
        <v>9000429.6199999992</v>
      </c>
      <c r="E8" s="83">
        <v>8645202.9900000002</v>
      </c>
      <c r="F8" s="83">
        <v>3428377.72</v>
      </c>
      <c r="G8" s="83">
        <v>3174545.4</v>
      </c>
      <c r="H8" s="83">
        <v>88141561.549999997</v>
      </c>
      <c r="I8" s="6">
        <f t="shared" si="0"/>
        <v>5872.9718516791045</v>
      </c>
    </row>
    <row r="9" spans="1:9" x14ac:dyDescent="0.2">
      <c r="A9" s="83" t="s">
        <v>79</v>
      </c>
      <c r="B9" s="83">
        <v>5864</v>
      </c>
      <c r="C9" s="83">
        <v>27497565.02</v>
      </c>
      <c r="D9" s="83">
        <v>4868966.4000000004</v>
      </c>
      <c r="E9" s="83">
        <v>3975108.45</v>
      </c>
      <c r="F9" s="83">
        <v>1380032.59</v>
      </c>
      <c r="G9" s="83">
        <v>1087370.43</v>
      </c>
      <c r="H9" s="83">
        <v>38809042.890000008</v>
      </c>
      <c r="I9" s="6">
        <f t="shared" si="0"/>
        <v>6618.1860317189648</v>
      </c>
    </row>
    <row r="10" spans="1:9" x14ac:dyDescent="0.2">
      <c r="A10" s="84" t="s">
        <v>80</v>
      </c>
      <c r="B10" s="84">
        <v>1573</v>
      </c>
      <c r="C10" s="84">
        <v>5896365.2800000003</v>
      </c>
      <c r="D10" s="84">
        <v>1575631.89</v>
      </c>
      <c r="E10" s="84">
        <v>966709.12</v>
      </c>
      <c r="F10" s="84">
        <v>315757.02</v>
      </c>
      <c r="G10" s="84">
        <v>72841.009999999995</v>
      </c>
      <c r="H10" s="84">
        <v>8827304.3199999984</v>
      </c>
      <c r="I10" s="7">
        <f t="shared" si="0"/>
        <v>5611.7637126509844</v>
      </c>
    </row>
    <row r="11" spans="1:9" x14ac:dyDescent="0.2">
      <c r="A11" s="83"/>
      <c r="B11" s="83">
        <v>97205</v>
      </c>
      <c r="C11" s="83">
        <v>417815284.76999992</v>
      </c>
      <c r="D11" s="83">
        <v>52073165.530000001</v>
      </c>
      <c r="E11" s="83">
        <v>42159347.670000002</v>
      </c>
      <c r="F11" s="83">
        <v>20010229.34</v>
      </c>
      <c r="G11" s="83">
        <v>16367190.23</v>
      </c>
      <c r="H11" s="83">
        <v>548425217.53999996</v>
      </c>
      <c r="I11" s="6">
        <f t="shared" si="0"/>
        <v>5641.9445248701195</v>
      </c>
    </row>
    <row r="12" spans="1:9" x14ac:dyDescent="0.2">
      <c r="A12" s="83"/>
      <c r="B12" s="83"/>
      <c r="C12" s="83"/>
      <c r="D12" s="83"/>
      <c r="E12" s="83"/>
      <c r="F12" s="83"/>
      <c r="G12" s="83"/>
      <c r="H12" s="83"/>
      <c r="I12" s="82"/>
    </row>
    <row r="13" spans="1:9" x14ac:dyDescent="0.2">
      <c r="A13" s="83" t="s">
        <v>81</v>
      </c>
      <c r="B13" s="83">
        <v>22638</v>
      </c>
      <c r="C13" s="83">
        <v>101635802.81</v>
      </c>
      <c r="D13" s="83">
        <v>17292006.399999999</v>
      </c>
      <c r="E13" s="83">
        <v>9574728.9499999993</v>
      </c>
      <c r="F13" s="83">
        <v>5037832.34</v>
      </c>
      <c r="G13" s="83">
        <v>6453120.6600000001</v>
      </c>
      <c r="H13" s="83">
        <v>139993491.16000003</v>
      </c>
      <c r="I13" s="6">
        <f t="shared" si="0"/>
        <v>6184.0043802456057</v>
      </c>
    </row>
    <row r="14" spans="1:9" x14ac:dyDescent="0.2">
      <c r="A14" s="83" t="s">
        <v>82</v>
      </c>
      <c r="B14" s="83">
        <v>10487</v>
      </c>
      <c r="C14" s="83">
        <v>46430508.469999999</v>
      </c>
      <c r="D14" s="83">
        <v>7043713.3399999999</v>
      </c>
      <c r="E14" s="83">
        <v>6205524.5700000003</v>
      </c>
      <c r="F14" s="83">
        <v>2919072.57</v>
      </c>
      <c r="G14" s="83">
        <v>1306947.73</v>
      </c>
      <c r="H14" s="83">
        <v>63905766.68</v>
      </c>
      <c r="I14" s="6">
        <f t="shared" si="0"/>
        <v>6093.808208257843</v>
      </c>
    </row>
    <row r="15" spans="1:9" x14ac:dyDescent="0.2">
      <c r="A15" s="83" t="s">
        <v>83</v>
      </c>
      <c r="B15" s="83">
        <v>5470</v>
      </c>
      <c r="C15" s="83">
        <v>25632353.25</v>
      </c>
      <c r="D15" s="83">
        <v>4831663.0999999996</v>
      </c>
      <c r="E15" s="83">
        <v>3858850.27</v>
      </c>
      <c r="F15" s="83">
        <v>1692167.32</v>
      </c>
      <c r="G15" s="83">
        <v>971256</v>
      </c>
      <c r="H15" s="83">
        <v>36986289.940000005</v>
      </c>
      <c r="I15" s="6">
        <f t="shared" si="0"/>
        <v>6761.6617806215727</v>
      </c>
    </row>
    <row r="16" spans="1:9" x14ac:dyDescent="0.2">
      <c r="A16" s="83" t="s">
        <v>84</v>
      </c>
      <c r="B16" s="83">
        <v>5258</v>
      </c>
      <c r="C16" s="83">
        <v>30481707.420000002</v>
      </c>
      <c r="D16" s="83">
        <v>6343718.7199999997</v>
      </c>
      <c r="E16" s="83">
        <v>5042088.76</v>
      </c>
      <c r="F16" s="83">
        <v>2246451.94</v>
      </c>
      <c r="G16" s="83">
        <v>1118394.48</v>
      </c>
      <c r="H16" s="83">
        <v>45232361.319999993</v>
      </c>
      <c r="I16" s="6">
        <f t="shared" si="0"/>
        <v>8602.5791783948262</v>
      </c>
    </row>
    <row r="17" spans="1:9" x14ac:dyDescent="0.2">
      <c r="A17" s="84" t="s">
        <v>85</v>
      </c>
      <c r="B17" s="84">
        <v>1479</v>
      </c>
      <c r="C17" s="84">
        <v>11550337.76</v>
      </c>
      <c r="D17" s="84">
        <v>2489242.6</v>
      </c>
      <c r="E17" s="84">
        <v>1957620.81</v>
      </c>
      <c r="F17" s="84">
        <v>1046971.58</v>
      </c>
      <c r="G17" s="84">
        <v>416730.96</v>
      </c>
      <c r="H17" s="84">
        <v>17460903.710000001</v>
      </c>
      <c r="I17" s="7">
        <f t="shared" si="0"/>
        <v>11805.884861392833</v>
      </c>
    </row>
    <row r="18" spans="1:9" x14ac:dyDescent="0.2">
      <c r="A18" s="83"/>
      <c r="B18" s="83">
        <v>45332</v>
      </c>
      <c r="C18" s="83">
        <v>215730709.70999998</v>
      </c>
      <c r="D18" s="83">
        <v>38000344.159999996</v>
      </c>
      <c r="E18" s="83">
        <v>26638813.359999996</v>
      </c>
      <c r="F18" s="83">
        <v>12942495.75</v>
      </c>
      <c r="G18" s="83">
        <v>10266449.830000002</v>
      </c>
      <c r="H18" s="83">
        <v>303578812.80999994</v>
      </c>
      <c r="I18" s="6">
        <f t="shared" si="0"/>
        <v>6696.7884234095109</v>
      </c>
    </row>
    <row r="19" spans="1:9" x14ac:dyDescent="0.2">
      <c r="A19" s="83"/>
      <c r="B19" s="83"/>
      <c r="C19" s="83"/>
      <c r="D19" s="83"/>
      <c r="E19" s="83"/>
      <c r="F19" s="83"/>
      <c r="G19" s="83"/>
      <c r="H19" s="83"/>
      <c r="I19" s="6"/>
    </row>
    <row r="20" spans="1:9" x14ac:dyDescent="0.2">
      <c r="A20" s="83" t="s">
        <v>86</v>
      </c>
      <c r="B20" s="83">
        <v>12615</v>
      </c>
      <c r="C20" s="83">
        <v>52837496.939999998</v>
      </c>
      <c r="D20" s="83">
        <v>7534058.1500000004</v>
      </c>
      <c r="E20" s="83">
        <v>5789785.8300000001</v>
      </c>
      <c r="F20" s="83">
        <v>2703485.78</v>
      </c>
      <c r="G20" s="83">
        <v>2960467.31</v>
      </c>
      <c r="H20" s="83">
        <v>71825294.00999999</v>
      </c>
      <c r="I20" s="6">
        <f t="shared" si="0"/>
        <v>5693.6420142687266</v>
      </c>
    </row>
    <row r="21" spans="1:9" x14ac:dyDescent="0.2">
      <c r="A21" s="84" t="s">
        <v>87</v>
      </c>
      <c r="B21" s="84">
        <v>6601</v>
      </c>
      <c r="C21" s="84">
        <v>37147192.950000003</v>
      </c>
      <c r="D21" s="84">
        <v>5729013.46</v>
      </c>
      <c r="E21" s="84">
        <v>5642084.7599999998</v>
      </c>
      <c r="F21" s="84">
        <v>2970913.05</v>
      </c>
      <c r="G21" s="84">
        <v>1342120.8700000001</v>
      </c>
      <c r="H21" s="84">
        <v>52831325.089999996</v>
      </c>
      <c r="I21" s="7">
        <f t="shared" si="0"/>
        <v>8003.5335691561877</v>
      </c>
    </row>
    <row r="22" spans="1:9" x14ac:dyDescent="0.2">
      <c r="A22" s="83"/>
      <c r="B22" s="83">
        <v>19216</v>
      </c>
      <c r="C22" s="83">
        <v>89984689.890000001</v>
      </c>
      <c r="D22" s="83">
        <v>13263071.609999999</v>
      </c>
      <c r="E22" s="83">
        <v>11431870.59</v>
      </c>
      <c r="F22" s="83">
        <v>5674398.8300000001</v>
      </c>
      <c r="G22" s="83">
        <v>4302588.18</v>
      </c>
      <c r="H22" s="83">
        <v>124656619.09999999</v>
      </c>
      <c r="I22" s="6">
        <f t="shared" si="0"/>
        <v>6487.1263062031639</v>
      </c>
    </row>
    <row r="23" spans="1:9" x14ac:dyDescent="0.2">
      <c r="A23" s="83"/>
      <c r="B23" s="83"/>
      <c r="C23" s="83"/>
      <c r="D23" s="83"/>
      <c r="E23" s="83"/>
      <c r="F23" s="83"/>
      <c r="G23" s="83"/>
      <c r="H23" s="83"/>
      <c r="I23" s="6"/>
    </row>
    <row r="24" spans="1:9" x14ac:dyDescent="0.2">
      <c r="A24" s="83" t="s">
        <v>184</v>
      </c>
      <c r="B24" s="83">
        <v>161753</v>
      </c>
      <c r="C24" s="83">
        <v>723530684.36999989</v>
      </c>
      <c r="D24" s="83">
        <v>103336581.3</v>
      </c>
      <c r="E24" s="83">
        <v>80230031.620000005</v>
      </c>
      <c r="F24" s="83">
        <v>38627123.920000002</v>
      </c>
      <c r="G24" s="83">
        <v>30936228.240000002</v>
      </c>
      <c r="H24" s="83">
        <v>976660649.44999993</v>
      </c>
      <c r="I24" s="6">
        <f t="shared" si="0"/>
        <v>6037.9754900991011</v>
      </c>
    </row>
    <row r="25" spans="1:9" x14ac:dyDescent="0.2">
      <c r="A25" s="83"/>
      <c r="B25" s="83"/>
      <c r="C25" s="83"/>
      <c r="D25" s="83"/>
      <c r="E25" s="83"/>
      <c r="F25" s="83"/>
      <c r="G25" s="83"/>
      <c r="H25" s="83"/>
      <c r="I25" s="83"/>
    </row>
    <row r="26" spans="1:9" x14ac:dyDescent="0.2">
      <c r="A26" s="82" t="s">
        <v>194</v>
      </c>
      <c r="B26" s="82"/>
      <c r="C26" s="82"/>
      <c r="D26" s="82"/>
      <c r="E26" s="82"/>
      <c r="F26" s="82"/>
      <c r="G26" s="82"/>
      <c r="H26" s="82"/>
      <c r="I26" s="82"/>
    </row>
    <row r="27" spans="1:9" x14ac:dyDescent="0.2">
      <c r="A27" s="82"/>
      <c r="B27" s="82"/>
      <c r="C27" s="82"/>
      <c r="D27" s="82"/>
      <c r="E27" s="82"/>
      <c r="F27" s="82"/>
      <c r="G27" s="82"/>
      <c r="H27" s="82"/>
      <c r="I27" s="82"/>
    </row>
    <row r="28" spans="1:9" x14ac:dyDescent="0.2">
      <c r="A28" s="82"/>
      <c r="B28" s="82"/>
      <c r="C28" s="82"/>
      <c r="D28" s="82"/>
      <c r="E28" s="82"/>
      <c r="F28" s="82"/>
      <c r="G28" s="82"/>
      <c r="H28" s="82"/>
      <c r="I28" s="82"/>
    </row>
    <row r="29" spans="1:9" x14ac:dyDescent="0.2">
      <c r="A29" s="36" t="s">
        <v>247</v>
      </c>
      <c r="B29" s="85"/>
      <c r="C29" s="85"/>
      <c r="D29" s="85"/>
      <c r="E29" s="85"/>
      <c r="F29" s="85"/>
      <c r="G29" s="86"/>
      <c r="H29" s="85"/>
      <c r="I29" s="82"/>
    </row>
    <row r="30" spans="1:9" x14ac:dyDescent="0.2">
      <c r="A30" s="36" t="s">
        <v>263</v>
      </c>
      <c r="B30" s="80"/>
      <c r="C30" s="81" t="s">
        <v>139</v>
      </c>
      <c r="D30" s="81" t="s">
        <v>140</v>
      </c>
      <c r="E30" s="81"/>
      <c r="F30" s="81" t="s">
        <v>141</v>
      </c>
      <c r="G30" s="81"/>
      <c r="H30" s="81"/>
      <c r="I30" s="82"/>
    </row>
    <row r="31" spans="1:9" x14ac:dyDescent="0.2">
      <c r="A31" s="155" t="s">
        <v>245</v>
      </c>
      <c r="B31" s="164" t="s">
        <v>180</v>
      </c>
      <c r="C31" s="163" t="s">
        <v>159</v>
      </c>
      <c r="D31" s="163" t="s">
        <v>129</v>
      </c>
      <c r="E31" s="163" t="s">
        <v>91</v>
      </c>
      <c r="F31" s="163" t="s">
        <v>145</v>
      </c>
      <c r="G31" s="163" t="s">
        <v>93</v>
      </c>
      <c r="H31" s="163" t="s">
        <v>106</v>
      </c>
      <c r="I31" s="82"/>
    </row>
    <row r="32" spans="1:9" x14ac:dyDescent="0.2">
      <c r="A32" s="87"/>
      <c r="B32" s="88"/>
      <c r="C32" s="89"/>
      <c r="D32" s="89"/>
      <c r="E32" s="89"/>
      <c r="F32" s="89"/>
      <c r="G32" s="89"/>
      <c r="H32" s="89"/>
      <c r="I32" s="82"/>
    </row>
    <row r="33" spans="1:9" x14ac:dyDescent="0.2">
      <c r="A33" s="83" t="s">
        <v>102</v>
      </c>
      <c r="B33" s="83">
        <v>39026</v>
      </c>
      <c r="C33" s="83">
        <v>4204.74</v>
      </c>
      <c r="D33" s="83">
        <v>510.89</v>
      </c>
      <c r="E33" s="83">
        <v>305.23</v>
      </c>
      <c r="F33" s="83">
        <v>138.11000000000001</v>
      </c>
      <c r="G33" s="83">
        <v>159.58000000000001</v>
      </c>
      <c r="H33" s="83">
        <v>5318.535907087582</v>
      </c>
      <c r="I33" s="83"/>
    </row>
    <row r="34" spans="1:9" x14ac:dyDescent="0.2">
      <c r="A34" s="83" t="s">
        <v>76</v>
      </c>
      <c r="B34" s="83">
        <v>23422</v>
      </c>
      <c r="C34" s="83">
        <v>4295.76</v>
      </c>
      <c r="D34" s="83">
        <v>439.46</v>
      </c>
      <c r="E34" s="83">
        <v>434.65</v>
      </c>
      <c r="F34" s="83">
        <v>241.32</v>
      </c>
      <c r="G34" s="83">
        <v>165.55</v>
      </c>
      <c r="H34" s="83">
        <v>5576.7482934847576</v>
      </c>
      <c r="I34" s="83"/>
    </row>
    <row r="35" spans="1:9" x14ac:dyDescent="0.2">
      <c r="A35" s="83" t="s">
        <v>77</v>
      </c>
      <c r="B35" s="83">
        <v>12312</v>
      </c>
      <c r="C35" s="83">
        <v>4533.7</v>
      </c>
      <c r="D35" s="83">
        <v>519.6</v>
      </c>
      <c r="E35" s="83">
        <v>526.32000000000005</v>
      </c>
      <c r="F35" s="83">
        <v>312.23</v>
      </c>
      <c r="G35" s="83">
        <v>156.52000000000001</v>
      </c>
      <c r="H35" s="83">
        <v>6048.3697157244978</v>
      </c>
      <c r="I35" s="83"/>
    </row>
    <row r="36" spans="1:9" x14ac:dyDescent="0.2">
      <c r="A36" s="83" t="s">
        <v>78</v>
      </c>
      <c r="B36" s="83">
        <v>15008</v>
      </c>
      <c r="C36" s="83">
        <v>4257.26</v>
      </c>
      <c r="D36" s="83">
        <v>599.71</v>
      </c>
      <c r="E36" s="83">
        <v>576.04</v>
      </c>
      <c r="F36" s="83">
        <v>228.44</v>
      </c>
      <c r="G36" s="83">
        <v>211.52</v>
      </c>
      <c r="H36" s="83">
        <v>5872.9718516791045</v>
      </c>
      <c r="I36" s="83"/>
    </row>
    <row r="37" spans="1:9" x14ac:dyDescent="0.2">
      <c r="A37" s="83" t="s">
        <v>79</v>
      </c>
      <c r="B37" s="83">
        <v>5864</v>
      </c>
      <c r="C37" s="83">
        <v>4689.22</v>
      </c>
      <c r="D37" s="83">
        <v>830.31</v>
      </c>
      <c r="E37" s="83">
        <v>677.88</v>
      </c>
      <c r="F37" s="83">
        <v>235.34</v>
      </c>
      <c r="G37" s="83">
        <v>185.43</v>
      </c>
      <c r="H37" s="83">
        <v>6618.1860317189648</v>
      </c>
      <c r="I37" s="83"/>
    </row>
    <row r="38" spans="1:9" x14ac:dyDescent="0.2">
      <c r="A38" s="84" t="s">
        <v>80</v>
      </c>
      <c r="B38" s="84">
        <v>1573</v>
      </c>
      <c r="C38" s="84">
        <v>3748.48</v>
      </c>
      <c r="D38" s="84">
        <v>1001.67</v>
      </c>
      <c r="E38" s="84">
        <v>614.55999999999995</v>
      </c>
      <c r="F38" s="84">
        <v>200.74</v>
      </c>
      <c r="G38" s="84">
        <v>46.31</v>
      </c>
      <c r="H38" s="84">
        <v>5611.7637126509844</v>
      </c>
      <c r="I38" s="83"/>
    </row>
    <row r="39" spans="1:9" x14ac:dyDescent="0.2">
      <c r="A39" s="83" t="s">
        <v>134</v>
      </c>
      <c r="B39" s="83">
        <v>97205</v>
      </c>
      <c r="C39" s="83">
        <v>4298.290054729694</v>
      </c>
      <c r="D39" s="83">
        <v>535.70459883750834</v>
      </c>
      <c r="E39" s="83">
        <v>433.7158342677846</v>
      </c>
      <c r="F39" s="83">
        <v>205.85596769713493</v>
      </c>
      <c r="G39" s="83">
        <v>168.37806933799703</v>
      </c>
      <c r="H39" s="83">
        <v>5641.9445248701195</v>
      </c>
      <c r="I39" s="83"/>
    </row>
    <row r="40" spans="1:9" x14ac:dyDescent="0.2">
      <c r="A40" s="83"/>
      <c r="B40" s="83"/>
      <c r="C40" s="83"/>
      <c r="D40" s="83"/>
      <c r="E40" s="83"/>
      <c r="F40" s="83"/>
      <c r="G40" s="83"/>
      <c r="H40" s="83"/>
      <c r="I40" s="83"/>
    </row>
    <row r="41" spans="1:9" x14ac:dyDescent="0.2">
      <c r="A41" s="83" t="s">
        <v>81</v>
      </c>
      <c r="B41" s="83">
        <v>22638</v>
      </c>
      <c r="C41" s="83">
        <v>4489.6099999999997</v>
      </c>
      <c r="D41" s="83">
        <v>763.85</v>
      </c>
      <c r="E41" s="83">
        <v>422.95</v>
      </c>
      <c r="F41" s="83">
        <v>222.54</v>
      </c>
      <c r="G41" s="83">
        <v>285.06</v>
      </c>
      <c r="H41" s="83">
        <v>6184.0043802456057</v>
      </c>
      <c r="I41" s="83"/>
    </row>
    <row r="42" spans="1:9" x14ac:dyDescent="0.2">
      <c r="A42" s="83" t="s">
        <v>82</v>
      </c>
      <c r="B42" s="83">
        <v>10487</v>
      </c>
      <c r="C42" s="83">
        <v>4427.43</v>
      </c>
      <c r="D42" s="83">
        <v>671.66</v>
      </c>
      <c r="E42" s="83">
        <v>591.73</v>
      </c>
      <c r="F42" s="83">
        <v>278.35000000000002</v>
      </c>
      <c r="G42" s="83">
        <v>124.63</v>
      </c>
      <c r="H42" s="83">
        <v>6093.808208257843</v>
      </c>
      <c r="I42" s="83"/>
    </row>
    <row r="43" spans="1:9" x14ac:dyDescent="0.2">
      <c r="A43" s="83" t="s">
        <v>83</v>
      </c>
      <c r="B43" s="83">
        <v>5470</v>
      </c>
      <c r="C43" s="83">
        <v>4685.99</v>
      </c>
      <c r="D43" s="83">
        <v>883.3</v>
      </c>
      <c r="E43" s="83">
        <v>705.46</v>
      </c>
      <c r="F43" s="83">
        <v>309.35000000000002</v>
      </c>
      <c r="G43" s="83">
        <v>177.56</v>
      </c>
      <c r="H43" s="83">
        <v>6761.6617806215727</v>
      </c>
      <c r="I43" s="83"/>
    </row>
    <row r="44" spans="1:9" x14ac:dyDescent="0.2">
      <c r="A44" s="83" t="s">
        <v>84</v>
      </c>
      <c r="B44" s="83">
        <v>5258</v>
      </c>
      <c r="C44" s="83">
        <v>5797.21</v>
      </c>
      <c r="D44" s="83">
        <v>1206.49</v>
      </c>
      <c r="E44" s="83">
        <v>958.94</v>
      </c>
      <c r="F44" s="83">
        <v>427.24</v>
      </c>
      <c r="G44" s="83">
        <v>212.7</v>
      </c>
      <c r="H44" s="83">
        <v>8602.5791783948262</v>
      </c>
      <c r="I44" s="83"/>
    </row>
    <row r="45" spans="1:9" x14ac:dyDescent="0.2">
      <c r="A45" s="84" t="s">
        <v>85</v>
      </c>
      <c r="B45" s="84">
        <v>1479</v>
      </c>
      <c r="C45" s="84">
        <v>7809.56</v>
      </c>
      <c r="D45" s="84">
        <v>1683.06</v>
      </c>
      <c r="E45" s="84">
        <v>1323.61</v>
      </c>
      <c r="F45" s="84">
        <v>707.89</v>
      </c>
      <c r="G45" s="84">
        <v>281.77</v>
      </c>
      <c r="H45" s="84">
        <v>11805.884861392833</v>
      </c>
      <c r="I45" s="83"/>
    </row>
    <row r="46" spans="1:9" x14ac:dyDescent="0.2">
      <c r="A46" s="83" t="s">
        <v>135</v>
      </c>
      <c r="B46" s="83">
        <v>45332</v>
      </c>
      <c r="C46" s="83">
        <v>4758.9056231800932</v>
      </c>
      <c r="D46" s="83">
        <v>838.26754081002377</v>
      </c>
      <c r="E46" s="83">
        <v>587.63816641665926</v>
      </c>
      <c r="F46" s="83">
        <v>285.50462697432278</v>
      </c>
      <c r="G46" s="83">
        <v>226.47246602841264</v>
      </c>
      <c r="H46" s="83">
        <v>6696.7884234095109</v>
      </c>
      <c r="I46" s="83"/>
    </row>
    <row r="47" spans="1:9" x14ac:dyDescent="0.2">
      <c r="A47" s="83"/>
      <c r="B47" s="83"/>
      <c r="C47" s="83"/>
      <c r="D47" s="83"/>
      <c r="E47" s="83"/>
      <c r="F47" s="83"/>
      <c r="G47" s="83"/>
      <c r="H47" s="83"/>
      <c r="I47" s="83"/>
    </row>
    <row r="48" spans="1:9" x14ac:dyDescent="0.2">
      <c r="A48" s="83" t="s">
        <v>86</v>
      </c>
      <c r="B48" s="83">
        <v>12615</v>
      </c>
      <c r="C48" s="83">
        <v>4188.47</v>
      </c>
      <c r="D48" s="83">
        <v>597.23</v>
      </c>
      <c r="E48" s="83">
        <v>458.96</v>
      </c>
      <c r="F48" s="83">
        <v>214.31</v>
      </c>
      <c r="G48" s="83">
        <v>234.68</v>
      </c>
      <c r="H48" s="83">
        <v>5693.6420142687266</v>
      </c>
      <c r="I48" s="83"/>
    </row>
    <row r="49" spans="1:9" x14ac:dyDescent="0.2">
      <c r="A49" s="84" t="s">
        <v>87</v>
      </c>
      <c r="B49" s="84">
        <v>6601</v>
      </c>
      <c r="C49" s="84">
        <v>5627.51</v>
      </c>
      <c r="D49" s="84">
        <v>867.9</v>
      </c>
      <c r="E49" s="84">
        <v>854.73</v>
      </c>
      <c r="F49" s="84">
        <v>450.07</v>
      </c>
      <c r="G49" s="84">
        <v>203.32</v>
      </c>
      <c r="H49" s="84">
        <v>8003.5335691561877</v>
      </c>
      <c r="I49" s="83"/>
    </row>
    <row r="50" spans="1:9" x14ac:dyDescent="0.2">
      <c r="A50" s="83" t="s">
        <v>136</v>
      </c>
      <c r="B50" s="83">
        <v>19216</v>
      </c>
      <c r="C50" s="83">
        <v>4682.8002648834308</v>
      </c>
      <c r="D50" s="83">
        <v>690.2098048501249</v>
      </c>
      <c r="E50" s="83">
        <v>594.91416475853453</v>
      </c>
      <c r="F50" s="83">
        <v>295.29552612406326</v>
      </c>
      <c r="G50" s="83">
        <v>223.90654558701081</v>
      </c>
      <c r="H50" s="83">
        <v>6487.1263062031639</v>
      </c>
      <c r="I50" s="83"/>
    </row>
    <row r="51" spans="1:9" ht="13.5" thickBot="1" x14ac:dyDescent="0.25">
      <c r="A51" s="90"/>
      <c r="B51" s="90"/>
      <c r="C51" s="90"/>
      <c r="D51" s="90"/>
      <c r="E51" s="90"/>
      <c r="F51" s="90"/>
      <c r="G51" s="90"/>
      <c r="H51" s="91"/>
      <c r="I51" s="82"/>
    </row>
    <row r="52" spans="1:9" ht="13.5" thickBot="1" x14ac:dyDescent="0.25">
      <c r="A52" s="92" t="s">
        <v>112</v>
      </c>
      <c r="B52" s="92">
        <v>161753</v>
      </c>
      <c r="C52" s="92">
        <v>4473.0588265441747</v>
      </c>
      <c r="D52" s="92">
        <v>638.85418693934582</v>
      </c>
      <c r="E52" s="92">
        <v>496.0033608032</v>
      </c>
      <c r="F52" s="92">
        <v>238.80313762341348</v>
      </c>
      <c r="G52" s="92">
        <v>191.25597818896713</v>
      </c>
      <c r="H52" s="92">
        <v>6037.9754900991011</v>
      </c>
      <c r="I52" s="83"/>
    </row>
    <row r="53" spans="1:9" ht="13.5" thickTop="1" x14ac:dyDescent="0.2">
      <c r="A53" s="83"/>
      <c r="B53" s="83"/>
      <c r="C53" s="83"/>
      <c r="D53" s="83"/>
      <c r="E53" s="83"/>
      <c r="F53" s="83"/>
      <c r="G53" s="83"/>
      <c r="H53" s="82"/>
      <c r="I53" s="82"/>
    </row>
    <row r="54" spans="1:9" x14ac:dyDescent="0.2">
      <c r="A54" s="82"/>
      <c r="B54" s="82"/>
      <c r="C54" s="82"/>
      <c r="D54" s="82"/>
      <c r="E54" s="82"/>
      <c r="F54" s="82"/>
      <c r="G54" s="82"/>
      <c r="H54" s="82"/>
      <c r="I54" s="82"/>
    </row>
    <row r="55" spans="1:9" x14ac:dyDescent="0.2">
      <c r="A55" s="36" t="s">
        <v>247</v>
      </c>
      <c r="B55" s="82"/>
      <c r="C55" s="93"/>
      <c r="D55" s="93"/>
      <c r="E55" s="93"/>
      <c r="F55" s="93"/>
      <c r="G55" s="93"/>
      <c r="H55" s="85"/>
      <c r="I55" s="82"/>
    </row>
    <row r="56" spans="1:9" x14ac:dyDescent="0.2">
      <c r="A56" s="22" t="s">
        <v>284</v>
      </c>
      <c r="B56" s="80"/>
      <c r="C56" s="81" t="s">
        <v>139</v>
      </c>
      <c r="D56" s="81" t="s">
        <v>140</v>
      </c>
      <c r="E56" s="81"/>
      <c r="F56" s="81" t="s">
        <v>141</v>
      </c>
      <c r="G56" s="81"/>
      <c r="H56" s="85"/>
      <c r="I56" s="82"/>
    </row>
    <row r="57" spans="1:9" x14ac:dyDescent="0.2">
      <c r="A57" s="155" t="s">
        <v>245</v>
      </c>
      <c r="B57" s="162"/>
      <c r="C57" s="163" t="s">
        <v>143</v>
      </c>
      <c r="D57" s="163" t="s">
        <v>144</v>
      </c>
      <c r="E57" s="163" t="s">
        <v>91</v>
      </c>
      <c r="F57" s="163" t="s">
        <v>145</v>
      </c>
      <c r="G57" s="163" t="s">
        <v>93</v>
      </c>
      <c r="H57" s="85"/>
      <c r="I57" s="82"/>
    </row>
    <row r="58" spans="1:9" x14ac:dyDescent="0.2">
      <c r="A58" s="82"/>
      <c r="B58" s="82"/>
      <c r="C58" s="94"/>
      <c r="D58" s="94"/>
      <c r="E58" s="94"/>
      <c r="F58" s="94"/>
      <c r="G58" s="94"/>
      <c r="H58" s="85"/>
      <c r="I58" s="82"/>
    </row>
    <row r="59" spans="1:9" x14ac:dyDescent="0.2">
      <c r="A59" s="82" t="s">
        <v>102</v>
      </c>
      <c r="B59" s="82"/>
      <c r="C59" s="95">
        <v>0.79058223418153173</v>
      </c>
      <c r="D59" s="95">
        <v>9.6058390678377903E-2</v>
      </c>
      <c r="E59" s="95">
        <v>5.7389854150132695E-2</v>
      </c>
      <c r="F59" s="95">
        <v>2.5967672760458759E-2</v>
      </c>
      <c r="G59" s="95">
        <v>3.0004498002418424E-2</v>
      </c>
      <c r="H59" s="96"/>
      <c r="I59" s="82"/>
    </row>
    <row r="60" spans="1:9" x14ac:dyDescent="0.2">
      <c r="A60" s="82" t="s">
        <v>76</v>
      </c>
      <c r="B60" s="82"/>
      <c r="C60" s="95">
        <v>0.77029834841545219</v>
      </c>
      <c r="D60" s="95">
        <v>7.8802193836400219E-2</v>
      </c>
      <c r="E60" s="95">
        <v>7.7939684046309909E-2</v>
      </c>
      <c r="F60" s="95">
        <v>4.3272528595549309E-2</v>
      </c>
      <c r="G60" s="95">
        <v>2.9685757952068577E-2</v>
      </c>
      <c r="H60" s="96"/>
      <c r="I60" s="82"/>
    </row>
    <row r="61" spans="1:9" x14ac:dyDescent="0.2">
      <c r="A61" s="82" t="s">
        <v>77</v>
      </c>
      <c r="B61" s="82"/>
      <c r="C61" s="95">
        <v>0.74957388735898978</v>
      </c>
      <c r="D61" s="95">
        <v>8.5907446869385076E-2</v>
      </c>
      <c r="E61" s="95">
        <v>8.7018490062153106E-2</v>
      </c>
      <c r="F61" s="95">
        <v>5.1622175011601427E-2</v>
      </c>
      <c r="G61" s="95">
        <v>2.5878047698222002E-2</v>
      </c>
      <c r="H61" s="96"/>
      <c r="I61" s="82"/>
    </row>
    <row r="62" spans="1:9" x14ac:dyDescent="0.2">
      <c r="A62" s="82" t="s">
        <v>78</v>
      </c>
      <c r="B62" s="82"/>
      <c r="C62" s="95">
        <v>0.72489024424369308</v>
      </c>
      <c r="D62" s="95">
        <v>0.10211354917843522</v>
      </c>
      <c r="E62" s="95">
        <v>9.8083221671717694E-2</v>
      </c>
      <c r="F62" s="95">
        <v>3.8896832092714384E-2</v>
      </c>
      <c r="G62" s="95">
        <v>3.6015837525174864E-2</v>
      </c>
      <c r="H62" s="96"/>
      <c r="I62" s="82"/>
    </row>
    <row r="63" spans="1:9" x14ac:dyDescent="0.2">
      <c r="A63" s="82" t="s">
        <v>79</v>
      </c>
      <c r="B63" s="82"/>
      <c r="C63" s="95">
        <v>0.70853553791416357</v>
      </c>
      <c r="D63" s="95">
        <v>0.12545884869669349</v>
      </c>
      <c r="E63" s="95">
        <v>0.10242685786575446</v>
      </c>
      <c r="F63" s="95">
        <v>3.555959274521546E-2</v>
      </c>
      <c r="G63" s="95">
        <v>2.8018251392645972E-2</v>
      </c>
      <c r="H63" s="96"/>
      <c r="I63" s="82"/>
    </row>
    <row r="64" spans="1:9" x14ac:dyDescent="0.2">
      <c r="A64" s="97" t="s">
        <v>80</v>
      </c>
      <c r="B64" s="97"/>
      <c r="C64" s="98">
        <v>0.66796825239621971</v>
      </c>
      <c r="D64" s="98">
        <v>0.178494685679988</v>
      </c>
      <c r="E64" s="98">
        <v>0.10951280764273007</v>
      </c>
      <c r="F64" s="98">
        <v>3.577128515718829E-2</v>
      </c>
      <c r="G64" s="98">
        <v>8.2523075402480307E-3</v>
      </c>
      <c r="H64" s="96"/>
      <c r="I64" s="82"/>
    </row>
    <row r="65" spans="1:9" x14ac:dyDescent="0.2">
      <c r="A65" s="82" t="s">
        <v>108</v>
      </c>
      <c r="B65" s="82"/>
      <c r="C65" s="95">
        <v>0.76184550127753037</v>
      </c>
      <c r="D65" s="95">
        <v>9.4950348497061937E-2</v>
      </c>
      <c r="E65" s="95">
        <v>7.6873466648942096E-2</v>
      </c>
      <c r="F65" s="95">
        <v>3.6486705388489062E-2</v>
      </c>
      <c r="G65" s="95">
        <v>2.9843978187976454E-2</v>
      </c>
      <c r="H65" s="96"/>
      <c r="I65" s="82"/>
    </row>
    <row r="66" spans="1:9" x14ac:dyDescent="0.2">
      <c r="A66" s="82"/>
      <c r="B66" s="82"/>
      <c r="C66" s="95"/>
      <c r="D66" s="95"/>
      <c r="E66" s="95"/>
      <c r="F66" s="95"/>
      <c r="G66" s="95"/>
      <c r="H66" s="96"/>
      <c r="I66" s="82"/>
    </row>
    <row r="67" spans="1:9" x14ac:dyDescent="0.2">
      <c r="A67" s="82" t="s">
        <v>81</v>
      </c>
      <c r="B67" s="82"/>
      <c r="C67" s="95">
        <v>0.72600369015613297</v>
      </c>
      <c r="D67" s="95">
        <v>0.12352028766992282</v>
      </c>
      <c r="E67" s="95">
        <v>6.8394194763361726E-2</v>
      </c>
      <c r="F67" s="95">
        <v>3.5986391069011747E-2</v>
      </c>
      <c r="G67" s="95">
        <v>4.6096345098105909E-2</v>
      </c>
      <c r="H67" s="96"/>
      <c r="I67" s="82"/>
    </row>
    <row r="68" spans="1:9" x14ac:dyDescent="0.2">
      <c r="A68" s="82" t="s">
        <v>82</v>
      </c>
      <c r="B68" s="82"/>
      <c r="C68" s="95">
        <v>0.72654567532996861</v>
      </c>
      <c r="D68" s="95">
        <v>0.11022007536926086</v>
      </c>
      <c r="E68" s="95">
        <v>9.7103482711867223E-2</v>
      </c>
      <c r="F68" s="95">
        <v>4.5677512400669633E-2</v>
      </c>
      <c r="G68" s="95">
        <v>2.0451907204941461E-2</v>
      </c>
      <c r="H68" s="96"/>
      <c r="I68" s="82"/>
    </row>
    <row r="69" spans="1:9" x14ac:dyDescent="0.2">
      <c r="A69" s="82" t="s">
        <v>83</v>
      </c>
      <c r="B69" s="82"/>
      <c r="C69" s="95">
        <v>0.69302342412773499</v>
      </c>
      <c r="D69" s="95">
        <v>0.13063356740667997</v>
      </c>
      <c r="E69" s="95">
        <v>0.10433234061215495</v>
      </c>
      <c r="F69" s="95">
        <v>4.5750587656805675E-2</v>
      </c>
      <c r="G69" s="95">
        <v>2.6259816855802216E-2</v>
      </c>
      <c r="H69" s="96"/>
      <c r="I69" s="82"/>
    </row>
    <row r="70" spans="1:9" x14ac:dyDescent="0.2">
      <c r="A70" s="82" t="s">
        <v>84</v>
      </c>
      <c r="B70" s="82"/>
      <c r="C70" s="95">
        <v>0.67389208280227819</v>
      </c>
      <c r="D70" s="95">
        <v>0.14024747404011939</v>
      </c>
      <c r="E70" s="95">
        <v>0.11147122044611402</v>
      </c>
      <c r="F70" s="95">
        <v>4.9664175259555084E-2</v>
      </c>
      <c r="G70" s="95">
        <v>2.4725142958775783E-2</v>
      </c>
      <c r="H70" s="96"/>
      <c r="I70" s="82"/>
    </row>
    <row r="71" spans="1:9" x14ac:dyDescent="0.2">
      <c r="A71" s="97" t="s">
        <v>85</v>
      </c>
      <c r="B71" s="97"/>
      <c r="C71" s="98">
        <v>0.66149721869120837</v>
      </c>
      <c r="D71" s="98">
        <v>0.14256110573328395</v>
      </c>
      <c r="E71" s="98">
        <v>0.11211442560552325</v>
      </c>
      <c r="F71" s="98">
        <v>5.996077450449442E-2</v>
      </c>
      <c r="G71" s="98">
        <v>2.3866910723603089E-2</v>
      </c>
      <c r="H71" s="96"/>
      <c r="I71" s="82"/>
    </row>
    <row r="72" spans="1:9" x14ac:dyDescent="0.2">
      <c r="A72" s="82" t="s">
        <v>109</v>
      </c>
      <c r="B72" s="82"/>
      <c r="C72" s="95">
        <v>0.71062505223320305</v>
      </c>
      <c r="D72" s="95">
        <v>0.12517455947686038</v>
      </c>
      <c r="E72" s="95">
        <v>8.7749250724794031E-2</v>
      </c>
      <c r="F72" s="95">
        <v>4.2633066616873175E-2</v>
      </c>
      <c r="G72" s="95">
        <v>3.3818070948269496E-2</v>
      </c>
      <c r="H72" s="96"/>
      <c r="I72" s="82"/>
    </row>
    <row r="73" spans="1:9" x14ac:dyDescent="0.2">
      <c r="A73" s="82"/>
      <c r="B73" s="82"/>
      <c r="C73" s="95"/>
      <c r="D73" s="95"/>
      <c r="E73" s="95"/>
      <c r="F73" s="95"/>
      <c r="G73" s="95"/>
      <c r="H73" s="96"/>
      <c r="I73" s="82"/>
    </row>
    <row r="74" spans="1:9" x14ac:dyDescent="0.2">
      <c r="A74" s="82" t="s">
        <v>86</v>
      </c>
      <c r="B74" s="82"/>
      <c r="C74" s="95">
        <v>0.73563985749426397</v>
      </c>
      <c r="D74" s="95">
        <v>0.10489419575436837</v>
      </c>
      <c r="E74" s="95">
        <v>8.0609212670872024E-2</v>
      </c>
      <c r="F74" s="95">
        <v>3.7640230886122068E-2</v>
      </c>
      <c r="G74" s="95">
        <v>4.1217905764337308E-2</v>
      </c>
      <c r="H74" s="96"/>
      <c r="I74" s="82"/>
    </row>
    <row r="75" spans="1:9" x14ac:dyDescent="0.2">
      <c r="A75" s="97" t="s">
        <v>87</v>
      </c>
      <c r="B75" s="97"/>
      <c r="C75" s="98">
        <v>0.70312818099334951</v>
      </c>
      <c r="D75" s="98">
        <v>0.10843960264559778</v>
      </c>
      <c r="E75" s="98">
        <v>0.10679407946684157</v>
      </c>
      <c r="F75" s="98">
        <v>5.6233911698011514E-2</v>
      </c>
      <c r="G75" s="98">
        <v>2.5403779248649547E-2</v>
      </c>
      <c r="H75" s="96"/>
      <c r="I75" s="82"/>
    </row>
    <row r="76" spans="1:9" x14ac:dyDescent="0.2">
      <c r="A76" s="82" t="s">
        <v>110</v>
      </c>
      <c r="B76" s="82"/>
      <c r="C76" s="95">
        <v>0.72186050399629365</v>
      </c>
      <c r="D76" s="95">
        <v>0.10639685004901597</v>
      </c>
      <c r="E76" s="95">
        <v>9.1706887869542744E-2</v>
      </c>
      <c r="F76" s="95">
        <v>4.5520236879262509E-2</v>
      </c>
      <c r="G76" s="95">
        <v>3.4515521205885163E-2</v>
      </c>
      <c r="H76" s="85"/>
      <c r="I76" s="82"/>
    </row>
    <row r="77" spans="1:9" ht="13.5" thickBot="1" x14ac:dyDescent="0.25">
      <c r="A77" s="91"/>
      <c r="B77" s="91"/>
      <c r="C77" s="99"/>
      <c r="D77" s="99"/>
      <c r="E77" s="99"/>
      <c r="F77" s="99"/>
      <c r="G77" s="99"/>
      <c r="H77" s="85"/>
      <c r="I77" s="82"/>
    </row>
    <row r="78" spans="1:9" ht="13.5" thickBot="1" x14ac:dyDescent="0.25">
      <c r="A78" s="100" t="s">
        <v>111</v>
      </c>
      <c r="B78" s="101"/>
      <c r="C78" s="102">
        <v>0.74082096455657498</v>
      </c>
      <c r="D78" s="102">
        <v>0.10580602521274235</v>
      </c>
      <c r="E78" s="102">
        <v>8.2147296161856245E-2</v>
      </c>
      <c r="F78" s="102">
        <v>3.9550199899783631E-2</v>
      </c>
      <c r="G78" s="102">
        <v>3.1675514169042789E-2</v>
      </c>
      <c r="H78" s="103"/>
      <c r="I78" s="82"/>
    </row>
    <row r="79" spans="1:9" ht="13.5" thickTop="1" x14ac:dyDescent="0.2">
      <c r="A79" s="86"/>
      <c r="B79" s="85"/>
      <c r="C79" s="85"/>
      <c r="D79" s="85"/>
      <c r="E79" s="85"/>
      <c r="F79" s="85"/>
      <c r="G79" s="86"/>
      <c r="H79" s="85"/>
      <c r="I79" s="82"/>
    </row>
    <row r="80" spans="1:9" x14ac:dyDescent="0.2">
      <c r="A80" s="86"/>
      <c r="B80" s="85"/>
      <c r="C80" s="85"/>
      <c r="D80" s="85"/>
      <c r="E80" s="85"/>
      <c r="F80" s="85"/>
      <c r="G80" s="86"/>
      <c r="H80" s="85"/>
      <c r="I80" s="82"/>
    </row>
    <row r="81" spans="1:9" x14ac:dyDescent="0.2">
      <c r="A81" s="86"/>
      <c r="B81" s="85"/>
      <c r="C81" s="85"/>
      <c r="D81" s="85"/>
      <c r="E81" s="85"/>
      <c r="F81" s="85"/>
      <c r="G81" s="86"/>
      <c r="H81" s="85"/>
      <c r="I81" s="82"/>
    </row>
    <row r="82" spans="1:9" x14ac:dyDescent="0.2">
      <c r="A82" s="86"/>
      <c r="B82" s="85"/>
      <c r="C82" s="85"/>
      <c r="D82" s="85"/>
      <c r="E82" s="85"/>
      <c r="F82" s="85"/>
      <c r="G82" s="86"/>
      <c r="H82" s="85"/>
      <c r="I82" s="82"/>
    </row>
    <row r="83" spans="1:9" x14ac:dyDescent="0.2">
      <c r="A83" s="86"/>
      <c r="B83" s="85"/>
      <c r="C83" s="85"/>
      <c r="D83" s="85"/>
      <c r="E83" s="85"/>
      <c r="F83" s="85"/>
      <c r="G83" s="86"/>
      <c r="H83" s="85"/>
      <c r="I83" s="82"/>
    </row>
    <row r="84" spans="1:9" x14ac:dyDescent="0.2">
      <c r="A84" s="86"/>
      <c r="B84" s="85"/>
      <c r="C84" s="85"/>
      <c r="D84" s="85"/>
      <c r="E84" s="85"/>
      <c r="F84" s="85"/>
      <c r="G84" s="86"/>
      <c r="H84" s="85"/>
      <c r="I84" s="82"/>
    </row>
  </sheetData>
  <phoneticPr fontId="7" type="noConversion"/>
  <pageMargins left="0.25" right="0.25" top="1" bottom="1" header="0.5" footer="0.5"/>
  <pageSetup orientation="landscape" r:id="rId1"/>
  <headerFooter alignWithMargins="0">
    <oddFooter>&amp;L&amp;Z&amp;F</oddFooter>
  </headerFooter>
  <rowBreaks count="2" manualBreakCount="2">
    <brk id="26" max="16383" man="1"/>
    <brk id="53" max="8" man="1"/>
  </rowBreak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78"/>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4" width="9.42578125" bestFit="1" customWidth="1"/>
    <col min="5" max="7" width="8.7109375" bestFit="1" customWidth="1"/>
    <col min="8" max="8" width="9.5703125" bestFit="1" customWidth="1"/>
  </cols>
  <sheetData>
    <row r="1" spans="1:9" x14ac:dyDescent="0.2">
      <c r="A1" s="36" t="s">
        <v>247</v>
      </c>
    </row>
    <row r="2" spans="1:9" x14ac:dyDescent="0.2">
      <c r="A2" s="22" t="s">
        <v>289</v>
      </c>
    </row>
    <row r="3" spans="1:9" x14ac:dyDescent="0.2">
      <c r="B3" s="36"/>
      <c r="C3" s="35" t="s">
        <v>139</v>
      </c>
      <c r="D3" s="35" t="s">
        <v>140</v>
      </c>
      <c r="E3" s="35"/>
      <c r="F3" s="35" t="s">
        <v>141</v>
      </c>
      <c r="G3" s="35"/>
      <c r="H3" s="35"/>
      <c r="I3" s="181" t="s">
        <v>454</v>
      </c>
    </row>
    <row r="4" spans="1:9" x14ac:dyDescent="0.2">
      <c r="A4" s="155" t="s">
        <v>245</v>
      </c>
      <c r="B4" s="165" t="s">
        <v>160</v>
      </c>
      <c r="C4" s="166" t="s">
        <v>159</v>
      </c>
      <c r="D4" s="166" t="s">
        <v>129</v>
      </c>
      <c r="E4" s="166" t="s">
        <v>91</v>
      </c>
      <c r="F4" s="166" t="s">
        <v>145</v>
      </c>
      <c r="G4" s="166" t="s">
        <v>93</v>
      </c>
      <c r="H4" s="166" t="s">
        <v>106</v>
      </c>
      <c r="I4" s="141" t="s">
        <v>396</v>
      </c>
    </row>
    <row r="5" spans="1:9" x14ac:dyDescent="0.2">
      <c r="A5" s="1" t="s">
        <v>102</v>
      </c>
      <c r="B5" s="6">
        <v>39846</v>
      </c>
      <c r="C5" s="6">
        <v>162093771.62</v>
      </c>
      <c r="D5" s="6">
        <v>18144919</v>
      </c>
      <c r="E5" s="6">
        <v>10528496.15</v>
      </c>
      <c r="F5" s="6">
        <v>5279661.93</v>
      </c>
      <c r="G5" s="6">
        <v>6529555.46</v>
      </c>
      <c r="H5" s="6">
        <v>202576404.16000003</v>
      </c>
      <c r="I5" s="6">
        <f>H5/B5</f>
        <v>5083.9834402449433</v>
      </c>
    </row>
    <row r="6" spans="1:9" x14ac:dyDescent="0.2">
      <c r="A6" s="1" t="s">
        <v>76</v>
      </c>
      <c r="B6" s="6">
        <v>23909</v>
      </c>
      <c r="C6" s="6">
        <v>98458882.549999997</v>
      </c>
      <c r="D6" s="6">
        <v>10096854.449999999</v>
      </c>
      <c r="E6" s="6">
        <v>8772875.9800000004</v>
      </c>
      <c r="F6" s="6">
        <v>6068644.0499999998</v>
      </c>
      <c r="G6" s="6">
        <v>4143616.22</v>
      </c>
      <c r="H6" s="6">
        <v>127540873.25</v>
      </c>
      <c r="I6" s="6">
        <f t="shared" ref="I6:I24" si="0">H6/B6</f>
        <v>5334.4294303400393</v>
      </c>
    </row>
    <row r="7" spans="1:9" x14ac:dyDescent="0.2">
      <c r="A7" s="1" t="s">
        <v>77</v>
      </c>
      <c r="B7" s="6">
        <v>12684</v>
      </c>
      <c r="C7" s="6">
        <v>54746319.93</v>
      </c>
      <c r="D7" s="6">
        <v>6346578.5300000003</v>
      </c>
      <c r="E7" s="6">
        <v>6028344.9800000004</v>
      </c>
      <c r="F7" s="6">
        <v>2867391.01</v>
      </c>
      <c r="G7" s="6">
        <v>2160492.04</v>
      </c>
      <c r="H7" s="6">
        <v>72149126.49000001</v>
      </c>
      <c r="I7" s="6">
        <f t="shared" si="0"/>
        <v>5688.1998178807953</v>
      </c>
    </row>
    <row r="8" spans="1:9" x14ac:dyDescent="0.2">
      <c r="A8" s="1" t="s">
        <v>78</v>
      </c>
      <c r="B8" s="6">
        <v>14732</v>
      </c>
      <c r="C8" s="6">
        <v>60775468.170000002</v>
      </c>
      <c r="D8" s="6">
        <v>8367665.9900000002</v>
      </c>
      <c r="E8" s="6">
        <v>8050947.8399999999</v>
      </c>
      <c r="F8" s="6">
        <v>2922138.69</v>
      </c>
      <c r="G8" s="6">
        <v>2958130.83</v>
      </c>
      <c r="H8" s="6">
        <v>83074351.519999996</v>
      </c>
      <c r="I8" s="6">
        <f t="shared" si="0"/>
        <v>5639.040966603312</v>
      </c>
    </row>
    <row r="9" spans="1:9" x14ac:dyDescent="0.2">
      <c r="A9" s="1" t="s">
        <v>79</v>
      </c>
      <c r="B9" s="6">
        <v>6597</v>
      </c>
      <c r="C9" s="6">
        <v>29206140.469999999</v>
      </c>
      <c r="D9" s="6">
        <v>4844064.03</v>
      </c>
      <c r="E9" s="6">
        <v>4492338.08</v>
      </c>
      <c r="F9" s="6">
        <v>1506638.06</v>
      </c>
      <c r="G9" s="6">
        <v>1379538.46</v>
      </c>
      <c r="H9" s="6">
        <v>41428719.100000001</v>
      </c>
      <c r="I9" s="6">
        <f t="shared" si="0"/>
        <v>6279.9331665908749</v>
      </c>
    </row>
    <row r="10" spans="1:9" x14ac:dyDescent="0.2">
      <c r="A10" s="14" t="s">
        <v>80</v>
      </c>
      <c r="B10" s="7">
        <v>1590</v>
      </c>
      <c r="C10" s="7">
        <v>5655998.4000000004</v>
      </c>
      <c r="D10" s="7">
        <v>1599910.85</v>
      </c>
      <c r="E10" s="7">
        <v>1032602.51</v>
      </c>
      <c r="F10" s="7">
        <v>392067.33</v>
      </c>
      <c r="G10" s="7">
        <v>55199.73</v>
      </c>
      <c r="H10" s="7">
        <v>8735778.8200000003</v>
      </c>
      <c r="I10" s="7">
        <f t="shared" si="0"/>
        <v>5494.2005157232707</v>
      </c>
    </row>
    <row r="11" spans="1:9" x14ac:dyDescent="0.2">
      <c r="A11" s="1"/>
      <c r="B11" s="6">
        <v>99358</v>
      </c>
      <c r="C11" s="6">
        <v>410936581.13999999</v>
      </c>
      <c r="D11" s="6">
        <v>49399992.850000001</v>
      </c>
      <c r="E11" s="6">
        <v>38905605.539999999</v>
      </c>
      <c r="F11" s="6">
        <v>19036541.069999997</v>
      </c>
      <c r="G11" s="6">
        <v>17226532.739999998</v>
      </c>
      <c r="H11" s="6">
        <v>535505253.34000003</v>
      </c>
      <c r="I11" s="6">
        <f t="shared" si="0"/>
        <v>5389.6541128042036</v>
      </c>
    </row>
    <row r="12" spans="1:9" x14ac:dyDescent="0.2">
      <c r="A12" s="1"/>
      <c r="B12" s="6"/>
      <c r="C12" s="6"/>
      <c r="D12" s="6"/>
      <c r="E12" s="6"/>
      <c r="F12" s="6"/>
      <c r="G12" s="6"/>
      <c r="H12" s="6"/>
      <c r="I12" s="82"/>
    </row>
    <row r="13" spans="1:9" x14ac:dyDescent="0.2">
      <c r="A13" s="1" t="s">
        <v>81</v>
      </c>
      <c r="B13" s="6">
        <v>22340</v>
      </c>
      <c r="C13" s="6">
        <v>98193859.900000006</v>
      </c>
      <c r="D13" s="6">
        <v>15816544.630000001</v>
      </c>
      <c r="E13" s="6">
        <v>9617300.8800000008</v>
      </c>
      <c r="F13" s="6">
        <v>5600362.1600000001</v>
      </c>
      <c r="G13" s="6">
        <v>6370789.4100000001</v>
      </c>
      <c r="H13" s="6">
        <v>135598856.97999999</v>
      </c>
      <c r="I13" s="6">
        <f t="shared" si="0"/>
        <v>6069.7787367949859</v>
      </c>
    </row>
    <row r="14" spans="1:9" x14ac:dyDescent="0.2">
      <c r="A14" s="1" t="s">
        <v>82</v>
      </c>
      <c r="B14" s="6">
        <v>10792</v>
      </c>
      <c r="C14" s="6">
        <v>46755623.399999999</v>
      </c>
      <c r="D14" s="6">
        <v>6723182.9500000002</v>
      </c>
      <c r="E14" s="6">
        <v>5943211.3799999999</v>
      </c>
      <c r="F14" s="6">
        <v>3704559.98</v>
      </c>
      <c r="G14" s="6">
        <v>1456946.93</v>
      </c>
      <c r="H14" s="6">
        <v>64583524.640000001</v>
      </c>
      <c r="I14" s="6">
        <f t="shared" si="0"/>
        <v>5984.3888658265387</v>
      </c>
    </row>
    <row r="15" spans="1:9" x14ac:dyDescent="0.2">
      <c r="A15" s="1" t="s">
        <v>83</v>
      </c>
      <c r="B15" s="6">
        <v>5193</v>
      </c>
      <c r="C15" s="6">
        <v>24602855.52</v>
      </c>
      <c r="D15" s="6">
        <v>4892685.5</v>
      </c>
      <c r="E15" s="6">
        <v>3556392.2</v>
      </c>
      <c r="F15" s="6">
        <v>1933118.29</v>
      </c>
      <c r="G15" s="6">
        <v>1455803.56</v>
      </c>
      <c r="H15" s="6">
        <v>36440855.07</v>
      </c>
      <c r="I15" s="6">
        <f t="shared" si="0"/>
        <v>7017.3031138070482</v>
      </c>
    </row>
    <row r="16" spans="1:9" x14ac:dyDescent="0.2">
      <c r="A16" s="1" t="s">
        <v>84</v>
      </c>
      <c r="B16" s="6">
        <v>4967</v>
      </c>
      <c r="C16" s="6">
        <v>27966895</v>
      </c>
      <c r="D16" s="6">
        <v>5981179.54</v>
      </c>
      <c r="E16" s="6">
        <v>4259625.32</v>
      </c>
      <c r="F16" s="6">
        <v>2402010.44</v>
      </c>
      <c r="G16" s="6">
        <v>767359.4</v>
      </c>
      <c r="H16" s="6">
        <v>41377069.699999996</v>
      </c>
      <c r="I16" s="6">
        <f t="shared" si="0"/>
        <v>8330.3945439903346</v>
      </c>
    </row>
    <row r="17" spans="1:9" x14ac:dyDescent="0.2">
      <c r="A17" s="14" t="s">
        <v>85</v>
      </c>
      <c r="B17" s="7">
        <v>1524</v>
      </c>
      <c r="C17" s="7">
        <v>11645030.35</v>
      </c>
      <c r="D17" s="7">
        <v>2528417.92</v>
      </c>
      <c r="E17" s="7">
        <v>1876661.79</v>
      </c>
      <c r="F17" s="7">
        <v>678837.53</v>
      </c>
      <c r="G17" s="7">
        <v>385228.08</v>
      </c>
      <c r="H17" s="7">
        <v>17114175.669999998</v>
      </c>
      <c r="I17" s="7">
        <f t="shared" si="0"/>
        <v>11229.774061679789</v>
      </c>
    </row>
    <row r="18" spans="1:9" x14ac:dyDescent="0.2">
      <c r="A18" s="1"/>
      <c r="B18" s="6">
        <v>44816</v>
      </c>
      <c r="C18" s="6">
        <v>209164264.17000002</v>
      </c>
      <c r="D18" s="6">
        <v>35942010.539999999</v>
      </c>
      <c r="E18" s="6">
        <v>25253191.57</v>
      </c>
      <c r="F18" s="6">
        <v>14318888.399999999</v>
      </c>
      <c r="G18" s="6">
        <v>10436127.380000001</v>
      </c>
      <c r="H18" s="6">
        <v>295114482.06</v>
      </c>
      <c r="I18" s="6">
        <f t="shared" si="0"/>
        <v>6585.0250370403428</v>
      </c>
    </row>
    <row r="19" spans="1:9" x14ac:dyDescent="0.2">
      <c r="A19" s="1"/>
      <c r="B19" s="6"/>
      <c r="C19" s="6"/>
      <c r="D19" s="6"/>
      <c r="E19" s="6"/>
      <c r="F19" s="6"/>
      <c r="G19" s="6"/>
      <c r="H19" s="6"/>
      <c r="I19" s="6"/>
    </row>
    <row r="20" spans="1:9" x14ac:dyDescent="0.2">
      <c r="A20" s="1" t="s">
        <v>86</v>
      </c>
      <c r="B20" s="6">
        <v>12916</v>
      </c>
      <c r="C20" s="6">
        <v>51417850.490000002</v>
      </c>
      <c r="D20" s="6">
        <v>7404326.0800000001</v>
      </c>
      <c r="E20" s="6">
        <v>5662935.1399999997</v>
      </c>
      <c r="F20" s="6">
        <v>3027584.47</v>
      </c>
      <c r="G20" s="6">
        <v>2290845.88</v>
      </c>
      <c r="H20" s="6">
        <v>69803542.060000002</v>
      </c>
      <c r="I20" s="6">
        <f t="shared" si="0"/>
        <v>5404.4241297615363</v>
      </c>
    </row>
    <row r="21" spans="1:9" x14ac:dyDescent="0.2">
      <c r="A21" s="14" t="s">
        <v>87</v>
      </c>
      <c r="B21" s="7">
        <v>6812</v>
      </c>
      <c r="C21" s="7">
        <v>36614127.530000001</v>
      </c>
      <c r="D21" s="7">
        <v>5758510.1200000001</v>
      </c>
      <c r="E21" s="7">
        <v>5585052.2000000002</v>
      </c>
      <c r="F21" s="7">
        <v>2787570.01</v>
      </c>
      <c r="G21" s="7">
        <v>1304190.6100000001</v>
      </c>
      <c r="H21" s="7">
        <v>52049450.469999999</v>
      </c>
      <c r="I21" s="7">
        <f t="shared" si="0"/>
        <v>7640.8471036406336</v>
      </c>
    </row>
    <row r="22" spans="1:9" x14ac:dyDescent="0.2">
      <c r="A22" s="1"/>
      <c r="B22" s="6">
        <v>19728</v>
      </c>
      <c r="C22" s="6">
        <v>88031978.020000011</v>
      </c>
      <c r="D22" s="6">
        <v>13162836.199999999</v>
      </c>
      <c r="E22" s="6">
        <v>11247987.34</v>
      </c>
      <c r="F22" s="6">
        <v>5815154.4800000004</v>
      </c>
      <c r="G22" s="6">
        <v>3595036.49</v>
      </c>
      <c r="H22" s="6">
        <v>121852992.53</v>
      </c>
      <c r="I22" s="6">
        <f t="shared" si="0"/>
        <v>6176.6520949918895</v>
      </c>
    </row>
    <row r="23" spans="1:9" x14ac:dyDescent="0.2">
      <c r="I23" s="6"/>
    </row>
    <row r="24" spans="1:9" ht="13.5" thickBot="1" x14ac:dyDescent="0.25">
      <c r="A24" s="46" t="s">
        <v>112</v>
      </c>
      <c r="B24" s="8">
        <v>163902</v>
      </c>
      <c r="C24" s="8">
        <v>708132823.33000004</v>
      </c>
      <c r="D24" s="8">
        <v>98504839.590000004</v>
      </c>
      <c r="E24" s="8">
        <v>75406784.449999988</v>
      </c>
      <c r="F24" s="8">
        <v>39170583.949999996</v>
      </c>
      <c r="G24" s="8">
        <v>31257696.609999999</v>
      </c>
      <c r="H24" s="8">
        <v>952472727.93000007</v>
      </c>
      <c r="I24" s="8">
        <f t="shared" si="0"/>
        <v>5811.2331022806311</v>
      </c>
    </row>
    <row r="25" spans="1:9" ht="13.5" thickTop="1" x14ac:dyDescent="0.2">
      <c r="A25" s="33"/>
      <c r="B25" s="6"/>
      <c r="C25" s="6"/>
      <c r="D25" s="6"/>
      <c r="E25" s="6"/>
      <c r="F25" s="6"/>
      <c r="G25" s="1"/>
      <c r="H25" s="6"/>
      <c r="I25" s="83"/>
    </row>
    <row r="26" spans="1:9" x14ac:dyDescent="0.2">
      <c r="A26" s="36" t="s">
        <v>247</v>
      </c>
      <c r="B26" s="6"/>
      <c r="C26" s="6"/>
      <c r="D26" s="6"/>
      <c r="E26" s="6"/>
      <c r="F26" s="6"/>
      <c r="G26" s="1"/>
      <c r="H26" s="6"/>
      <c r="I26" s="82"/>
    </row>
    <row r="27" spans="1:9" x14ac:dyDescent="0.2">
      <c r="A27" s="36" t="s">
        <v>262</v>
      </c>
      <c r="B27" s="36"/>
      <c r="C27" s="35" t="s">
        <v>139</v>
      </c>
      <c r="D27" s="35" t="s">
        <v>140</v>
      </c>
      <c r="E27" s="35"/>
      <c r="F27" s="35" t="s">
        <v>141</v>
      </c>
      <c r="G27" s="35"/>
      <c r="H27" s="35"/>
      <c r="I27" s="82"/>
    </row>
    <row r="28" spans="1:9" x14ac:dyDescent="0.2">
      <c r="A28" s="155" t="s">
        <v>245</v>
      </c>
      <c r="B28" s="165" t="s">
        <v>160</v>
      </c>
      <c r="C28" s="166" t="s">
        <v>159</v>
      </c>
      <c r="D28" s="166" t="s">
        <v>129</v>
      </c>
      <c r="E28" s="166" t="s">
        <v>91</v>
      </c>
      <c r="F28" s="166" t="s">
        <v>145</v>
      </c>
      <c r="G28" s="166" t="s">
        <v>93</v>
      </c>
      <c r="H28" s="166" t="s">
        <v>106</v>
      </c>
      <c r="I28" s="82"/>
    </row>
    <row r="29" spans="1:9" x14ac:dyDescent="0.2">
      <c r="A29" s="47"/>
      <c r="B29" s="48"/>
      <c r="C29" s="49"/>
      <c r="D29" s="49"/>
      <c r="E29" s="49"/>
      <c r="F29" s="49"/>
      <c r="G29" s="49"/>
      <c r="H29" s="49"/>
      <c r="I29" s="82"/>
    </row>
    <row r="30" spans="1:9" x14ac:dyDescent="0.2">
      <c r="A30" s="1" t="s">
        <v>102</v>
      </c>
      <c r="B30" s="6">
        <v>39846</v>
      </c>
      <c r="C30" s="6">
        <v>4068.01</v>
      </c>
      <c r="D30" s="6">
        <v>455.38</v>
      </c>
      <c r="E30" s="6">
        <v>264.23</v>
      </c>
      <c r="F30" s="6">
        <v>132.5</v>
      </c>
      <c r="G30" s="6">
        <v>163.87</v>
      </c>
      <c r="H30" s="6">
        <v>5083.9834402449433</v>
      </c>
      <c r="I30" s="82"/>
    </row>
    <row r="31" spans="1:9" x14ac:dyDescent="0.2">
      <c r="A31" s="1" t="s">
        <v>76</v>
      </c>
      <c r="B31" s="6">
        <v>23909</v>
      </c>
      <c r="C31" s="6">
        <v>4118.07</v>
      </c>
      <c r="D31" s="6">
        <v>422.3</v>
      </c>
      <c r="E31" s="6">
        <v>366.93</v>
      </c>
      <c r="F31" s="6">
        <v>253.82</v>
      </c>
      <c r="G31" s="6">
        <v>173.31</v>
      </c>
      <c r="H31" s="6">
        <v>5334.4294303400393</v>
      </c>
      <c r="I31" s="82"/>
    </row>
    <row r="32" spans="1:9" x14ac:dyDescent="0.2">
      <c r="A32" s="1" t="s">
        <v>77</v>
      </c>
      <c r="B32" s="6">
        <v>12684</v>
      </c>
      <c r="C32" s="6">
        <v>4316.17</v>
      </c>
      <c r="D32" s="6">
        <v>500.36</v>
      </c>
      <c r="E32" s="6">
        <v>475.27</v>
      </c>
      <c r="F32" s="6">
        <v>226.06</v>
      </c>
      <c r="G32" s="6">
        <v>170.33</v>
      </c>
      <c r="H32" s="6">
        <v>5688.1998178807953</v>
      </c>
      <c r="I32" s="82"/>
    </row>
    <row r="33" spans="1:9" x14ac:dyDescent="0.2">
      <c r="A33" s="1" t="s">
        <v>78</v>
      </c>
      <c r="B33" s="6">
        <v>14732</v>
      </c>
      <c r="C33" s="6">
        <v>4125.41</v>
      </c>
      <c r="D33" s="6">
        <v>567.99</v>
      </c>
      <c r="E33" s="6">
        <v>546.49</v>
      </c>
      <c r="F33" s="6">
        <v>198.35</v>
      </c>
      <c r="G33" s="6">
        <v>200.8</v>
      </c>
      <c r="H33" s="6">
        <v>5639.040966603312</v>
      </c>
      <c r="I33" s="83"/>
    </row>
    <row r="34" spans="1:9" x14ac:dyDescent="0.2">
      <c r="A34" s="1" t="s">
        <v>79</v>
      </c>
      <c r="B34" s="6">
        <v>6597</v>
      </c>
      <c r="C34" s="6">
        <v>4427.1899999999996</v>
      </c>
      <c r="D34" s="6">
        <v>734.28</v>
      </c>
      <c r="E34" s="6">
        <v>680.97</v>
      </c>
      <c r="F34" s="6">
        <v>228.38</v>
      </c>
      <c r="G34" s="6">
        <v>209.12</v>
      </c>
      <c r="H34" s="6">
        <v>6279.9331665908749</v>
      </c>
      <c r="I34" s="83"/>
    </row>
    <row r="35" spans="1:9" x14ac:dyDescent="0.2">
      <c r="A35" s="14" t="s">
        <v>80</v>
      </c>
      <c r="B35" s="7">
        <v>1590</v>
      </c>
      <c r="C35" s="7">
        <v>3557.23</v>
      </c>
      <c r="D35" s="7">
        <v>1006.23</v>
      </c>
      <c r="E35" s="7">
        <v>649.44000000000005</v>
      </c>
      <c r="F35" s="7">
        <v>246.58</v>
      </c>
      <c r="G35" s="7">
        <v>34.72</v>
      </c>
      <c r="H35" s="7">
        <v>5494.2005157232707</v>
      </c>
      <c r="I35" s="83"/>
    </row>
    <row r="36" spans="1:9" x14ac:dyDescent="0.2">
      <c r="A36" s="33" t="s">
        <v>134</v>
      </c>
      <c r="B36" s="6">
        <v>99358</v>
      </c>
      <c r="C36" s="6">
        <v>4135.9184075766416</v>
      </c>
      <c r="D36" s="6">
        <v>497.19190050121784</v>
      </c>
      <c r="E36" s="6">
        <v>391.56993437871131</v>
      </c>
      <c r="F36" s="6">
        <v>191.59545351154406</v>
      </c>
      <c r="G36" s="6">
        <v>173.37841683608767</v>
      </c>
      <c r="H36" s="6">
        <v>5389.6541128042036</v>
      </c>
      <c r="I36" s="83"/>
    </row>
    <row r="37" spans="1:9" x14ac:dyDescent="0.2">
      <c r="A37" s="1"/>
      <c r="B37" s="6"/>
      <c r="C37" s="6"/>
      <c r="D37" s="6"/>
      <c r="E37" s="6"/>
      <c r="F37" s="6"/>
      <c r="G37" s="6"/>
      <c r="H37" s="6"/>
      <c r="I37" s="83"/>
    </row>
    <row r="38" spans="1:9" x14ac:dyDescent="0.2">
      <c r="A38" s="1" t="s">
        <v>81</v>
      </c>
      <c r="B38" s="6">
        <v>22340</v>
      </c>
      <c r="C38" s="6">
        <v>4395.43</v>
      </c>
      <c r="D38" s="6">
        <v>707.99</v>
      </c>
      <c r="E38" s="6">
        <v>430.5</v>
      </c>
      <c r="F38" s="6">
        <v>250.69</v>
      </c>
      <c r="G38" s="6">
        <v>285.17</v>
      </c>
      <c r="H38" s="6">
        <v>6069.7787367949859</v>
      </c>
      <c r="I38" s="83"/>
    </row>
    <row r="39" spans="1:9" x14ac:dyDescent="0.2">
      <c r="A39" s="1" t="s">
        <v>82</v>
      </c>
      <c r="B39" s="6">
        <v>10792</v>
      </c>
      <c r="C39" s="6">
        <v>4332.43</v>
      </c>
      <c r="D39" s="6">
        <v>622.98</v>
      </c>
      <c r="E39" s="6">
        <v>550.71</v>
      </c>
      <c r="F39" s="6">
        <v>343.27</v>
      </c>
      <c r="G39" s="6">
        <v>135</v>
      </c>
      <c r="H39" s="6">
        <v>5984.3888658265387</v>
      </c>
      <c r="I39" s="83"/>
    </row>
    <row r="40" spans="1:9" x14ac:dyDescent="0.2">
      <c r="A40" s="1" t="s">
        <v>83</v>
      </c>
      <c r="B40" s="6">
        <v>5193</v>
      </c>
      <c r="C40" s="6">
        <v>4737.7</v>
      </c>
      <c r="D40" s="6">
        <v>942.17</v>
      </c>
      <c r="E40" s="6">
        <v>684.84</v>
      </c>
      <c r="F40" s="6">
        <v>372.25</v>
      </c>
      <c r="G40" s="6">
        <v>280.33999999999997</v>
      </c>
      <c r="H40" s="6">
        <v>7017.3031138070482</v>
      </c>
      <c r="I40" s="83"/>
    </row>
    <row r="41" spans="1:9" x14ac:dyDescent="0.2">
      <c r="A41" s="1" t="s">
        <v>84</v>
      </c>
      <c r="B41" s="6">
        <v>4967</v>
      </c>
      <c r="C41" s="6">
        <v>5630.54</v>
      </c>
      <c r="D41" s="6">
        <v>1204.18</v>
      </c>
      <c r="E41" s="6">
        <v>857.59</v>
      </c>
      <c r="F41" s="6">
        <v>483.59</v>
      </c>
      <c r="G41" s="6">
        <v>154.49</v>
      </c>
      <c r="H41" s="6">
        <v>8330.3945439903346</v>
      </c>
      <c r="I41" s="83"/>
    </row>
    <row r="42" spans="1:9" x14ac:dyDescent="0.2">
      <c r="A42" s="14" t="s">
        <v>85</v>
      </c>
      <c r="B42" s="7">
        <v>1524</v>
      </c>
      <c r="C42" s="7">
        <v>7641.1</v>
      </c>
      <c r="D42" s="7">
        <v>1659.07</v>
      </c>
      <c r="E42" s="7">
        <v>1231.4100000000001</v>
      </c>
      <c r="F42" s="7">
        <v>445.43</v>
      </c>
      <c r="G42" s="7">
        <v>252.77</v>
      </c>
      <c r="H42" s="7">
        <v>11229.774061679789</v>
      </c>
      <c r="I42" s="83"/>
    </row>
    <row r="43" spans="1:9" x14ac:dyDescent="0.2">
      <c r="A43" s="33" t="s">
        <v>135</v>
      </c>
      <c r="B43" s="6">
        <v>44816</v>
      </c>
      <c r="C43" s="6">
        <v>4667.1783329614427</v>
      </c>
      <c r="D43" s="6">
        <v>801.99059576936804</v>
      </c>
      <c r="E43" s="6">
        <v>563.48606680649766</v>
      </c>
      <c r="F43" s="6">
        <v>319.50393609425203</v>
      </c>
      <c r="G43" s="6">
        <v>232.8661054087826</v>
      </c>
      <c r="H43" s="6">
        <v>6585.0250370403428</v>
      </c>
      <c r="I43" s="83"/>
    </row>
    <row r="44" spans="1:9" x14ac:dyDescent="0.2">
      <c r="A44" s="1"/>
      <c r="B44" s="6"/>
      <c r="C44" s="6"/>
      <c r="D44" s="6"/>
      <c r="E44" s="6"/>
      <c r="F44" s="6"/>
      <c r="G44" s="6"/>
      <c r="H44" s="6"/>
      <c r="I44" s="83"/>
    </row>
    <row r="45" spans="1:9" x14ac:dyDescent="0.2">
      <c r="A45" s="1" t="s">
        <v>86</v>
      </c>
      <c r="B45" s="6">
        <v>12916</v>
      </c>
      <c r="C45" s="6">
        <v>3980.94</v>
      </c>
      <c r="D45" s="6">
        <v>573.27</v>
      </c>
      <c r="E45" s="6">
        <v>438.44</v>
      </c>
      <c r="F45" s="6">
        <v>234.41</v>
      </c>
      <c r="G45" s="6">
        <v>177.36</v>
      </c>
      <c r="H45" s="6">
        <v>5404.4241297615363</v>
      </c>
      <c r="I45" s="83"/>
    </row>
    <row r="46" spans="1:9" x14ac:dyDescent="0.2">
      <c r="A46" s="14" t="s">
        <v>87</v>
      </c>
      <c r="B46" s="7">
        <v>6812</v>
      </c>
      <c r="C46" s="7">
        <v>5374.95</v>
      </c>
      <c r="D46" s="7">
        <v>845.35</v>
      </c>
      <c r="E46" s="7">
        <v>819.88</v>
      </c>
      <c r="F46" s="7">
        <v>409.21</v>
      </c>
      <c r="G46" s="7">
        <v>191.45</v>
      </c>
      <c r="H46" s="7">
        <v>7640.8471036406336</v>
      </c>
      <c r="I46" s="83"/>
    </row>
    <row r="47" spans="1:9" x14ac:dyDescent="0.2">
      <c r="A47" s="33" t="s">
        <v>136</v>
      </c>
      <c r="B47" s="6">
        <v>19728</v>
      </c>
      <c r="C47" s="6">
        <v>4462.2859904703982</v>
      </c>
      <c r="D47" s="6">
        <v>667.21594687753441</v>
      </c>
      <c r="E47" s="6">
        <v>570.15345397404701</v>
      </c>
      <c r="F47" s="6">
        <v>294.76654906731551</v>
      </c>
      <c r="G47" s="6">
        <v>182.23015460259532</v>
      </c>
      <c r="H47" s="6">
        <v>6176.6520949918895</v>
      </c>
      <c r="I47" s="83"/>
    </row>
    <row r="48" spans="1:9" ht="13.5" thickBot="1" x14ac:dyDescent="0.25">
      <c r="A48" s="24"/>
      <c r="B48" s="25"/>
      <c r="C48" s="25"/>
      <c r="D48" s="25"/>
      <c r="E48" s="25"/>
      <c r="F48" s="25"/>
      <c r="G48" s="24"/>
      <c r="H48" s="25"/>
      <c r="I48" s="83"/>
    </row>
    <row r="49" spans="1:9" ht="13.5" thickBot="1" x14ac:dyDescent="0.25">
      <c r="A49" s="50" t="s">
        <v>112</v>
      </c>
      <c r="B49" s="27">
        <v>163902</v>
      </c>
      <c r="C49" s="27">
        <v>4320.4648102524679</v>
      </c>
      <c r="D49" s="27">
        <v>600.99839898231869</v>
      </c>
      <c r="E49" s="27">
        <v>460.07238746324015</v>
      </c>
      <c r="F49" s="27">
        <v>238.98783388854312</v>
      </c>
      <c r="G49" s="27">
        <v>190.70967169406109</v>
      </c>
      <c r="H49" s="27">
        <v>5811.2331022806311</v>
      </c>
      <c r="I49" s="83"/>
    </row>
    <row r="50" spans="1:9" ht="13.5" thickTop="1" x14ac:dyDescent="0.2">
      <c r="A50" s="1"/>
      <c r="B50" s="6"/>
      <c r="C50" s="6"/>
      <c r="D50" s="6"/>
      <c r="E50" s="6"/>
      <c r="F50" s="6"/>
      <c r="G50" s="6"/>
      <c r="H50" s="6"/>
      <c r="I50" s="83"/>
    </row>
    <row r="51" spans="1:9" x14ac:dyDescent="0.2">
      <c r="A51" s="1"/>
      <c r="B51" s="6"/>
      <c r="C51" s="6"/>
      <c r="D51" s="6"/>
      <c r="E51" s="6"/>
      <c r="F51" s="6"/>
      <c r="G51" s="6"/>
      <c r="H51" s="6"/>
      <c r="I51" s="82"/>
    </row>
    <row r="52" spans="1:9" x14ac:dyDescent="0.2">
      <c r="A52" s="1"/>
      <c r="B52" s="6"/>
      <c r="C52" s="6"/>
      <c r="D52" s="6"/>
      <c r="E52" s="6"/>
      <c r="F52" s="6"/>
      <c r="G52" s="6"/>
      <c r="H52" s="6"/>
      <c r="I52" s="83"/>
    </row>
    <row r="53" spans="1:9" x14ac:dyDescent="0.2">
      <c r="I53" s="82"/>
    </row>
    <row r="54" spans="1:9" x14ac:dyDescent="0.2">
      <c r="A54" s="36" t="s">
        <v>247</v>
      </c>
      <c r="B54" s="33"/>
      <c r="C54" s="34"/>
      <c r="D54" s="34"/>
      <c r="E54" s="34"/>
      <c r="F54" s="34"/>
      <c r="G54" s="34"/>
      <c r="H54" s="6"/>
      <c r="I54" s="82"/>
    </row>
    <row r="55" spans="1:9" x14ac:dyDescent="0.2">
      <c r="A55" s="22" t="s">
        <v>283</v>
      </c>
      <c r="B55" s="36"/>
      <c r="C55" s="35" t="s">
        <v>139</v>
      </c>
      <c r="D55" s="35" t="s">
        <v>140</v>
      </c>
      <c r="E55" s="35"/>
      <c r="F55" s="35" t="s">
        <v>141</v>
      </c>
      <c r="G55" s="35"/>
      <c r="H55" s="6"/>
      <c r="I55" s="82"/>
    </row>
    <row r="56" spans="1:9" x14ac:dyDescent="0.2">
      <c r="A56" s="155" t="s">
        <v>245</v>
      </c>
      <c r="B56" s="176"/>
      <c r="C56" s="166" t="s">
        <v>143</v>
      </c>
      <c r="D56" s="166" t="s">
        <v>144</v>
      </c>
      <c r="E56" s="166" t="s">
        <v>91</v>
      </c>
      <c r="F56" s="166" t="s">
        <v>145</v>
      </c>
      <c r="G56" s="166" t="s">
        <v>93</v>
      </c>
      <c r="H56" s="6"/>
      <c r="I56" s="82"/>
    </row>
    <row r="57" spans="1:9" x14ac:dyDescent="0.2">
      <c r="A57" s="33"/>
      <c r="B57" s="33"/>
      <c r="C57" s="51"/>
      <c r="D57" s="51"/>
      <c r="E57" s="51"/>
      <c r="F57" s="51"/>
      <c r="G57" s="51"/>
      <c r="H57" s="6"/>
      <c r="I57" s="82"/>
    </row>
    <row r="58" spans="1:9" x14ac:dyDescent="0.2">
      <c r="A58" s="33" t="s">
        <v>102</v>
      </c>
      <c r="B58" s="33"/>
      <c r="C58" s="52">
        <v>0.8001619296785133</v>
      </c>
      <c r="D58" s="52">
        <v>8.9571495531476406E-2</v>
      </c>
      <c r="E58" s="52">
        <v>5.1973025306956855E-2</v>
      </c>
      <c r="F58" s="52">
        <v>2.6062240673548738E-2</v>
      </c>
      <c r="G58" s="52">
        <v>3.2232599088108917E-2</v>
      </c>
      <c r="H58" s="28"/>
      <c r="I58" s="82"/>
    </row>
    <row r="59" spans="1:9" x14ac:dyDescent="0.2">
      <c r="A59" s="33" t="s">
        <v>76</v>
      </c>
      <c r="B59" s="33"/>
      <c r="C59" s="52">
        <v>0.77197946917773663</v>
      </c>
      <c r="D59" s="52">
        <v>7.9164980156665191E-2</v>
      </c>
      <c r="E59" s="52">
        <v>6.8785238382394406E-2</v>
      </c>
      <c r="F59" s="52">
        <v>4.7581471142232434E-2</v>
      </c>
      <c r="G59" s="52">
        <v>3.2488947930266743E-2</v>
      </c>
      <c r="H59" s="28"/>
      <c r="I59" s="82"/>
    </row>
    <row r="60" spans="1:9" x14ac:dyDescent="0.2">
      <c r="A60" s="33" t="s">
        <v>77</v>
      </c>
      <c r="B60" s="33"/>
      <c r="C60" s="52">
        <v>0.75879366727451558</v>
      </c>
      <c r="D60" s="52">
        <v>8.7964561024583512E-2</v>
      </c>
      <c r="E60" s="52">
        <v>8.3553675190170679E-2</v>
      </c>
      <c r="F60" s="52">
        <v>3.9741923145769742E-2</v>
      </c>
      <c r="G60" s="52">
        <v>2.9944447356537913E-2</v>
      </c>
      <c r="H60" s="28"/>
      <c r="I60" s="82"/>
    </row>
    <row r="61" spans="1:9" x14ac:dyDescent="0.2">
      <c r="A61" s="33" t="s">
        <v>78</v>
      </c>
      <c r="B61" s="33"/>
      <c r="C61" s="52">
        <v>0.73158007264574798</v>
      </c>
      <c r="D61" s="52">
        <v>0.10072457415434063</v>
      </c>
      <c r="E61" s="52">
        <v>9.6911869099113743E-2</v>
      </c>
      <c r="F61" s="52">
        <v>3.5174420823453699E-2</v>
      </c>
      <c r="G61" s="52">
        <v>3.5608891864630718E-2</v>
      </c>
      <c r="H61" s="28"/>
      <c r="I61" s="82"/>
    </row>
    <row r="62" spans="1:9" x14ac:dyDescent="0.2">
      <c r="A62" s="33" t="s">
        <v>79</v>
      </c>
      <c r="B62" s="33"/>
      <c r="C62" s="52">
        <v>0.70497406302865873</v>
      </c>
      <c r="D62" s="52">
        <v>0.11692481122352633</v>
      </c>
      <c r="E62" s="52">
        <v>0.10843586737877203</v>
      </c>
      <c r="F62" s="52">
        <v>3.6366629061432891E-2</v>
      </c>
      <c r="G62" s="52">
        <v>3.3299717441662345E-2</v>
      </c>
      <c r="H62" s="28"/>
      <c r="I62" s="82"/>
    </row>
    <row r="63" spans="1:9" x14ac:dyDescent="0.2">
      <c r="A63" s="53" t="s">
        <v>80</v>
      </c>
      <c r="B63" s="53"/>
      <c r="C63" s="54">
        <v>0.64745179754905924</v>
      </c>
      <c r="D63" s="54">
        <v>0.1831440256176266</v>
      </c>
      <c r="E63" s="54">
        <v>0.11820464108316332</v>
      </c>
      <c r="F63" s="54">
        <v>4.4880051118327192E-2</v>
      </c>
      <c r="G63" s="54">
        <v>6.3193907649781817E-3</v>
      </c>
      <c r="H63" s="28"/>
      <c r="I63" s="82"/>
    </row>
    <row r="64" spans="1:9" x14ac:dyDescent="0.2">
      <c r="A64" s="33" t="s">
        <v>108</v>
      </c>
      <c r="B64" s="33"/>
      <c r="C64" s="52">
        <v>0.76738104542756069</v>
      </c>
      <c r="D64" s="52">
        <v>9.2249315094272713E-2</v>
      </c>
      <c r="E64" s="52">
        <v>7.2652145422181819E-2</v>
      </c>
      <c r="F64" s="52">
        <v>3.5548747563664738E-2</v>
      </c>
      <c r="G64" s="52">
        <v>3.2168746492319884E-2</v>
      </c>
      <c r="H64" s="28"/>
      <c r="I64" s="82"/>
    </row>
    <row r="65" spans="1:9" x14ac:dyDescent="0.2">
      <c r="A65" s="33"/>
      <c r="B65" s="33"/>
      <c r="C65" s="52"/>
      <c r="D65" s="52"/>
      <c r="E65" s="52"/>
      <c r="F65" s="52"/>
      <c r="G65" s="52"/>
      <c r="H65" s="28"/>
      <c r="I65" s="82"/>
    </row>
    <row r="66" spans="1:9" x14ac:dyDescent="0.2">
      <c r="A66" s="33" t="s">
        <v>81</v>
      </c>
      <c r="B66" s="33"/>
      <c r="C66" s="52">
        <v>0.72414995514662062</v>
      </c>
      <c r="D66" s="52">
        <v>0.11664181359827272</v>
      </c>
      <c r="E66" s="52">
        <v>7.0925155375155591E-2</v>
      </c>
      <c r="F66" s="52">
        <v>4.130134076886819E-2</v>
      </c>
      <c r="G66" s="52">
        <v>4.6981943224931752E-2</v>
      </c>
      <c r="H66" s="28"/>
      <c r="I66" s="82"/>
    </row>
    <row r="67" spans="1:9" x14ac:dyDescent="0.2">
      <c r="A67" s="33" t="s">
        <v>82</v>
      </c>
      <c r="B67" s="33"/>
      <c r="C67" s="52">
        <v>0.72395529387136892</v>
      </c>
      <c r="D67" s="52">
        <v>0.10410085540354615</v>
      </c>
      <c r="E67" s="52">
        <v>9.2024434298511829E-2</v>
      </c>
      <c r="F67" s="52">
        <v>5.7360911480906746E-2</v>
      </c>
      <c r="G67" s="52">
        <v>2.2558694467685526E-2</v>
      </c>
      <c r="H67" s="28"/>
      <c r="I67" s="82"/>
    </row>
    <row r="68" spans="1:9" x14ac:dyDescent="0.2">
      <c r="A68" s="33" t="s">
        <v>83</v>
      </c>
      <c r="B68" s="33"/>
      <c r="C68" s="52">
        <v>0.67514541172922038</v>
      </c>
      <c r="D68" s="52">
        <v>0.13426383109291842</v>
      </c>
      <c r="E68" s="52">
        <v>9.7593048054676182E-2</v>
      </c>
      <c r="F68" s="52">
        <v>5.304744486062906E-2</v>
      </c>
      <c r="G68" s="52">
        <v>3.994982052982874E-2</v>
      </c>
      <c r="H68" s="28"/>
      <c r="I68" s="82"/>
    </row>
    <row r="69" spans="1:9" x14ac:dyDescent="0.2">
      <c r="A69" s="33" t="s">
        <v>84</v>
      </c>
      <c r="B69" s="33"/>
      <c r="C69" s="52">
        <v>0.67590316044057619</v>
      </c>
      <c r="D69" s="52">
        <v>0.14455257714878736</v>
      </c>
      <c r="E69" s="52">
        <v>0.1029471047825313</v>
      </c>
      <c r="F69" s="52">
        <v>5.8051272055159586E-2</v>
      </c>
      <c r="G69" s="52">
        <v>1.8545340101742396E-2</v>
      </c>
      <c r="H69" s="28"/>
      <c r="I69" s="82"/>
    </row>
    <row r="70" spans="1:9" x14ac:dyDescent="0.2">
      <c r="A70" s="53" t="s">
        <v>85</v>
      </c>
      <c r="B70" s="53"/>
      <c r="C70" s="54">
        <v>0.68043221155039135</v>
      </c>
      <c r="D70" s="54">
        <v>0.14773850220739262</v>
      </c>
      <c r="E70" s="54">
        <v>0.10965581259573458</v>
      </c>
      <c r="F70" s="54">
        <v>3.9665090103635711E-2</v>
      </c>
      <c r="G70" s="54">
        <v>2.250891234424264E-2</v>
      </c>
      <c r="H70" s="28"/>
      <c r="I70" s="82"/>
    </row>
    <row r="71" spans="1:9" x14ac:dyDescent="0.2">
      <c r="A71" s="33" t="s">
        <v>109</v>
      </c>
      <c r="B71" s="33"/>
      <c r="C71" s="52">
        <v>0.70875635350038368</v>
      </c>
      <c r="D71" s="52">
        <v>0.12179006021362447</v>
      </c>
      <c r="E71" s="52">
        <v>8.5570831338821762E-2</v>
      </c>
      <c r="F71" s="52">
        <v>4.8519775444597846E-2</v>
      </c>
      <c r="G71" s="52">
        <v>3.536297950257223E-2</v>
      </c>
      <c r="H71" s="28"/>
      <c r="I71" s="82"/>
    </row>
    <row r="72" spans="1:9" x14ac:dyDescent="0.2">
      <c r="A72" s="33"/>
      <c r="B72" s="33"/>
      <c r="C72" s="52"/>
      <c r="D72" s="52"/>
      <c r="E72" s="52"/>
      <c r="F72" s="52"/>
      <c r="G72" s="52"/>
      <c r="H72" s="28"/>
      <c r="I72" s="82"/>
    </row>
    <row r="73" spans="1:9" x14ac:dyDescent="0.2">
      <c r="A73" s="33" t="s">
        <v>86</v>
      </c>
      <c r="B73" s="33"/>
      <c r="C73" s="52">
        <v>0.7366076207967146</v>
      </c>
      <c r="D73" s="52">
        <v>0.10607420628648825</v>
      </c>
      <c r="E73" s="52">
        <v>8.1126127312170379E-2</v>
      </c>
      <c r="F73" s="52">
        <v>4.3373723892085256E-2</v>
      </c>
      <c r="G73" s="52">
        <v>3.2817557567937548E-2</v>
      </c>
      <c r="H73" s="28"/>
      <c r="I73" s="82"/>
    </row>
    <row r="74" spans="1:9" x14ac:dyDescent="0.2">
      <c r="A74" s="53" t="s">
        <v>87</v>
      </c>
      <c r="B74" s="53"/>
      <c r="C74" s="54">
        <v>0.70344949023243741</v>
      </c>
      <c r="D74" s="54">
        <v>0.11063563876277752</v>
      </c>
      <c r="E74" s="54">
        <v>0.10730223872813158</v>
      </c>
      <c r="F74" s="54">
        <v>5.3555580218981706E-2</v>
      </c>
      <c r="G74" s="54">
        <v>2.5056122364859237E-2</v>
      </c>
      <c r="H74" s="28"/>
      <c r="I74" s="82"/>
    </row>
    <row r="75" spans="1:9" x14ac:dyDescent="0.2">
      <c r="A75" s="33" t="s">
        <v>110</v>
      </c>
      <c r="B75" s="33"/>
      <c r="C75" s="52">
        <v>0.72244412051125206</v>
      </c>
      <c r="D75" s="52">
        <v>0.10802226458869553</v>
      </c>
      <c r="E75" s="52">
        <v>9.2307846581861863E-2</v>
      </c>
      <c r="F75" s="52">
        <v>4.772270552623744E-2</v>
      </c>
      <c r="G75" s="52">
        <v>2.9503062791953253E-2</v>
      </c>
      <c r="H75" s="6"/>
      <c r="I75" s="82"/>
    </row>
    <row r="76" spans="1:9" ht="13.5" thickBot="1" x14ac:dyDescent="0.25">
      <c r="A76" s="55"/>
      <c r="B76" s="55"/>
      <c r="C76" s="56"/>
      <c r="D76" s="56"/>
      <c r="E76" s="56"/>
      <c r="F76" s="56"/>
      <c r="G76" s="56"/>
      <c r="H76" s="6"/>
      <c r="I76" s="82"/>
    </row>
    <row r="77" spans="1:9" ht="13.5" thickBot="1" x14ac:dyDescent="0.25">
      <c r="A77" s="57" t="s">
        <v>111</v>
      </c>
      <c r="B77" s="50"/>
      <c r="C77" s="58">
        <v>0.74346782072068185</v>
      </c>
      <c r="D77" s="58">
        <v>0.10342011555971753</v>
      </c>
      <c r="E77" s="58">
        <v>7.9169494557477613E-2</v>
      </c>
      <c r="F77" s="58">
        <v>4.1125150150103568E-2</v>
      </c>
      <c r="G77" s="58">
        <v>3.2817419012019441E-2</v>
      </c>
      <c r="H77" s="59"/>
      <c r="I77" s="82"/>
    </row>
    <row r="78" spans="1:9" ht="13.5" thickTop="1" x14ac:dyDescent="0.2">
      <c r="A78" s="1"/>
      <c r="B78" s="6"/>
      <c r="C78" s="6"/>
      <c r="D78" s="6"/>
      <c r="E78" s="6"/>
      <c r="F78" s="6"/>
      <c r="G78" s="1"/>
      <c r="H78" s="6"/>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79"/>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10.140625" bestFit="1" customWidth="1"/>
    <col min="5" max="5" width="9.5703125" customWidth="1"/>
    <col min="6" max="6" width="9.7109375" customWidth="1"/>
    <col min="7" max="7" width="10" customWidth="1"/>
    <col min="8" max="8" width="10.140625" customWidth="1"/>
  </cols>
  <sheetData>
    <row r="1" spans="1:9" x14ac:dyDescent="0.2">
      <c r="A1" s="36" t="s">
        <v>247</v>
      </c>
    </row>
    <row r="2" spans="1:9" x14ac:dyDescent="0.2">
      <c r="A2" s="22" t="s">
        <v>290</v>
      </c>
    </row>
    <row r="3" spans="1:9" x14ac:dyDescent="0.2">
      <c r="B3" s="36"/>
      <c r="C3" s="35" t="s">
        <v>139</v>
      </c>
      <c r="D3" s="35" t="s">
        <v>140</v>
      </c>
      <c r="E3" s="35"/>
      <c r="F3" s="35" t="s">
        <v>141</v>
      </c>
      <c r="G3" s="35"/>
      <c r="H3" s="35"/>
      <c r="I3" s="181" t="s">
        <v>454</v>
      </c>
    </row>
    <row r="4" spans="1:9" x14ac:dyDescent="0.2">
      <c r="A4" s="155" t="s">
        <v>245</v>
      </c>
      <c r="B4" s="165" t="s">
        <v>128</v>
      </c>
      <c r="C4" s="166" t="s">
        <v>159</v>
      </c>
      <c r="D4" s="166" t="s">
        <v>129</v>
      </c>
      <c r="E4" s="166" t="s">
        <v>91</v>
      </c>
      <c r="F4" s="166" t="s">
        <v>145</v>
      </c>
      <c r="G4" s="166" t="s">
        <v>93</v>
      </c>
      <c r="H4" s="166" t="s">
        <v>106</v>
      </c>
      <c r="I4" s="141" t="s">
        <v>396</v>
      </c>
    </row>
    <row r="5" spans="1:9" x14ac:dyDescent="0.2">
      <c r="A5" s="1" t="s">
        <v>102</v>
      </c>
      <c r="B5" s="6">
        <v>40796</v>
      </c>
      <c r="C5" s="6">
        <v>160511723.69999999</v>
      </c>
      <c r="D5" s="6">
        <v>17984858.350000001</v>
      </c>
      <c r="E5" s="6">
        <v>10584126.699999999</v>
      </c>
      <c r="F5" s="6">
        <v>4684739.49</v>
      </c>
      <c r="G5" s="6">
        <v>6876169.6500000004</v>
      </c>
      <c r="H5" s="6">
        <f>SUM(C5:G5)</f>
        <v>200641617.88999999</v>
      </c>
      <c r="I5" s="6">
        <f>H5/B5</f>
        <v>4918.1688864104317</v>
      </c>
    </row>
    <row r="6" spans="1:9" x14ac:dyDescent="0.2">
      <c r="A6" s="1" t="s">
        <v>76</v>
      </c>
      <c r="B6" s="6">
        <v>24993</v>
      </c>
      <c r="C6" s="6">
        <v>97871352.430000007</v>
      </c>
      <c r="D6" s="6">
        <v>9689794.9399999995</v>
      </c>
      <c r="E6" s="6">
        <v>9569180.3599999994</v>
      </c>
      <c r="F6" s="6">
        <v>6605717.1900000004</v>
      </c>
      <c r="G6" s="6">
        <v>3741213.84</v>
      </c>
      <c r="H6" s="6">
        <f t="shared" ref="H6:H11" si="0">SUM(C6:G6)</f>
        <v>127477258.76000001</v>
      </c>
      <c r="I6" s="6">
        <f t="shared" ref="I6:I24" si="1">H6/B6</f>
        <v>5100.5184955787627</v>
      </c>
    </row>
    <row r="7" spans="1:9" x14ac:dyDescent="0.2">
      <c r="A7" s="1" t="s">
        <v>77</v>
      </c>
      <c r="B7" s="6">
        <v>12810</v>
      </c>
      <c r="C7" s="6">
        <v>54250679.5</v>
      </c>
      <c r="D7" s="6">
        <v>6176112.2400000002</v>
      </c>
      <c r="E7" s="6">
        <v>5731111.0700000003</v>
      </c>
      <c r="F7" s="6">
        <v>2464807.1</v>
      </c>
      <c r="G7" s="6">
        <v>1480143.3</v>
      </c>
      <c r="H7" s="6">
        <f t="shared" si="0"/>
        <v>70102853.209999993</v>
      </c>
      <c r="I7" s="6">
        <f t="shared" si="1"/>
        <v>5472.5100085870408</v>
      </c>
    </row>
    <row r="8" spans="1:9" x14ac:dyDescent="0.2">
      <c r="A8" s="1" t="s">
        <v>78</v>
      </c>
      <c r="B8" s="6">
        <v>15459</v>
      </c>
      <c r="C8" s="6">
        <v>60037399.859999999</v>
      </c>
      <c r="D8" s="6">
        <v>8385176.4800000004</v>
      </c>
      <c r="E8" s="6">
        <v>7348078.5300000003</v>
      </c>
      <c r="F8" s="6">
        <v>2537771.59</v>
      </c>
      <c r="G8" s="6">
        <v>3107994.73</v>
      </c>
      <c r="H8" s="6">
        <f t="shared" si="0"/>
        <v>81416421.190000013</v>
      </c>
      <c r="I8" s="6">
        <f t="shared" si="1"/>
        <v>5266.603350152016</v>
      </c>
    </row>
    <row r="9" spans="1:9" x14ac:dyDescent="0.2">
      <c r="A9" s="1" t="s">
        <v>79</v>
      </c>
      <c r="B9" s="6">
        <v>6391</v>
      </c>
      <c r="C9" s="6">
        <v>27726050.649999999</v>
      </c>
      <c r="D9" s="6">
        <v>4636623.91</v>
      </c>
      <c r="E9" s="6">
        <v>3982794.11</v>
      </c>
      <c r="F9" s="6">
        <v>1519162.01</v>
      </c>
      <c r="G9" s="6">
        <v>1045413.01</v>
      </c>
      <c r="H9" s="6">
        <f t="shared" si="0"/>
        <v>38910043.689999998</v>
      </c>
      <c r="I9" s="6">
        <f t="shared" si="1"/>
        <v>6088.2559364731651</v>
      </c>
    </row>
    <row r="10" spans="1:9" x14ac:dyDescent="0.2">
      <c r="A10" s="14" t="s">
        <v>80</v>
      </c>
      <c r="B10" s="7">
        <v>1696</v>
      </c>
      <c r="C10" s="7">
        <v>5802341.8300000001</v>
      </c>
      <c r="D10" s="7">
        <v>1669974.66</v>
      </c>
      <c r="E10" s="7">
        <v>932011.72</v>
      </c>
      <c r="F10" s="7">
        <v>368110.46</v>
      </c>
      <c r="G10" s="7">
        <v>62924.67</v>
      </c>
      <c r="H10" s="7">
        <f t="shared" si="0"/>
        <v>8835363.3400000017</v>
      </c>
      <c r="I10" s="7">
        <f t="shared" si="1"/>
        <v>5209.5302712264165</v>
      </c>
    </row>
    <row r="11" spans="1:9" x14ac:dyDescent="0.2">
      <c r="A11" s="1"/>
      <c r="B11" s="6">
        <f t="shared" ref="B11:G11" si="2">SUM(B5:B10)</f>
        <v>102145</v>
      </c>
      <c r="C11" s="6">
        <f t="shared" si="2"/>
        <v>406199547.96999997</v>
      </c>
      <c r="D11" s="6">
        <f t="shared" si="2"/>
        <v>48542540.579999998</v>
      </c>
      <c r="E11" s="6">
        <f t="shared" si="2"/>
        <v>38147302.490000002</v>
      </c>
      <c r="F11" s="6">
        <f t="shared" si="2"/>
        <v>18180307.84</v>
      </c>
      <c r="G11" s="6">
        <f t="shared" si="2"/>
        <v>16313859.200000001</v>
      </c>
      <c r="H11" s="6">
        <f t="shared" si="0"/>
        <v>527383558.07999992</v>
      </c>
      <c r="I11" s="6">
        <f t="shared" si="1"/>
        <v>5163.0873569925097</v>
      </c>
    </row>
    <row r="12" spans="1:9" x14ac:dyDescent="0.2">
      <c r="A12" s="1"/>
      <c r="B12" s="6"/>
      <c r="C12" s="6"/>
      <c r="D12" s="6"/>
      <c r="E12" s="6"/>
      <c r="F12" s="6"/>
      <c r="G12" s="6"/>
      <c r="H12" s="6"/>
      <c r="I12" s="82"/>
    </row>
    <row r="13" spans="1:9" x14ac:dyDescent="0.2">
      <c r="A13" s="1" t="s">
        <v>81</v>
      </c>
      <c r="B13" s="6">
        <v>21977</v>
      </c>
      <c r="C13" s="6">
        <v>94893093.890000001</v>
      </c>
      <c r="D13" s="6">
        <v>16531308.300000001</v>
      </c>
      <c r="E13" s="6">
        <v>8763548.0399999991</v>
      </c>
      <c r="F13" s="6">
        <v>3838383.29</v>
      </c>
      <c r="G13" s="6">
        <v>5743313.5800000001</v>
      </c>
      <c r="H13" s="6">
        <f t="shared" ref="H13:H18" si="3">SUM(C13:G13)</f>
        <v>129769647.09999999</v>
      </c>
      <c r="I13" s="6">
        <f t="shared" si="1"/>
        <v>5904.7935159484914</v>
      </c>
    </row>
    <row r="14" spans="1:9" x14ac:dyDescent="0.2">
      <c r="A14" s="1" t="s">
        <v>82</v>
      </c>
      <c r="B14" s="6">
        <v>10144</v>
      </c>
      <c r="C14" s="6">
        <v>42426292.100000001</v>
      </c>
      <c r="D14" s="6">
        <v>6058722.1900000004</v>
      </c>
      <c r="E14" s="6">
        <v>5798611.79</v>
      </c>
      <c r="F14" s="6">
        <v>3722824.17</v>
      </c>
      <c r="G14" s="6">
        <v>1543238.61</v>
      </c>
      <c r="H14" s="6">
        <f t="shared" si="3"/>
        <v>59549688.859999999</v>
      </c>
      <c r="I14" s="6">
        <f t="shared" si="1"/>
        <v>5870.4346273659303</v>
      </c>
    </row>
    <row r="15" spans="1:9" x14ac:dyDescent="0.2">
      <c r="A15" s="1" t="s">
        <v>83</v>
      </c>
      <c r="B15" s="6">
        <v>5772</v>
      </c>
      <c r="C15" s="6">
        <v>26468458.23</v>
      </c>
      <c r="D15" s="6">
        <v>5397217.6200000001</v>
      </c>
      <c r="E15" s="6">
        <v>3439436.26</v>
      </c>
      <c r="F15" s="6">
        <v>2497134.89</v>
      </c>
      <c r="G15" s="6">
        <v>909070.24</v>
      </c>
      <c r="H15" s="6">
        <f t="shared" si="3"/>
        <v>38711317.240000002</v>
      </c>
      <c r="I15" s="6">
        <f t="shared" si="1"/>
        <v>6706.7424185724185</v>
      </c>
    </row>
    <row r="16" spans="1:9" x14ac:dyDescent="0.2">
      <c r="A16" s="1" t="s">
        <v>84</v>
      </c>
      <c r="B16" s="6">
        <v>5234</v>
      </c>
      <c r="C16" s="6">
        <v>28893061.41</v>
      </c>
      <c r="D16" s="6">
        <v>5804257.6299999999</v>
      </c>
      <c r="E16" s="6">
        <v>4438032.6900000004</v>
      </c>
      <c r="F16" s="6">
        <v>2299286.6800000002</v>
      </c>
      <c r="G16" s="6">
        <v>913684.36</v>
      </c>
      <c r="H16" s="6">
        <f t="shared" si="3"/>
        <v>42348322.769999996</v>
      </c>
      <c r="I16" s="6">
        <f t="shared" si="1"/>
        <v>8091.0054967520055</v>
      </c>
    </row>
    <row r="17" spans="1:9" x14ac:dyDescent="0.2">
      <c r="A17" s="14" t="s">
        <v>85</v>
      </c>
      <c r="B17" s="7">
        <v>1591</v>
      </c>
      <c r="C17" s="7">
        <v>12178174.640000001</v>
      </c>
      <c r="D17" s="7">
        <v>2534873.06</v>
      </c>
      <c r="E17" s="7">
        <v>1977944.32</v>
      </c>
      <c r="F17" s="7">
        <v>607985.06999999995</v>
      </c>
      <c r="G17" s="7">
        <v>462542.32</v>
      </c>
      <c r="H17" s="7">
        <f t="shared" si="3"/>
        <v>17761519.41</v>
      </c>
      <c r="I17" s="7">
        <f t="shared" si="1"/>
        <v>11163.745700817097</v>
      </c>
    </row>
    <row r="18" spans="1:9" x14ac:dyDescent="0.2">
      <c r="A18" s="1"/>
      <c r="B18" s="6">
        <f t="shared" ref="B18:G18" si="4">SUM(B13:B17)</f>
        <v>44718</v>
      </c>
      <c r="C18" s="6">
        <f t="shared" si="4"/>
        <v>204859080.26999998</v>
      </c>
      <c r="D18" s="6">
        <f t="shared" si="4"/>
        <v>36326378.800000004</v>
      </c>
      <c r="E18" s="6">
        <f t="shared" si="4"/>
        <v>24417573.099999998</v>
      </c>
      <c r="F18" s="6">
        <f t="shared" si="4"/>
        <v>12965614.1</v>
      </c>
      <c r="G18" s="6">
        <f t="shared" si="4"/>
        <v>9571849.1100000013</v>
      </c>
      <c r="H18" s="6">
        <f t="shared" si="3"/>
        <v>288140495.38</v>
      </c>
      <c r="I18" s="6">
        <f t="shared" si="1"/>
        <v>6443.5013949639961</v>
      </c>
    </row>
    <row r="19" spans="1:9" x14ac:dyDescent="0.2">
      <c r="A19" s="1"/>
      <c r="C19" s="6"/>
      <c r="D19" s="6"/>
      <c r="E19" s="6"/>
      <c r="F19" s="6"/>
      <c r="G19" s="6"/>
      <c r="H19" s="6"/>
      <c r="I19" s="6"/>
    </row>
    <row r="20" spans="1:9" x14ac:dyDescent="0.2">
      <c r="A20" s="1" t="s">
        <v>86</v>
      </c>
      <c r="B20" s="6">
        <v>11672</v>
      </c>
      <c r="C20" s="6">
        <v>43996676.259999998</v>
      </c>
      <c r="D20" s="6">
        <v>6272241.6699999999</v>
      </c>
      <c r="E20" s="6">
        <v>4894986.49</v>
      </c>
      <c r="F20" s="6">
        <v>2006270.21</v>
      </c>
      <c r="G20" s="6">
        <v>1522540.69</v>
      </c>
      <c r="H20" s="6">
        <f>SUM(C20:G20)</f>
        <v>58692715.32</v>
      </c>
      <c r="I20" s="6">
        <f t="shared" si="1"/>
        <v>5028.5054249485947</v>
      </c>
    </row>
    <row r="21" spans="1:9" x14ac:dyDescent="0.2">
      <c r="A21" s="14" t="s">
        <v>87</v>
      </c>
      <c r="B21" s="7">
        <v>6199</v>
      </c>
      <c r="C21" s="7">
        <v>32795427.399999999</v>
      </c>
      <c r="D21" s="7">
        <v>5334007.1900000004</v>
      </c>
      <c r="E21" s="7">
        <v>4977947.5</v>
      </c>
      <c r="F21" s="7">
        <v>1753489.16</v>
      </c>
      <c r="G21" s="7">
        <v>953764.02</v>
      </c>
      <c r="H21" s="7">
        <f>SUM(C21:G21)</f>
        <v>45814635.269999996</v>
      </c>
      <c r="I21" s="7">
        <f t="shared" si="1"/>
        <v>7390.6493418293267</v>
      </c>
    </row>
    <row r="22" spans="1:9" x14ac:dyDescent="0.2">
      <c r="A22" s="1"/>
      <c r="B22" s="6">
        <f>SUM(B20:B21)</f>
        <v>17871</v>
      </c>
      <c r="C22" s="6">
        <f t="shared" ref="C22:H22" si="5">SUM(C20:C21)</f>
        <v>76792103.659999996</v>
      </c>
      <c r="D22" s="6">
        <f t="shared" si="5"/>
        <v>11606248.859999999</v>
      </c>
      <c r="E22" s="6">
        <f t="shared" si="5"/>
        <v>9872933.9900000002</v>
      </c>
      <c r="F22" s="6">
        <f t="shared" si="5"/>
        <v>3759759.37</v>
      </c>
      <c r="G22" s="6">
        <f t="shared" si="5"/>
        <v>2476304.71</v>
      </c>
      <c r="H22" s="6">
        <f t="shared" si="5"/>
        <v>104507350.59</v>
      </c>
      <c r="I22" s="6">
        <f t="shared" si="1"/>
        <v>5847.8736830619446</v>
      </c>
    </row>
    <row r="23" spans="1:9" ht="13.5" thickBot="1" x14ac:dyDescent="0.25">
      <c r="B23" s="25"/>
      <c r="C23" s="25"/>
      <c r="D23" s="25"/>
      <c r="E23" s="25"/>
      <c r="F23" s="25"/>
      <c r="G23" s="25"/>
      <c r="H23" s="25"/>
      <c r="I23" s="6"/>
    </row>
    <row r="24" spans="1:9" ht="13.5" thickBot="1" x14ac:dyDescent="0.25">
      <c r="A24" s="46" t="s">
        <v>112</v>
      </c>
      <c r="B24" s="27">
        <f t="shared" ref="B24:G24" si="6">B11+B18+B22</f>
        <v>164734</v>
      </c>
      <c r="C24" s="27">
        <f t="shared" si="6"/>
        <v>687850731.89999998</v>
      </c>
      <c r="D24" s="27">
        <f t="shared" si="6"/>
        <v>96475168.239999995</v>
      </c>
      <c r="E24" s="27">
        <f t="shared" si="6"/>
        <v>72437809.579999998</v>
      </c>
      <c r="F24" s="27">
        <f t="shared" si="6"/>
        <v>34905681.309999995</v>
      </c>
      <c r="G24" s="27">
        <f t="shared" si="6"/>
        <v>28362013.020000003</v>
      </c>
      <c r="H24" s="39">
        <f>SUM(C24:G24)</f>
        <v>920031404.04999995</v>
      </c>
      <c r="I24" s="8">
        <f t="shared" si="1"/>
        <v>5584.9515221508609</v>
      </c>
    </row>
    <row r="25" spans="1:9" ht="13.5" thickTop="1" x14ac:dyDescent="0.2">
      <c r="C25" s="6"/>
      <c r="D25" s="6"/>
      <c r="E25" s="6"/>
      <c r="F25" s="6"/>
      <c r="G25" s="6"/>
      <c r="I25" s="83"/>
    </row>
    <row r="26" spans="1:9" x14ac:dyDescent="0.2">
      <c r="I26" s="82"/>
    </row>
    <row r="27" spans="1:9" x14ac:dyDescent="0.2">
      <c r="I27" s="82"/>
    </row>
    <row r="28" spans="1:9" x14ac:dyDescent="0.2">
      <c r="I28" s="82"/>
    </row>
    <row r="29" spans="1:9" x14ac:dyDescent="0.2">
      <c r="A29" s="36" t="s">
        <v>247</v>
      </c>
      <c r="B29" s="33"/>
      <c r="C29" s="34"/>
      <c r="D29" s="34"/>
      <c r="E29" s="34"/>
      <c r="F29" s="34"/>
      <c r="G29" s="34"/>
      <c r="H29" s="35" t="s">
        <v>138</v>
      </c>
      <c r="I29" s="82"/>
    </row>
    <row r="30" spans="1:9" x14ac:dyDescent="0.2">
      <c r="A30" s="36" t="s">
        <v>261</v>
      </c>
      <c r="B30" s="36"/>
      <c r="C30" s="35" t="s">
        <v>139</v>
      </c>
      <c r="D30" s="35" t="s">
        <v>140</v>
      </c>
      <c r="E30" s="35"/>
      <c r="F30" s="35" t="s">
        <v>141</v>
      </c>
      <c r="G30" s="35"/>
      <c r="H30" s="35" t="s">
        <v>142</v>
      </c>
      <c r="I30" s="82"/>
    </row>
    <row r="31" spans="1:9" x14ac:dyDescent="0.2">
      <c r="A31" s="155" t="s">
        <v>245</v>
      </c>
      <c r="B31" s="165" t="s">
        <v>128</v>
      </c>
      <c r="C31" s="166" t="s">
        <v>143</v>
      </c>
      <c r="D31" s="166" t="s">
        <v>144</v>
      </c>
      <c r="E31" s="166" t="s">
        <v>91</v>
      </c>
      <c r="F31" s="166" t="s">
        <v>145</v>
      </c>
      <c r="G31" s="166" t="s">
        <v>93</v>
      </c>
      <c r="H31" s="166" t="s">
        <v>146</v>
      </c>
      <c r="I31" s="82"/>
    </row>
    <row r="32" spans="1:9" x14ac:dyDescent="0.2">
      <c r="A32" s="1" t="s">
        <v>102</v>
      </c>
      <c r="B32" s="6">
        <v>40796</v>
      </c>
      <c r="C32" s="6">
        <v>3934.4966099617604</v>
      </c>
      <c r="D32" s="6">
        <v>440.84857216393766</v>
      </c>
      <c r="E32" s="6">
        <v>259.44030542210021</v>
      </c>
      <c r="F32" s="6">
        <v>114.83330449063634</v>
      </c>
      <c r="G32" s="6">
        <v>168.55009437199726</v>
      </c>
      <c r="H32" s="6">
        <v>4918.1688864104317</v>
      </c>
      <c r="I32" s="82"/>
    </row>
    <row r="33" spans="1:9" x14ac:dyDescent="0.2">
      <c r="A33" s="1" t="s">
        <v>76</v>
      </c>
      <c r="B33" s="6">
        <v>24993</v>
      </c>
      <c r="C33" s="6">
        <v>3915.9505633577405</v>
      </c>
      <c r="D33" s="6">
        <v>387.7003536990357</v>
      </c>
      <c r="E33" s="6">
        <v>382.87441923738646</v>
      </c>
      <c r="F33" s="6">
        <v>264.30269235385907</v>
      </c>
      <c r="G33" s="6">
        <v>149.6904669307406</v>
      </c>
      <c r="H33" s="6">
        <v>5100.5184955787627</v>
      </c>
      <c r="I33" s="83"/>
    </row>
    <row r="34" spans="1:9" x14ac:dyDescent="0.2">
      <c r="A34" s="1" t="s">
        <v>77</v>
      </c>
      <c r="B34" s="6">
        <v>12810</v>
      </c>
      <c r="C34" s="6">
        <v>4235.0257220921158</v>
      </c>
      <c r="D34" s="6">
        <v>482.13210304449649</v>
      </c>
      <c r="E34" s="6">
        <v>447.39352615144423</v>
      </c>
      <c r="F34" s="6">
        <v>192.41273224043718</v>
      </c>
      <c r="G34" s="6">
        <v>115.54592505854801</v>
      </c>
      <c r="H34" s="6">
        <v>5472.5100085870408</v>
      </c>
      <c r="I34" s="83"/>
    </row>
    <row r="35" spans="1:9" x14ac:dyDescent="0.2">
      <c r="A35" s="1" t="s">
        <v>78</v>
      </c>
      <c r="B35" s="6">
        <v>15459</v>
      </c>
      <c r="C35" s="6">
        <v>3883.6535261013</v>
      </c>
      <c r="D35" s="6">
        <v>542.41389999353134</v>
      </c>
      <c r="E35" s="6">
        <v>475.32689889384824</v>
      </c>
      <c r="F35" s="6">
        <v>164.16143282230416</v>
      </c>
      <c r="G35" s="6">
        <v>201.04759234103111</v>
      </c>
      <c r="H35" s="6">
        <v>5266.603350152016</v>
      </c>
      <c r="I35" s="83"/>
    </row>
    <row r="36" spans="1:9" x14ac:dyDescent="0.2">
      <c r="A36" s="1" t="s">
        <v>79</v>
      </c>
      <c r="B36" s="6">
        <v>6391</v>
      </c>
      <c r="C36" s="6">
        <v>4338.2961430136129</v>
      </c>
      <c r="D36" s="6">
        <v>725.49271006102333</v>
      </c>
      <c r="E36" s="6">
        <v>623.18793772492563</v>
      </c>
      <c r="F36" s="6">
        <v>237.7033343764669</v>
      </c>
      <c r="G36" s="6">
        <v>163.5758112971366</v>
      </c>
      <c r="H36" s="6">
        <v>6088.2559364731651</v>
      </c>
      <c r="I36" s="83"/>
    </row>
    <row r="37" spans="1:9" x14ac:dyDescent="0.2">
      <c r="A37" s="14" t="s">
        <v>80</v>
      </c>
      <c r="B37" s="7">
        <v>1696</v>
      </c>
      <c r="C37" s="7">
        <v>3421.1921167452829</v>
      </c>
      <c r="D37" s="7">
        <v>984.65487028301879</v>
      </c>
      <c r="E37" s="7">
        <v>549.53521226415091</v>
      </c>
      <c r="F37" s="7">
        <v>217.04626179245284</v>
      </c>
      <c r="G37" s="7">
        <v>37.101810141509432</v>
      </c>
      <c r="H37" s="7">
        <v>5209.5302712264165</v>
      </c>
      <c r="I37" s="83"/>
    </row>
    <row r="38" spans="1:9" x14ac:dyDescent="0.2">
      <c r="A38" s="1" t="s">
        <v>134</v>
      </c>
      <c r="B38" s="6">
        <v>102145</v>
      </c>
      <c r="C38" s="6">
        <v>3976.6953641392138</v>
      </c>
      <c r="D38" s="6">
        <v>475.23168613245872</v>
      </c>
      <c r="E38" s="6">
        <v>373.46225943511678</v>
      </c>
      <c r="F38" s="6">
        <v>177.98529384698222</v>
      </c>
      <c r="G38" s="6">
        <v>159.71275343873907</v>
      </c>
      <c r="H38" s="6">
        <v>5163.0873569925097</v>
      </c>
      <c r="I38" s="83"/>
    </row>
    <row r="39" spans="1:9" x14ac:dyDescent="0.2">
      <c r="A39" s="1"/>
      <c r="B39" s="6"/>
      <c r="C39" s="6"/>
      <c r="D39" s="6"/>
      <c r="E39" s="6"/>
      <c r="F39" s="6"/>
      <c r="G39" s="6"/>
      <c r="H39" s="6"/>
      <c r="I39" s="83"/>
    </row>
    <row r="40" spans="1:9" x14ac:dyDescent="0.2">
      <c r="A40" s="1" t="s">
        <v>81</v>
      </c>
      <c r="B40" s="6">
        <v>21977</v>
      </c>
      <c r="C40" s="6">
        <v>4317.8365513946401</v>
      </c>
      <c r="D40" s="6">
        <v>752.20950539200078</v>
      </c>
      <c r="E40" s="6">
        <v>398.75997815898432</v>
      </c>
      <c r="F40" s="6">
        <v>174.65456113209265</v>
      </c>
      <c r="G40" s="6">
        <v>261.33291987077399</v>
      </c>
      <c r="H40" s="6">
        <v>5904.7935159484914</v>
      </c>
      <c r="I40" s="83"/>
    </row>
    <row r="41" spans="1:9" x14ac:dyDescent="0.2">
      <c r="A41" s="1" t="s">
        <v>82</v>
      </c>
      <c r="B41" s="6">
        <v>10144</v>
      </c>
      <c r="C41" s="6">
        <v>4182.4026123817039</v>
      </c>
      <c r="D41" s="6">
        <v>597.27150926656157</v>
      </c>
      <c r="E41" s="6">
        <v>571.629711159306</v>
      </c>
      <c r="F41" s="6">
        <v>366.99765082807568</v>
      </c>
      <c r="G41" s="6">
        <v>152.13314373028393</v>
      </c>
      <c r="H41" s="6">
        <v>5870.4346273659303</v>
      </c>
      <c r="I41" s="83"/>
    </row>
    <row r="42" spans="1:9" x14ac:dyDescent="0.2">
      <c r="A42" s="1" t="s">
        <v>83</v>
      </c>
      <c r="B42" s="6">
        <v>5772</v>
      </c>
      <c r="C42" s="6">
        <v>4585.664974012474</v>
      </c>
      <c r="D42" s="6">
        <v>935.06888773388778</v>
      </c>
      <c r="E42" s="6">
        <v>595.88292792792788</v>
      </c>
      <c r="F42" s="6">
        <v>432.62905232155236</v>
      </c>
      <c r="G42" s="6">
        <v>157.49657657657659</v>
      </c>
      <c r="H42" s="6">
        <v>6706.7424185724185</v>
      </c>
      <c r="I42" s="83"/>
    </row>
    <row r="43" spans="1:9" x14ac:dyDescent="0.2">
      <c r="A43" s="1" t="s">
        <v>84</v>
      </c>
      <c r="B43" s="6">
        <v>5234</v>
      </c>
      <c r="C43" s="6">
        <v>5520.2639300726023</v>
      </c>
      <c r="D43" s="6">
        <v>1108.9525468093236</v>
      </c>
      <c r="E43" s="6">
        <v>847.92370844478421</v>
      </c>
      <c r="F43" s="6">
        <v>439.29818112342377</v>
      </c>
      <c r="G43" s="6">
        <v>174.56713030187237</v>
      </c>
      <c r="H43" s="6">
        <v>8091.0054967520055</v>
      </c>
      <c r="I43" s="83"/>
    </row>
    <row r="44" spans="1:9" x14ac:dyDescent="0.2">
      <c r="A44" s="14" t="s">
        <v>85</v>
      </c>
      <c r="B44" s="7">
        <v>1591</v>
      </c>
      <c r="C44" s="7">
        <v>7654.4152357008179</v>
      </c>
      <c r="D44" s="7">
        <v>1593.257737272156</v>
      </c>
      <c r="E44" s="7">
        <v>1243.2082463859208</v>
      </c>
      <c r="F44" s="7">
        <v>382.14020741671902</v>
      </c>
      <c r="G44" s="7">
        <v>290.72427404148334</v>
      </c>
      <c r="H44" s="7">
        <v>11163.745700817097</v>
      </c>
      <c r="I44" s="83"/>
    </row>
    <row r="45" spans="1:9" x14ac:dyDescent="0.2">
      <c r="A45" s="1" t="s">
        <v>135</v>
      </c>
      <c r="B45" s="6">
        <v>44718</v>
      </c>
      <c r="C45" s="6">
        <v>4581.1324359318387</v>
      </c>
      <c r="D45" s="6">
        <v>812.34354845923349</v>
      </c>
      <c r="E45" s="6">
        <v>546.03455208193566</v>
      </c>
      <c r="F45" s="6">
        <v>289.94172592691979</v>
      </c>
      <c r="G45" s="6">
        <v>214.0491325640682</v>
      </c>
      <c r="H45" s="6">
        <v>6443.5013949639961</v>
      </c>
      <c r="I45" s="83"/>
    </row>
    <row r="46" spans="1:9" x14ac:dyDescent="0.2">
      <c r="A46" s="1"/>
      <c r="B46" s="6"/>
      <c r="C46" s="6"/>
      <c r="D46" s="6"/>
      <c r="E46" s="6"/>
      <c r="F46" s="6"/>
      <c r="G46" s="6"/>
      <c r="H46" s="6"/>
      <c r="I46" s="83"/>
    </row>
    <row r="47" spans="1:9" x14ac:dyDescent="0.2">
      <c r="A47" s="1" t="s">
        <v>86</v>
      </c>
      <c r="B47" s="6">
        <v>11672</v>
      </c>
      <c r="C47" s="6">
        <v>3769.4205157642218</v>
      </c>
      <c r="D47" s="6">
        <v>537.37505740233041</v>
      </c>
      <c r="E47" s="6">
        <v>419.37855466072654</v>
      </c>
      <c r="F47" s="6">
        <v>171.88744088416723</v>
      </c>
      <c r="G47" s="6">
        <v>130.44385623714874</v>
      </c>
      <c r="H47" s="6">
        <v>5028.5054249485947</v>
      </c>
      <c r="I47" s="83"/>
    </row>
    <row r="48" spans="1:9" x14ac:dyDescent="0.2">
      <c r="A48" s="14" t="s">
        <v>87</v>
      </c>
      <c r="B48" s="7">
        <v>6199</v>
      </c>
      <c r="C48" s="7">
        <v>5290.438361025972</v>
      </c>
      <c r="D48" s="7">
        <v>860.46252460074209</v>
      </c>
      <c r="E48" s="7">
        <v>803.02427810937252</v>
      </c>
      <c r="F48" s="7">
        <v>282.86645587998061</v>
      </c>
      <c r="G48" s="7">
        <v>153.85772221326022</v>
      </c>
      <c r="H48" s="7">
        <v>7390.6493418293267</v>
      </c>
      <c r="I48" s="83"/>
    </row>
    <row r="49" spans="1:9" x14ac:dyDescent="0.2">
      <c r="A49" s="1" t="s">
        <v>136</v>
      </c>
      <c r="B49" s="6">
        <v>17871</v>
      </c>
      <c r="C49" s="6">
        <v>4297.0233148676625</v>
      </c>
      <c r="D49" s="6">
        <v>649.44596609031385</v>
      </c>
      <c r="E49" s="6">
        <v>552.45559789603271</v>
      </c>
      <c r="F49" s="6">
        <v>210.38326730457166</v>
      </c>
      <c r="G49" s="6">
        <v>138.56553690336298</v>
      </c>
      <c r="H49" s="6">
        <v>5847.8736830619446</v>
      </c>
      <c r="I49" s="83"/>
    </row>
    <row r="50" spans="1:9" ht="13.5" thickBot="1" x14ac:dyDescent="0.25">
      <c r="A50" s="24"/>
      <c r="B50" s="25"/>
      <c r="C50" s="25"/>
      <c r="D50" s="25"/>
      <c r="E50" s="25"/>
      <c r="F50" s="25"/>
      <c r="G50" s="25"/>
      <c r="H50" s="25"/>
      <c r="I50" s="83"/>
    </row>
    <row r="51" spans="1:9" ht="13.5" thickBot="1" x14ac:dyDescent="0.25">
      <c r="A51" s="26" t="s">
        <v>137</v>
      </c>
      <c r="B51" s="27">
        <v>164734</v>
      </c>
      <c r="C51" s="27">
        <v>4175.5237649786932</v>
      </c>
      <c r="D51" s="27">
        <v>585.64211541029783</v>
      </c>
      <c r="E51" s="27">
        <v>439.72591923950125</v>
      </c>
      <c r="F51" s="27">
        <v>211.89117795961971</v>
      </c>
      <c r="G51" s="27">
        <v>172.16854456274967</v>
      </c>
      <c r="H51" s="27">
        <v>5584.9515221508609</v>
      </c>
      <c r="I51" s="82"/>
    </row>
    <row r="52" spans="1:9" ht="13.5" thickTop="1" x14ac:dyDescent="0.2">
      <c r="A52" s="1"/>
      <c r="B52" s="1"/>
      <c r="C52" s="1"/>
      <c r="D52" s="1"/>
      <c r="E52" s="1"/>
      <c r="F52" s="1"/>
      <c r="G52" s="1"/>
      <c r="H52" s="1"/>
      <c r="I52" s="83"/>
    </row>
    <row r="53" spans="1:9" x14ac:dyDescent="0.2">
      <c r="A53" s="1"/>
      <c r="B53" s="1"/>
      <c r="C53" s="1"/>
      <c r="D53" s="1"/>
      <c r="E53" s="1"/>
      <c r="F53" s="1"/>
      <c r="G53" s="1"/>
      <c r="H53" s="1"/>
      <c r="I53" s="82"/>
    </row>
    <row r="54" spans="1:9" x14ac:dyDescent="0.2">
      <c r="A54" s="1"/>
      <c r="B54" s="1"/>
      <c r="C54" s="1"/>
      <c r="D54" s="1"/>
      <c r="E54" s="1"/>
      <c r="F54" s="1"/>
      <c r="G54" s="1"/>
      <c r="H54" s="1"/>
      <c r="I54" s="82"/>
    </row>
    <row r="55" spans="1:9" x14ac:dyDescent="0.2">
      <c r="A55" s="36" t="s">
        <v>247</v>
      </c>
      <c r="B55" s="1"/>
      <c r="C55" s="1"/>
      <c r="D55" s="1"/>
      <c r="E55" s="1"/>
      <c r="F55" s="1"/>
      <c r="G55" s="1"/>
      <c r="H55" s="1"/>
      <c r="I55" s="82"/>
    </row>
    <row r="56" spans="1:9" x14ac:dyDescent="0.2">
      <c r="A56" s="22" t="s">
        <v>288</v>
      </c>
      <c r="B56" s="36"/>
      <c r="C56" s="35" t="s">
        <v>139</v>
      </c>
      <c r="D56" s="35" t="s">
        <v>140</v>
      </c>
      <c r="E56" s="35"/>
      <c r="F56" s="35" t="s">
        <v>141</v>
      </c>
      <c r="G56" s="35"/>
      <c r="H56" s="1"/>
      <c r="I56" s="82"/>
    </row>
    <row r="57" spans="1:9" x14ac:dyDescent="0.2">
      <c r="A57" s="21" t="s">
        <v>245</v>
      </c>
      <c r="B57" s="37"/>
      <c r="C57" s="35" t="s">
        <v>143</v>
      </c>
      <c r="D57" s="35" t="s">
        <v>144</v>
      </c>
      <c r="E57" s="35" t="s">
        <v>91</v>
      </c>
      <c r="F57" s="35" t="s">
        <v>145</v>
      </c>
      <c r="G57" s="35" t="s">
        <v>93</v>
      </c>
      <c r="H57" s="1"/>
      <c r="I57" s="82"/>
    </row>
    <row r="58" spans="1:9" x14ac:dyDescent="0.2">
      <c r="A58" s="1" t="s">
        <v>102</v>
      </c>
      <c r="B58" s="1"/>
      <c r="C58" s="28">
        <v>0.79999217205275497</v>
      </c>
      <c r="D58" s="28">
        <v>8.9636729105025681E-2</v>
      </c>
      <c r="E58" s="28">
        <v>5.2751402282863645E-2</v>
      </c>
      <c r="F58" s="28">
        <v>2.3348792435318021E-2</v>
      </c>
      <c r="G58" s="28">
        <v>3.4270904124037722E-2</v>
      </c>
      <c r="H58" s="1"/>
      <c r="I58" s="82"/>
    </row>
    <row r="59" spans="1:9" x14ac:dyDescent="0.2">
      <c r="A59" s="1" t="s">
        <v>76</v>
      </c>
      <c r="B59" s="1"/>
      <c r="C59" s="28">
        <v>0.76775538932996112</v>
      </c>
      <c r="D59" s="28">
        <v>7.6011949380264496E-2</v>
      </c>
      <c r="E59" s="28">
        <v>7.5065783913786432E-2</v>
      </c>
      <c r="F59" s="28">
        <v>5.1818789125647177E-2</v>
      </c>
      <c r="G59" s="28">
        <v>2.9348088250340718E-2</v>
      </c>
      <c r="H59" s="1"/>
      <c r="I59" s="82"/>
    </row>
    <row r="60" spans="1:9" x14ac:dyDescent="0.2">
      <c r="A60" s="1" t="s">
        <v>77</v>
      </c>
      <c r="B60" s="1"/>
      <c r="C60" s="28">
        <v>0.7738726316529051</v>
      </c>
      <c r="D60" s="28">
        <v>8.8100725679436304E-2</v>
      </c>
      <c r="E60" s="28">
        <v>8.1752893178711192E-2</v>
      </c>
      <c r="F60" s="28">
        <v>3.5159868495172775E-2</v>
      </c>
      <c r="G60" s="28">
        <v>2.1113880993774748E-2</v>
      </c>
      <c r="H60" s="1"/>
      <c r="I60" s="82"/>
    </row>
    <row r="61" spans="1:9" x14ac:dyDescent="0.2">
      <c r="A61" s="1" t="s">
        <v>78</v>
      </c>
      <c r="B61" s="1"/>
      <c r="C61" s="28">
        <v>0.73741143349806315</v>
      </c>
      <c r="D61" s="28">
        <v>0.10299121918453856</v>
      </c>
      <c r="E61" s="28">
        <v>9.0253027860951088E-2</v>
      </c>
      <c r="F61" s="28">
        <v>3.1170267040817833E-2</v>
      </c>
      <c r="G61" s="28">
        <v>3.8174052415629142E-2</v>
      </c>
      <c r="H61" s="1"/>
      <c r="I61" s="82"/>
    </row>
    <row r="62" spans="1:9" x14ac:dyDescent="0.2">
      <c r="A62" s="1" t="s">
        <v>79</v>
      </c>
      <c r="B62" s="1"/>
      <c r="C62" s="28">
        <v>0.71256796499371911</v>
      </c>
      <c r="D62" s="28">
        <v>0.11916264980169186</v>
      </c>
      <c r="E62" s="28">
        <v>0.10235902436222631</v>
      </c>
      <c r="F62" s="28">
        <v>3.9042927376368622E-2</v>
      </c>
      <c r="G62" s="28">
        <v>2.6867433465994139E-2</v>
      </c>
      <c r="H62" s="1"/>
      <c r="I62" s="82"/>
    </row>
    <row r="63" spans="1:9" x14ac:dyDescent="0.2">
      <c r="A63" s="14" t="s">
        <v>80</v>
      </c>
      <c r="B63" s="14"/>
      <c r="C63" s="29">
        <v>0.65671796469662769</v>
      </c>
      <c r="D63" s="29">
        <v>0.18901029824541427</v>
      </c>
      <c r="E63" s="29">
        <v>0.10548651867892506</v>
      </c>
      <c r="F63" s="29">
        <v>4.1663307532975764E-2</v>
      </c>
      <c r="G63" s="29">
        <v>7.1219108460569523E-3</v>
      </c>
      <c r="H63" s="1"/>
      <c r="I63" s="82"/>
    </row>
    <row r="64" spans="1:9" x14ac:dyDescent="0.2">
      <c r="A64" s="1" t="s">
        <v>108</v>
      </c>
      <c r="B64" s="1"/>
      <c r="C64" s="28">
        <v>0.77021655633106167</v>
      </c>
      <c r="D64" s="28">
        <v>9.2044091698126995E-2</v>
      </c>
      <c r="E64" s="28">
        <v>7.2333128148476256E-2</v>
      </c>
      <c r="F64" s="28">
        <v>3.4472648154196324E-2</v>
      </c>
      <c r="G64" s="28">
        <v>3.0933575668138896E-2</v>
      </c>
      <c r="H64" s="1"/>
      <c r="I64" s="82"/>
    </row>
    <row r="65" spans="1:9" x14ac:dyDescent="0.2">
      <c r="A65" s="1"/>
      <c r="B65" s="1"/>
      <c r="C65" s="28"/>
      <c r="D65" s="28"/>
      <c r="E65" s="28"/>
      <c r="F65" s="28"/>
      <c r="G65" s="28"/>
      <c r="H65" s="1"/>
      <c r="I65" s="82"/>
    </row>
    <row r="66" spans="1:9" x14ac:dyDescent="0.2">
      <c r="A66" s="1" t="s">
        <v>81</v>
      </c>
      <c r="B66" s="1"/>
      <c r="C66" s="28">
        <v>0.73124259802352509</v>
      </c>
      <c r="D66" s="28">
        <v>0.12738963748018084</v>
      </c>
      <c r="E66" s="28">
        <v>6.7531570254227805E-2</v>
      </c>
      <c r="F66" s="28">
        <v>2.9578436682055217E-2</v>
      </c>
      <c r="G66" s="28">
        <v>4.4257757560011123E-2</v>
      </c>
      <c r="H66" s="1"/>
      <c r="I66" s="82"/>
    </row>
    <row r="67" spans="1:9" x14ac:dyDescent="0.2">
      <c r="A67" s="1" t="s">
        <v>82</v>
      </c>
      <c r="B67" s="1"/>
      <c r="C67" s="28">
        <v>0.71245195251554172</v>
      </c>
      <c r="D67" s="28">
        <v>0.10174229800333504</v>
      </c>
      <c r="E67" s="28">
        <v>9.7374342351853563E-2</v>
      </c>
      <c r="F67" s="28">
        <v>6.2516265681123492E-2</v>
      </c>
      <c r="G67" s="28">
        <v>2.5915141448146273E-2</v>
      </c>
      <c r="H67" s="1"/>
      <c r="I67" s="82"/>
    </row>
    <row r="68" spans="1:9" x14ac:dyDescent="0.2">
      <c r="A68" s="1" t="s">
        <v>83</v>
      </c>
      <c r="B68" s="1"/>
      <c r="C68" s="28">
        <v>0.68373953967782886</v>
      </c>
      <c r="D68" s="28">
        <v>0.1394222156414536</v>
      </c>
      <c r="E68" s="28">
        <v>8.8848339587010133E-2</v>
      </c>
      <c r="F68" s="28">
        <v>6.4506585361547367E-2</v>
      </c>
      <c r="G68" s="28">
        <v>2.3483319732160064E-2</v>
      </c>
      <c r="H68" s="1"/>
      <c r="I68" s="82"/>
    </row>
    <row r="69" spans="1:9" x14ac:dyDescent="0.2">
      <c r="A69" s="1" t="s">
        <v>84</v>
      </c>
      <c r="B69" s="1"/>
      <c r="C69" s="28">
        <v>0.68227168209051603</v>
      </c>
      <c r="D69" s="28">
        <v>0.13705991761524491</v>
      </c>
      <c r="E69" s="28">
        <v>0.10479831076436279</v>
      </c>
      <c r="F69" s="28">
        <v>5.4294633874587335E-2</v>
      </c>
      <c r="G69" s="28">
        <v>2.157545565528899E-2</v>
      </c>
      <c r="H69" s="1"/>
      <c r="I69" s="82"/>
    </row>
    <row r="70" spans="1:9" x14ac:dyDescent="0.2">
      <c r="A70" s="14" t="s">
        <v>85</v>
      </c>
      <c r="B70" s="14"/>
      <c r="C70" s="29">
        <v>0.68564937260623704</v>
      </c>
      <c r="D70" s="29">
        <v>0.14271712917605622</v>
      </c>
      <c r="E70" s="29">
        <v>0.11136121152373867</v>
      </c>
      <c r="F70" s="29">
        <v>3.4230465083842733E-2</v>
      </c>
      <c r="G70" s="29">
        <v>2.6041821610125412E-2</v>
      </c>
      <c r="H70" s="1"/>
      <c r="I70" s="82"/>
    </row>
    <row r="71" spans="1:9" x14ac:dyDescent="0.2">
      <c r="A71" s="1" t="s">
        <v>109</v>
      </c>
      <c r="B71" s="1"/>
      <c r="C71" s="28">
        <v>0.71096941788703316</v>
      </c>
      <c r="D71" s="28">
        <v>0.12607175798768838</v>
      </c>
      <c r="E71" s="28">
        <v>8.4741900189343675E-2</v>
      </c>
      <c r="F71" s="28">
        <v>4.4997542198644915E-2</v>
      </c>
      <c r="G71" s="28">
        <v>3.3219381737289784E-2</v>
      </c>
      <c r="H71" s="1"/>
      <c r="I71" s="82"/>
    </row>
    <row r="72" spans="1:9" x14ac:dyDescent="0.2">
      <c r="A72" s="1"/>
      <c r="B72" s="1"/>
      <c r="C72" s="28"/>
      <c r="D72" s="28"/>
      <c r="E72" s="28"/>
      <c r="F72" s="28"/>
      <c r="G72" s="28"/>
      <c r="H72" s="1"/>
      <c r="I72" s="82"/>
    </row>
    <row r="73" spans="1:9" x14ac:dyDescent="0.2">
      <c r="A73" s="1" t="s">
        <v>86</v>
      </c>
      <c r="B73" s="1"/>
      <c r="C73" s="28">
        <v>0.74961050992656642</v>
      </c>
      <c r="D73" s="28">
        <v>0.10686576069624582</v>
      </c>
      <c r="E73" s="28">
        <v>8.340023908098175E-2</v>
      </c>
      <c r="F73" s="28">
        <v>3.418261021085095E-2</v>
      </c>
      <c r="G73" s="28">
        <v>2.5940880085355032E-2</v>
      </c>
      <c r="H73" s="1"/>
      <c r="I73" s="82"/>
    </row>
    <row r="74" spans="1:9" x14ac:dyDescent="0.2">
      <c r="A74" s="14" t="s">
        <v>87</v>
      </c>
      <c r="B74" s="14"/>
      <c r="C74" s="29">
        <v>0.71582862565043404</v>
      </c>
      <c r="D74" s="29">
        <v>0.11642583551227735</v>
      </c>
      <c r="E74" s="29">
        <v>0.10865408991391935</v>
      </c>
      <c r="F74" s="29">
        <v>3.8273559304055113E-2</v>
      </c>
      <c r="G74" s="29">
        <v>2.0817889619314221E-2</v>
      </c>
      <c r="H74" s="1"/>
      <c r="I74" s="82"/>
    </row>
    <row r="75" spans="1:9" x14ac:dyDescent="0.2">
      <c r="A75" s="1" t="s">
        <v>110</v>
      </c>
      <c r="B75" s="1"/>
      <c r="C75" s="28">
        <v>0.7348009802800225</v>
      </c>
      <c r="D75" s="28">
        <v>0.11105677059533614</v>
      </c>
      <c r="E75" s="28">
        <v>9.4471192066988549E-2</v>
      </c>
      <c r="F75" s="28">
        <v>3.5976027990128383E-2</v>
      </c>
      <c r="G75" s="28">
        <v>2.369502906752427E-2</v>
      </c>
      <c r="H75" s="1"/>
      <c r="I75" s="82"/>
    </row>
    <row r="76" spans="1:9" ht="13.5" thickBot="1" x14ac:dyDescent="0.25">
      <c r="A76" s="24"/>
      <c r="B76" s="24"/>
      <c r="C76" s="30"/>
      <c r="D76" s="30"/>
      <c r="E76" s="30"/>
      <c r="F76" s="30"/>
      <c r="G76" s="30"/>
      <c r="H76" s="1"/>
      <c r="I76" s="82"/>
    </row>
    <row r="77" spans="1:9" ht="13.5" thickBot="1" x14ac:dyDescent="0.25">
      <c r="A77" s="31" t="s">
        <v>111</v>
      </c>
      <c r="B77" s="31"/>
      <c r="C77" s="32">
        <v>0.74763831850963447</v>
      </c>
      <c r="D77" s="32">
        <v>0.104860733900293</v>
      </c>
      <c r="E77" s="32">
        <v>7.8734061969110022E-2</v>
      </c>
      <c r="F77" s="32">
        <v>3.7939662881445527E-2</v>
      </c>
      <c r="G77" s="32">
        <v>3.0827222739517102E-2</v>
      </c>
      <c r="H77" s="1"/>
      <c r="I77" s="82"/>
    </row>
    <row r="78" spans="1:9" ht="13.5" thickTop="1"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2" max="8" man="1"/>
  </rowBreak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80"/>
  <dimension ref="A1:P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2.5703125" customWidth="1"/>
    <col min="5" max="5" width="8.7109375" bestFit="1" customWidth="1"/>
    <col min="6" max="6" width="10.42578125" bestFit="1" customWidth="1"/>
    <col min="7" max="7" width="8.7109375" bestFit="1" customWidth="1"/>
    <col min="8" max="8" width="9.5703125" bestFit="1" customWidth="1"/>
    <col min="10" max="10" width="16.5703125" bestFit="1" customWidth="1"/>
    <col min="11" max="11" width="6.28515625" bestFit="1" customWidth="1"/>
    <col min="12" max="12" width="14.28515625" bestFit="1" customWidth="1"/>
    <col min="13" max="13" width="15.140625" bestFit="1" customWidth="1"/>
    <col min="14" max="14" width="7.85546875" bestFit="1" customWidth="1"/>
    <col min="15" max="15" width="10.42578125" bestFit="1" customWidth="1"/>
    <col min="16" max="16" width="7.85546875" bestFit="1" customWidth="1"/>
  </cols>
  <sheetData>
    <row r="1" spans="1:16" x14ac:dyDescent="0.2">
      <c r="A1" s="36" t="s">
        <v>247</v>
      </c>
    </row>
    <row r="2" spans="1:16" x14ac:dyDescent="0.2">
      <c r="A2" s="22" t="s">
        <v>292</v>
      </c>
    </row>
    <row r="3" spans="1:16" x14ac:dyDescent="0.2">
      <c r="A3" s="22"/>
      <c r="B3" s="36"/>
      <c r="C3" s="35" t="s">
        <v>139</v>
      </c>
      <c r="D3" s="35" t="s">
        <v>140</v>
      </c>
      <c r="E3" s="35"/>
      <c r="F3" s="35" t="s">
        <v>141</v>
      </c>
      <c r="G3" s="35"/>
      <c r="H3" s="35"/>
      <c r="I3" s="181" t="s">
        <v>453</v>
      </c>
    </row>
    <row r="4" spans="1:16" x14ac:dyDescent="0.2">
      <c r="A4" s="155" t="s">
        <v>245</v>
      </c>
      <c r="B4" s="165" t="s">
        <v>122</v>
      </c>
      <c r="C4" s="166" t="s">
        <v>159</v>
      </c>
      <c r="D4" s="166" t="s">
        <v>129</v>
      </c>
      <c r="E4" s="166" t="s">
        <v>91</v>
      </c>
      <c r="F4" s="166" t="s">
        <v>145</v>
      </c>
      <c r="G4" s="166" t="s">
        <v>93</v>
      </c>
      <c r="H4" s="166" t="s">
        <v>106</v>
      </c>
      <c r="I4" s="141" t="s">
        <v>396</v>
      </c>
      <c r="J4" s="1" t="s">
        <v>88</v>
      </c>
      <c r="K4" s="19" t="s">
        <v>122</v>
      </c>
      <c r="L4" s="6" t="s">
        <v>89</v>
      </c>
      <c r="M4" s="6" t="s">
        <v>90</v>
      </c>
      <c r="N4" s="6" t="s">
        <v>91</v>
      </c>
      <c r="O4" s="6" t="s">
        <v>92</v>
      </c>
      <c r="P4" s="6" t="s">
        <v>93</v>
      </c>
    </row>
    <row r="5" spans="1:16" x14ac:dyDescent="0.2">
      <c r="A5" s="1" t="s">
        <v>102</v>
      </c>
      <c r="B5" s="6">
        <v>41227</v>
      </c>
      <c r="C5" s="6">
        <v>155495824.72</v>
      </c>
      <c r="D5" s="6">
        <v>17469184.219999999</v>
      </c>
      <c r="E5" s="6">
        <v>9966316.7599999998</v>
      </c>
      <c r="F5" s="6">
        <v>4762744.1900000004</v>
      </c>
      <c r="G5" s="6">
        <v>6609711.7400000002</v>
      </c>
      <c r="H5" s="6">
        <v>194303781.63</v>
      </c>
      <c r="I5" s="6">
        <f>H5/B5</f>
        <v>4713.0225733136049</v>
      </c>
      <c r="J5" s="1" t="s">
        <v>102</v>
      </c>
      <c r="K5" s="6">
        <v>41227</v>
      </c>
      <c r="L5" s="6">
        <v>155495824.72</v>
      </c>
      <c r="M5" s="6">
        <v>17469184.219999999</v>
      </c>
      <c r="N5" s="6">
        <v>9966316.7599999998</v>
      </c>
      <c r="O5" s="6">
        <v>4762744.1900000004</v>
      </c>
      <c r="P5" s="6">
        <v>6609711.7400000002</v>
      </c>
    </row>
    <row r="6" spans="1:16" x14ac:dyDescent="0.2">
      <c r="A6" s="1" t="s">
        <v>76</v>
      </c>
      <c r="B6" s="6">
        <v>24918</v>
      </c>
      <c r="C6" s="6">
        <v>94877161.689999998</v>
      </c>
      <c r="D6" s="6">
        <v>9184788.0899999999</v>
      </c>
      <c r="E6" s="6">
        <v>8391858.6999999993</v>
      </c>
      <c r="F6" s="6">
        <v>4551740.55</v>
      </c>
      <c r="G6" s="6">
        <v>3798964.64</v>
      </c>
      <c r="H6" s="6">
        <v>120804513.67</v>
      </c>
      <c r="I6" s="6">
        <f t="shared" ref="I6:I24" si="0">H6/B6</f>
        <v>4848.0822566016532</v>
      </c>
      <c r="J6" s="1" t="s">
        <v>76</v>
      </c>
      <c r="K6" s="6">
        <v>24918</v>
      </c>
      <c r="L6" s="6">
        <v>94877161.689999998</v>
      </c>
      <c r="M6" s="6">
        <v>9184788.0899999999</v>
      </c>
      <c r="N6" s="6">
        <v>8391858.6999999993</v>
      </c>
      <c r="O6" s="6">
        <v>4551740.55</v>
      </c>
      <c r="P6" s="6">
        <v>3798964.64</v>
      </c>
    </row>
    <row r="7" spans="1:16" x14ac:dyDescent="0.2">
      <c r="A7" s="1" t="s">
        <v>77</v>
      </c>
      <c r="B7" s="6">
        <v>14206</v>
      </c>
      <c r="C7" s="6">
        <v>58717994.439999998</v>
      </c>
      <c r="D7" s="6">
        <v>6505731.04</v>
      </c>
      <c r="E7" s="6">
        <v>5895092.2800000003</v>
      </c>
      <c r="F7" s="6">
        <v>2860628.71</v>
      </c>
      <c r="G7" s="6">
        <v>1470423.39</v>
      </c>
      <c r="H7" s="6">
        <v>75449869.859999985</v>
      </c>
      <c r="I7" s="6">
        <f t="shared" si="0"/>
        <v>5311.1269787413758</v>
      </c>
      <c r="J7" s="1" t="s">
        <v>77</v>
      </c>
      <c r="K7" s="6">
        <v>14206</v>
      </c>
      <c r="L7" s="6">
        <v>58717994.439999998</v>
      </c>
      <c r="M7" s="6">
        <v>6505731.04</v>
      </c>
      <c r="N7" s="6">
        <v>5895092.2800000003</v>
      </c>
      <c r="O7" s="6">
        <v>2860628.71</v>
      </c>
      <c r="P7" s="6">
        <v>1470423.39</v>
      </c>
    </row>
    <row r="8" spans="1:16" x14ac:dyDescent="0.2">
      <c r="A8" s="1" t="s">
        <v>78</v>
      </c>
      <c r="B8" s="6">
        <v>14270</v>
      </c>
      <c r="C8" s="6">
        <v>53204877.270000003</v>
      </c>
      <c r="D8" s="6">
        <v>7068957.6299999999</v>
      </c>
      <c r="E8" s="6">
        <v>6184102.8200000003</v>
      </c>
      <c r="F8" s="6">
        <v>5860636.2199999997</v>
      </c>
      <c r="G8" s="6">
        <v>2814032.42</v>
      </c>
      <c r="H8" s="6">
        <v>75132606.360000014</v>
      </c>
      <c r="I8" s="6">
        <f t="shared" si="0"/>
        <v>5265.0740266292933</v>
      </c>
      <c r="J8" s="1" t="s">
        <v>78</v>
      </c>
      <c r="K8" s="6">
        <v>14270</v>
      </c>
      <c r="L8" s="6">
        <v>53204877.270000003</v>
      </c>
      <c r="M8" s="6">
        <v>7068957.6299999999</v>
      </c>
      <c r="N8" s="6">
        <v>6184102.8200000003</v>
      </c>
      <c r="O8" s="6">
        <v>5860636.2199999997</v>
      </c>
      <c r="P8" s="6">
        <v>2814032.42</v>
      </c>
    </row>
    <row r="9" spans="1:16" x14ac:dyDescent="0.2">
      <c r="A9" s="1" t="s">
        <v>79</v>
      </c>
      <c r="B9" s="6">
        <v>6317</v>
      </c>
      <c r="C9" s="6">
        <v>26572531.550000001</v>
      </c>
      <c r="D9" s="6">
        <v>4440826.03</v>
      </c>
      <c r="E9" s="6">
        <v>3924068.69</v>
      </c>
      <c r="F9" s="6">
        <v>1300855.21</v>
      </c>
      <c r="G9" s="6">
        <v>959535.05</v>
      </c>
      <c r="H9" s="6">
        <v>37197816.530000001</v>
      </c>
      <c r="I9" s="6">
        <f t="shared" si="0"/>
        <v>5888.5256498337822</v>
      </c>
      <c r="J9" s="1" t="s">
        <v>79</v>
      </c>
      <c r="K9" s="6">
        <v>6317</v>
      </c>
      <c r="L9" s="6">
        <v>26572531.550000001</v>
      </c>
      <c r="M9" s="6">
        <v>4440826.03</v>
      </c>
      <c r="N9" s="6">
        <v>3924068.69</v>
      </c>
      <c r="O9" s="6">
        <v>1300855.21</v>
      </c>
      <c r="P9" s="6">
        <v>959535.05</v>
      </c>
    </row>
    <row r="10" spans="1:16" x14ac:dyDescent="0.2">
      <c r="A10" s="14" t="s">
        <v>80</v>
      </c>
      <c r="B10" s="7">
        <v>1733</v>
      </c>
      <c r="C10" s="7">
        <v>5620978.5899999999</v>
      </c>
      <c r="D10" s="7">
        <v>1533826.74</v>
      </c>
      <c r="E10" s="7">
        <v>933041.19</v>
      </c>
      <c r="F10" s="7">
        <v>211480.83</v>
      </c>
      <c r="G10" s="7">
        <v>28862.44</v>
      </c>
      <c r="H10" s="7">
        <v>8328189.79</v>
      </c>
      <c r="I10" s="7">
        <f t="shared" si="0"/>
        <v>4805.6490421234857</v>
      </c>
      <c r="J10" s="1" t="s">
        <v>80</v>
      </c>
      <c r="K10" s="6">
        <v>1733</v>
      </c>
      <c r="L10" s="6">
        <v>5620978.5899999999</v>
      </c>
      <c r="M10" s="6">
        <v>1533826.74</v>
      </c>
      <c r="N10" s="6">
        <v>933041.19</v>
      </c>
      <c r="O10" s="6">
        <v>211480.83</v>
      </c>
      <c r="P10" s="6">
        <v>28862.44</v>
      </c>
    </row>
    <row r="11" spans="1:16" x14ac:dyDescent="0.2">
      <c r="A11" s="1" t="s">
        <v>103</v>
      </c>
      <c r="B11" s="6">
        <v>102671</v>
      </c>
      <c r="C11" s="6">
        <v>394489368.25999999</v>
      </c>
      <c r="D11" s="6">
        <v>46203313.75</v>
      </c>
      <c r="E11" s="6">
        <v>35294480.439999998</v>
      </c>
      <c r="F11" s="6">
        <v>19548085.709999997</v>
      </c>
      <c r="G11" s="6">
        <v>15681529.680000002</v>
      </c>
      <c r="H11" s="6">
        <v>511216777.83999997</v>
      </c>
      <c r="I11" s="6">
        <f t="shared" si="0"/>
        <v>4979.1740397970216</v>
      </c>
      <c r="J11" s="1" t="s">
        <v>81</v>
      </c>
      <c r="K11" s="6">
        <v>21487</v>
      </c>
      <c r="L11" s="6">
        <v>92355656.810000002</v>
      </c>
      <c r="M11" s="6">
        <v>15541751.060000001</v>
      </c>
      <c r="N11" s="6">
        <v>8223611.9500000002</v>
      </c>
      <c r="O11" s="6">
        <v>3953795.39</v>
      </c>
      <c r="P11" s="6">
        <v>5052371.33</v>
      </c>
    </row>
    <row r="12" spans="1:16" x14ac:dyDescent="0.2">
      <c r="A12" s="1"/>
      <c r="B12" s="6"/>
      <c r="C12" s="6"/>
      <c r="D12" s="6"/>
      <c r="E12" s="6"/>
      <c r="F12" s="6"/>
      <c r="G12" s="6"/>
      <c r="H12" s="1"/>
      <c r="I12" s="82"/>
      <c r="J12" s="1" t="s">
        <v>82</v>
      </c>
      <c r="K12" s="6">
        <v>10286</v>
      </c>
      <c r="L12" s="6">
        <v>43707128.960000001</v>
      </c>
      <c r="M12" s="6">
        <v>6023255.29</v>
      </c>
      <c r="N12" s="6">
        <v>5941956.25</v>
      </c>
      <c r="O12" s="6">
        <v>2844111.78</v>
      </c>
      <c r="P12" s="6">
        <v>1740267.74</v>
      </c>
    </row>
    <row r="13" spans="1:16" x14ac:dyDescent="0.2">
      <c r="A13" s="1" t="s">
        <v>81</v>
      </c>
      <c r="B13" s="6">
        <v>21487</v>
      </c>
      <c r="C13" s="6">
        <v>92355656.810000002</v>
      </c>
      <c r="D13" s="6">
        <v>15541751.060000001</v>
      </c>
      <c r="E13" s="6">
        <v>8223611.9500000002</v>
      </c>
      <c r="F13" s="6">
        <v>3953795.39</v>
      </c>
      <c r="G13" s="6">
        <v>5052371.33</v>
      </c>
      <c r="H13" s="6">
        <v>125127186.54000001</v>
      </c>
      <c r="I13" s="6">
        <f t="shared" si="0"/>
        <v>5823.3902610881005</v>
      </c>
      <c r="J13" s="1" t="s">
        <v>83</v>
      </c>
      <c r="K13" s="6">
        <v>4524</v>
      </c>
      <c r="L13" s="6">
        <v>19908142.460000001</v>
      </c>
      <c r="M13" s="6">
        <v>4063118.56</v>
      </c>
      <c r="N13" s="6">
        <v>2965902.44</v>
      </c>
      <c r="O13" s="6">
        <v>1441844.09</v>
      </c>
      <c r="P13" s="6">
        <v>398671.04</v>
      </c>
    </row>
    <row r="14" spans="1:16" x14ac:dyDescent="0.2">
      <c r="A14" s="1" t="s">
        <v>82</v>
      </c>
      <c r="B14" s="6">
        <v>10286</v>
      </c>
      <c r="C14" s="6">
        <v>43707128.960000001</v>
      </c>
      <c r="D14" s="6">
        <v>6023255.29</v>
      </c>
      <c r="E14" s="6">
        <v>5941956.25</v>
      </c>
      <c r="F14" s="6">
        <v>2844111.78</v>
      </c>
      <c r="G14" s="6">
        <v>1740267.74</v>
      </c>
      <c r="H14" s="6">
        <v>60256720.020000003</v>
      </c>
      <c r="I14" s="6">
        <f t="shared" si="0"/>
        <v>5858.1294983472681</v>
      </c>
      <c r="J14" s="1" t="s">
        <v>84</v>
      </c>
      <c r="K14" s="6">
        <v>5074</v>
      </c>
      <c r="L14" s="6">
        <v>27283754.530000001</v>
      </c>
      <c r="M14" s="6">
        <v>5568114.8099999996</v>
      </c>
      <c r="N14" s="6">
        <v>3965328.65</v>
      </c>
      <c r="O14" s="6">
        <v>1954470.2</v>
      </c>
      <c r="P14" s="6">
        <v>1096378.2</v>
      </c>
    </row>
    <row r="15" spans="1:16" x14ac:dyDescent="0.2">
      <c r="A15" s="1" t="s">
        <v>83</v>
      </c>
      <c r="B15" s="6">
        <v>4524</v>
      </c>
      <c r="C15" s="6">
        <v>19908142.460000001</v>
      </c>
      <c r="D15" s="6">
        <v>4063118.56</v>
      </c>
      <c r="E15" s="6">
        <v>2965902.44</v>
      </c>
      <c r="F15" s="6">
        <v>1441844.09</v>
      </c>
      <c r="G15" s="6">
        <v>398671.04</v>
      </c>
      <c r="H15" s="6">
        <v>28777678.59</v>
      </c>
      <c r="I15" s="6">
        <f t="shared" si="0"/>
        <v>6361.1137466843502</v>
      </c>
      <c r="J15" s="1" t="s">
        <v>85</v>
      </c>
      <c r="K15" s="6">
        <v>1489</v>
      </c>
      <c r="L15" s="6">
        <v>11461206.82</v>
      </c>
      <c r="M15" s="6">
        <v>2409547.94</v>
      </c>
      <c r="N15" s="6">
        <v>1812603.32</v>
      </c>
      <c r="O15" s="6">
        <v>858048.51</v>
      </c>
      <c r="P15" s="6">
        <v>465543.41</v>
      </c>
    </row>
    <row r="16" spans="1:16" x14ac:dyDescent="0.2">
      <c r="A16" s="1" t="s">
        <v>84</v>
      </c>
      <c r="B16" s="6">
        <v>5074</v>
      </c>
      <c r="C16" s="6">
        <v>27283754.530000001</v>
      </c>
      <c r="D16" s="6">
        <v>5568114.8099999996</v>
      </c>
      <c r="E16" s="6">
        <v>3965328.65</v>
      </c>
      <c r="F16" s="6">
        <v>1954470.2</v>
      </c>
      <c r="G16" s="6">
        <v>1096378.2</v>
      </c>
      <c r="H16" s="6">
        <v>39868046.390000008</v>
      </c>
      <c r="I16" s="6">
        <f t="shared" si="0"/>
        <v>7857.3209282617281</v>
      </c>
      <c r="J16" s="1" t="s">
        <v>86</v>
      </c>
      <c r="K16" s="6">
        <v>11491</v>
      </c>
      <c r="L16" s="6">
        <v>42891548.100000001</v>
      </c>
      <c r="M16" s="6">
        <v>5975923.1600000001</v>
      </c>
      <c r="N16" s="6">
        <v>4519968.57</v>
      </c>
      <c r="O16" s="6">
        <v>2135263.19</v>
      </c>
      <c r="P16" s="6">
        <v>1543205</v>
      </c>
    </row>
    <row r="17" spans="1:16" x14ac:dyDescent="0.2">
      <c r="A17" s="14" t="s">
        <v>85</v>
      </c>
      <c r="B17" s="7">
        <v>1489</v>
      </c>
      <c r="C17" s="7">
        <v>11461206.82</v>
      </c>
      <c r="D17" s="7">
        <v>2409547.94</v>
      </c>
      <c r="E17" s="7">
        <v>1812603.32</v>
      </c>
      <c r="F17" s="7">
        <v>858048.51</v>
      </c>
      <c r="G17" s="7">
        <v>465543.41</v>
      </c>
      <c r="H17" s="7">
        <v>17006950</v>
      </c>
      <c r="I17" s="7">
        <f t="shared" si="0"/>
        <v>11421.725990597717</v>
      </c>
      <c r="J17" s="1" t="s">
        <v>87</v>
      </c>
      <c r="K17" s="6">
        <v>6746</v>
      </c>
      <c r="L17" s="6">
        <v>35265433.359999999</v>
      </c>
      <c r="M17" s="6">
        <v>5761375.2699999996</v>
      </c>
      <c r="N17" s="6">
        <v>4934190.53</v>
      </c>
      <c r="O17" s="6">
        <v>2211748.36</v>
      </c>
      <c r="P17" s="6">
        <v>794549.3</v>
      </c>
    </row>
    <row r="18" spans="1:16" x14ac:dyDescent="0.2">
      <c r="A18" s="1" t="s">
        <v>104</v>
      </c>
      <c r="B18" s="6">
        <v>42860</v>
      </c>
      <c r="C18" s="6">
        <v>194715889.58000001</v>
      </c>
      <c r="D18" s="6">
        <v>33605787.659999996</v>
      </c>
      <c r="E18" s="6">
        <v>22909402.609999999</v>
      </c>
      <c r="F18" s="6">
        <v>11052269.969999999</v>
      </c>
      <c r="G18" s="6">
        <v>8753231.7200000007</v>
      </c>
      <c r="H18" s="6">
        <v>271036581.54000002</v>
      </c>
      <c r="I18" s="6">
        <f t="shared" si="0"/>
        <v>6323.7653182454505</v>
      </c>
      <c r="J18" s="1"/>
      <c r="K18" s="6"/>
      <c r="L18" s="6"/>
      <c r="M18" s="6"/>
      <c r="N18" s="6"/>
      <c r="O18" s="6"/>
      <c r="P18" s="6"/>
    </row>
    <row r="19" spans="1:16" x14ac:dyDescent="0.2">
      <c r="I19" s="6"/>
    </row>
    <row r="20" spans="1:16" x14ac:dyDescent="0.2">
      <c r="A20" s="1" t="s">
        <v>86</v>
      </c>
      <c r="B20" s="6">
        <v>11491</v>
      </c>
      <c r="C20" s="6">
        <v>42891548.100000001</v>
      </c>
      <c r="D20" s="6">
        <v>5975923.1600000001</v>
      </c>
      <c r="E20" s="6">
        <v>4519968.57</v>
      </c>
      <c r="F20" s="6">
        <v>2135263.19</v>
      </c>
      <c r="G20" s="6">
        <v>1543205</v>
      </c>
      <c r="H20" s="6">
        <v>57065908.020000003</v>
      </c>
      <c r="I20" s="6">
        <f t="shared" si="0"/>
        <v>4966.1394151945005</v>
      </c>
    </row>
    <row r="21" spans="1:16" x14ac:dyDescent="0.2">
      <c r="A21" s="14" t="s">
        <v>87</v>
      </c>
      <c r="B21" s="7">
        <v>6746</v>
      </c>
      <c r="C21" s="7">
        <v>35265433.359999999</v>
      </c>
      <c r="D21" s="7">
        <v>5761375.2699999996</v>
      </c>
      <c r="E21" s="7">
        <v>4934190.53</v>
      </c>
      <c r="F21" s="7">
        <v>2211748.36</v>
      </c>
      <c r="G21" s="7">
        <v>794549.3</v>
      </c>
      <c r="H21" s="7">
        <v>48967296.819999993</v>
      </c>
      <c r="I21" s="7">
        <f t="shared" si="0"/>
        <v>7258.715804921434</v>
      </c>
    </row>
    <row r="22" spans="1:16" x14ac:dyDescent="0.2">
      <c r="A22" s="1" t="s">
        <v>105</v>
      </c>
      <c r="B22" s="6">
        <v>18237</v>
      </c>
      <c r="C22" s="6">
        <v>78156981.460000008</v>
      </c>
      <c r="D22" s="6">
        <v>11737298.43</v>
      </c>
      <c r="E22" s="6">
        <v>9454159.1000000015</v>
      </c>
      <c r="F22" s="6">
        <v>4347011.55</v>
      </c>
      <c r="G22" s="6">
        <v>2337754.2999999998</v>
      </c>
      <c r="H22" s="6">
        <v>106033204.84</v>
      </c>
      <c r="I22" s="6">
        <f t="shared" si="0"/>
        <v>5814.1802292043649</v>
      </c>
    </row>
    <row r="23" spans="1:16" x14ac:dyDescent="0.2">
      <c r="I23" s="6"/>
    </row>
    <row r="24" spans="1:16" ht="13.5" thickBot="1" x14ac:dyDescent="0.25">
      <c r="A24" s="15" t="s">
        <v>107</v>
      </c>
      <c r="B24" s="8">
        <v>163768</v>
      </c>
      <c r="C24" s="8">
        <v>667362239.30000007</v>
      </c>
      <c r="D24" s="8">
        <v>91546399.840000004</v>
      </c>
      <c r="E24" s="8">
        <v>67658042.150000006</v>
      </c>
      <c r="F24" s="8">
        <v>34947367.229999997</v>
      </c>
      <c r="G24" s="8">
        <v>26772515.700000003</v>
      </c>
      <c r="H24" s="8">
        <v>888286564.22000003</v>
      </c>
      <c r="I24" s="8">
        <f t="shared" si="0"/>
        <v>5424.0545419129503</v>
      </c>
    </row>
    <row r="25" spans="1:16" ht="13.5" thickTop="1" x14ac:dyDescent="0.2">
      <c r="A25" s="1"/>
      <c r="B25" s="6"/>
      <c r="C25" s="6"/>
      <c r="D25" s="6"/>
      <c r="E25" s="6"/>
      <c r="F25" s="6"/>
      <c r="G25" s="6"/>
      <c r="H25" s="6"/>
      <c r="I25" s="83"/>
    </row>
    <row r="26" spans="1:16" x14ac:dyDescent="0.2">
      <c r="A26" s="36" t="s">
        <v>247</v>
      </c>
      <c r="I26" s="82"/>
    </row>
    <row r="27" spans="1:16" x14ac:dyDescent="0.2">
      <c r="A27" s="36" t="s">
        <v>260</v>
      </c>
      <c r="B27" s="6"/>
      <c r="C27" s="6"/>
      <c r="D27" s="6"/>
      <c r="E27" s="6"/>
      <c r="F27" s="6"/>
      <c r="G27" s="6"/>
      <c r="H27" s="1"/>
      <c r="I27" s="82"/>
    </row>
    <row r="28" spans="1:16" ht="22.5" x14ac:dyDescent="0.2">
      <c r="A28" s="155" t="s">
        <v>245</v>
      </c>
      <c r="B28" s="141" t="s">
        <v>122</v>
      </c>
      <c r="C28" s="141" t="s">
        <v>89</v>
      </c>
      <c r="D28" s="141" t="s">
        <v>90</v>
      </c>
      <c r="E28" s="141" t="s">
        <v>91</v>
      </c>
      <c r="F28" s="141" t="s">
        <v>92</v>
      </c>
      <c r="G28" s="141" t="s">
        <v>93</v>
      </c>
      <c r="H28" s="160" t="s">
        <v>106</v>
      </c>
      <c r="I28" s="82"/>
    </row>
    <row r="29" spans="1:16" x14ac:dyDescent="0.2">
      <c r="A29" s="1" t="s">
        <v>102</v>
      </c>
      <c r="B29" s="6">
        <v>41227</v>
      </c>
      <c r="C29" s="6">
        <v>3771.6987585805418</v>
      </c>
      <c r="D29" s="6">
        <v>423.73163751910153</v>
      </c>
      <c r="E29" s="6">
        <v>241.74246877046596</v>
      </c>
      <c r="F29" s="6">
        <v>115.52487908409539</v>
      </c>
      <c r="G29" s="6">
        <v>160.32482935940041</v>
      </c>
      <c r="H29" s="6">
        <v>4713.0225733136049</v>
      </c>
      <c r="I29" s="82"/>
    </row>
    <row r="30" spans="1:16" x14ac:dyDescent="0.2">
      <c r="A30" s="1" t="s">
        <v>76</v>
      </c>
      <c r="B30" s="6">
        <v>24918</v>
      </c>
      <c r="C30" s="6">
        <v>3807.575314631993</v>
      </c>
      <c r="D30" s="6">
        <v>368.60053334938596</v>
      </c>
      <c r="E30" s="6">
        <v>336.77898306445138</v>
      </c>
      <c r="F30" s="6">
        <v>182.66877558391525</v>
      </c>
      <c r="G30" s="6">
        <v>152.45864997190787</v>
      </c>
      <c r="H30" s="6">
        <v>4848.0822566016532</v>
      </c>
      <c r="I30" s="82"/>
    </row>
    <row r="31" spans="1:16" x14ac:dyDescent="0.2">
      <c r="A31" s="1" t="s">
        <v>77</v>
      </c>
      <c r="B31" s="6">
        <v>14206</v>
      </c>
      <c r="C31" s="6">
        <v>4133.3235562438404</v>
      </c>
      <c r="D31" s="6">
        <v>457.95657046318456</v>
      </c>
      <c r="E31" s="6">
        <v>414.97200337885403</v>
      </c>
      <c r="F31" s="6">
        <v>201.36764113754751</v>
      </c>
      <c r="G31" s="6">
        <v>103.50720751795015</v>
      </c>
      <c r="H31" s="6">
        <v>5311.1269787413758</v>
      </c>
      <c r="I31" s="82"/>
    </row>
    <row r="32" spans="1:16" x14ac:dyDescent="0.2">
      <c r="A32" s="1" t="s">
        <v>78</v>
      </c>
      <c r="B32" s="6">
        <v>14270</v>
      </c>
      <c r="C32" s="6">
        <v>3728.4426958654522</v>
      </c>
      <c r="D32" s="6">
        <v>495.37194323756131</v>
      </c>
      <c r="E32" s="6">
        <v>433.36389768745624</v>
      </c>
      <c r="F32" s="6">
        <v>410.69630133146461</v>
      </c>
      <c r="G32" s="6">
        <v>197.19918850735809</v>
      </c>
      <c r="H32" s="6">
        <v>5265.0740266292933</v>
      </c>
      <c r="I32" s="82"/>
    </row>
    <row r="33" spans="1:9" x14ac:dyDescent="0.2">
      <c r="A33" s="1" t="s">
        <v>79</v>
      </c>
      <c r="B33" s="6">
        <v>6317</v>
      </c>
      <c r="C33" s="6">
        <v>4206.5112474275766</v>
      </c>
      <c r="D33" s="6">
        <v>702.99604717429168</v>
      </c>
      <c r="E33" s="6">
        <v>621.19181415228752</v>
      </c>
      <c r="F33" s="6">
        <v>205.92927180623713</v>
      </c>
      <c r="G33" s="6">
        <v>151.89726927338927</v>
      </c>
      <c r="H33" s="6">
        <v>5888.5256498337822</v>
      </c>
      <c r="I33" s="83"/>
    </row>
    <row r="34" spans="1:9" x14ac:dyDescent="0.2">
      <c r="A34" s="14" t="s">
        <v>80</v>
      </c>
      <c r="B34" s="7">
        <v>1733</v>
      </c>
      <c r="C34" s="7">
        <v>3243.496012694749</v>
      </c>
      <c r="D34" s="7">
        <v>885.07024812463931</v>
      </c>
      <c r="E34" s="7">
        <v>538.39653202538943</v>
      </c>
      <c r="F34" s="7">
        <v>122.03163877668781</v>
      </c>
      <c r="G34" s="7">
        <v>16.654610502019619</v>
      </c>
      <c r="H34" s="7">
        <v>4805.6490421234857</v>
      </c>
      <c r="I34" s="83"/>
    </row>
    <row r="35" spans="1:9" x14ac:dyDescent="0.2">
      <c r="A35" s="1" t="s">
        <v>103</v>
      </c>
      <c r="B35" s="6">
        <v>102671</v>
      </c>
      <c r="C35" s="6">
        <v>3842.266738027291</v>
      </c>
      <c r="D35" s="6">
        <v>450.01328271858654</v>
      </c>
      <c r="E35" s="6">
        <v>343.76289741017422</v>
      </c>
      <c r="F35" s="6">
        <v>190.39539607094503</v>
      </c>
      <c r="G35" s="6">
        <v>152.73572557002467</v>
      </c>
      <c r="H35" s="6">
        <v>4979.1740397970216</v>
      </c>
      <c r="I35" s="83"/>
    </row>
    <row r="36" spans="1:9" x14ac:dyDescent="0.2">
      <c r="A36" s="1"/>
      <c r="B36" s="6"/>
      <c r="C36" s="6"/>
      <c r="D36" s="6"/>
      <c r="E36" s="6"/>
      <c r="F36" s="6"/>
      <c r="G36" s="6"/>
      <c r="H36" s="6"/>
      <c r="I36" s="83"/>
    </row>
    <row r="37" spans="1:9" x14ac:dyDescent="0.2">
      <c r="A37" s="1" t="s">
        <v>81</v>
      </c>
      <c r="B37" s="6">
        <v>21487</v>
      </c>
      <c r="C37" s="6">
        <v>4298.2108628473034</v>
      </c>
      <c r="D37" s="6">
        <v>723.30949225112863</v>
      </c>
      <c r="E37" s="6">
        <v>382.72499418252897</v>
      </c>
      <c r="F37" s="6">
        <v>184.00872108716899</v>
      </c>
      <c r="G37" s="6">
        <v>235.13619071997022</v>
      </c>
      <c r="H37" s="6">
        <v>5823.3902610881005</v>
      </c>
      <c r="I37" s="83"/>
    </row>
    <row r="38" spans="1:9" x14ac:dyDescent="0.2">
      <c r="A38" s="1" t="s">
        <v>82</v>
      </c>
      <c r="B38" s="6">
        <v>10286</v>
      </c>
      <c r="C38" s="6">
        <v>4249.1861714952365</v>
      </c>
      <c r="D38" s="6">
        <v>585.57799825004861</v>
      </c>
      <c r="E38" s="6">
        <v>577.67414446820919</v>
      </c>
      <c r="F38" s="6">
        <v>276.50318685592066</v>
      </c>
      <c r="G38" s="6">
        <v>169.18799727785338</v>
      </c>
      <c r="H38" s="6">
        <v>5858.1294983472681</v>
      </c>
      <c r="I38" s="83"/>
    </row>
    <row r="39" spans="1:9" x14ac:dyDescent="0.2">
      <c r="A39" s="1" t="s">
        <v>83</v>
      </c>
      <c r="B39" s="6">
        <v>4524</v>
      </c>
      <c r="C39" s="6">
        <v>4400.5619938107875</v>
      </c>
      <c r="D39" s="6">
        <v>898.12523430592398</v>
      </c>
      <c r="E39" s="6">
        <v>655.59293545534922</v>
      </c>
      <c r="F39" s="6">
        <v>318.71001105216624</v>
      </c>
      <c r="G39" s="6">
        <v>88.123572060123777</v>
      </c>
      <c r="H39" s="6">
        <v>6361.1137466843502</v>
      </c>
      <c r="I39" s="83"/>
    </row>
    <row r="40" spans="1:9" x14ac:dyDescent="0.2">
      <c r="A40" s="1" t="s">
        <v>84</v>
      </c>
      <c r="B40" s="6">
        <v>5074</v>
      </c>
      <c r="C40" s="6">
        <v>5377.1688076468272</v>
      </c>
      <c r="D40" s="6">
        <v>1097.3817126527395</v>
      </c>
      <c r="E40" s="6">
        <v>781.49953685455262</v>
      </c>
      <c r="F40" s="6">
        <v>385.1931809223492</v>
      </c>
      <c r="G40" s="6">
        <v>216.07769018525818</v>
      </c>
      <c r="H40" s="6">
        <v>7857.3209282617281</v>
      </c>
      <c r="I40" s="83"/>
    </row>
    <row r="41" spans="1:9" x14ac:dyDescent="0.2">
      <c r="A41" s="14" t="s">
        <v>85</v>
      </c>
      <c r="B41" s="7">
        <v>1489</v>
      </c>
      <c r="C41" s="7">
        <v>7697.2510543989256</v>
      </c>
      <c r="D41" s="7">
        <v>1618.2323304231027</v>
      </c>
      <c r="E41" s="7">
        <v>1217.3292948287442</v>
      </c>
      <c r="F41" s="7">
        <v>576.25823371390197</v>
      </c>
      <c r="G41" s="7">
        <v>312.65507723304228</v>
      </c>
      <c r="H41" s="7">
        <v>11421.725990597717</v>
      </c>
      <c r="I41" s="83"/>
    </row>
    <row r="42" spans="1:9" x14ac:dyDescent="0.2">
      <c r="A42" s="1" t="s">
        <v>104</v>
      </c>
      <c r="B42" s="6">
        <v>42860</v>
      </c>
      <c r="C42" s="6">
        <v>4543.0678856742888</v>
      </c>
      <c r="D42" s="6">
        <v>784.08277321511889</v>
      </c>
      <c r="E42" s="6">
        <v>534.51709309379373</v>
      </c>
      <c r="F42" s="6">
        <v>257.86910802613158</v>
      </c>
      <c r="G42" s="6">
        <v>204.2284582361176</v>
      </c>
      <c r="H42" s="6">
        <v>6323.7653182454505</v>
      </c>
      <c r="I42" s="83"/>
    </row>
    <row r="43" spans="1:9" x14ac:dyDescent="0.2">
      <c r="A43" s="1"/>
      <c r="B43" s="6"/>
      <c r="C43" s="6"/>
      <c r="D43" s="6"/>
      <c r="E43" s="6"/>
      <c r="F43" s="6"/>
      <c r="G43" s="6"/>
      <c r="H43" s="6"/>
      <c r="I43" s="83"/>
    </row>
    <row r="44" spans="1:9" x14ac:dyDescent="0.2">
      <c r="A44" s="1" t="s">
        <v>86</v>
      </c>
      <c r="B44" s="6">
        <v>11491</v>
      </c>
      <c r="C44" s="6">
        <v>3732.6210164476547</v>
      </c>
      <c r="D44" s="6">
        <v>520.05248977460622</v>
      </c>
      <c r="E44" s="6">
        <v>393.34858323905667</v>
      </c>
      <c r="F44" s="6">
        <v>185.82048472717779</v>
      </c>
      <c r="G44" s="6">
        <v>134.29684100600471</v>
      </c>
      <c r="H44" s="6">
        <v>4966.1394151945005</v>
      </c>
      <c r="I44" s="83"/>
    </row>
    <row r="45" spans="1:9" x14ac:dyDescent="0.2">
      <c r="A45" s="14" t="s">
        <v>87</v>
      </c>
      <c r="B45" s="7">
        <v>6746</v>
      </c>
      <c r="C45" s="7">
        <v>5227.6064868069971</v>
      </c>
      <c r="D45" s="7">
        <v>854.04317669730199</v>
      </c>
      <c r="E45" s="7">
        <v>731.42462644530099</v>
      </c>
      <c r="F45" s="7">
        <v>327.86071153276015</v>
      </c>
      <c r="G45" s="7">
        <v>117.78080343907502</v>
      </c>
      <c r="H45" s="7">
        <v>7258.715804921434</v>
      </c>
      <c r="I45" s="83"/>
    </row>
    <row r="46" spans="1:9" x14ac:dyDescent="0.2">
      <c r="A46" s="1" t="s">
        <v>105</v>
      </c>
      <c r="B46" s="6">
        <v>18237</v>
      </c>
      <c r="C46" s="6">
        <v>4285.6271020452932</v>
      </c>
      <c r="D46" s="6">
        <v>643.59809343642041</v>
      </c>
      <c r="E46" s="6">
        <v>518.40539014092235</v>
      </c>
      <c r="F46" s="6">
        <v>238.36220595492679</v>
      </c>
      <c r="G46" s="6">
        <v>128.18743762680265</v>
      </c>
      <c r="H46" s="6">
        <v>5814.1802292043649</v>
      </c>
      <c r="I46" s="83"/>
    </row>
    <row r="47" spans="1:9" x14ac:dyDescent="0.2">
      <c r="A47" s="1"/>
      <c r="B47" s="6"/>
      <c r="C47" s="6"/>
      <c r="D47" s="6"/>
      <c r="E47" s="6"/>
      <c r="F47" s="6"/>
      <c r="G47" s="6"/>
      <c r="H47" s="6"/>
      <c r="I47" s="83"/>
    </row>
    <row r="48" spans="1:9" ht="13.5" thickBot="1" x14ac:dyDescent="0.25">
      <c r="A48" s="15" t="s">
        <v>112</v>
      </c>
      <c r="B48" s="8">
        <v>163768</v>
      </c>
      <c r="C48" s="8">
        <v>4075.0466470861224</v>
      </c>
      <c r="D48" s="8">
        <v>559.00053636852135</v>
      </c>
      <c r="E48" s="8">
        <v>413.13347021396123</v>
      </c>
      <c r="F48" s="8">
        <v>213.39557929510036</v>
      </c>
      <c r="G48" s="8">
        <v>163.4783089492453</v>
      </c>
      <c r="H48" s="8">
        <v>5424.0545419129503</v>
      </c>
      <c r="I48" s="83"/>
    </row>
    <row r="49" spans="1:16" ht="13.5" thickTop="1" x14ac:dyDescent="0.2">
      <c r="A49" s="1"/>
      <c r="B49" s="6"/>
      <c r="C49" s="6"/>
      <c r="D49" s="6"/>
      <c r="E49" s="6"/>
      <c r="F49" s="6"/>
      <c r="G49" s="6"/>
      <c r="H49" s="6"/>
      <c r="I49" s="83"/>
    </row>
    <row r="50" spans="1:16" x14ac:dyDescent="0.2">
      <c r="A50" s="1"/>
      <c r="B50" s="6"/>
      <c r="C50" s="6"/>
      <c r="D50" s="6"/>
      <c r="E50" s="6"/>
      <c r="F50" s="6"/>
      <c r="G50" s="6"/>
      <c r="H50" s="6"/>
      <c r="I50" s="83"/>
    </row>
    <row r="51" spans="1:16" x14ac:dyDescent="0.2">
      <c r="A51" s="36" t="s">
        <v>247</v>
      </c>
      <c r="I51" s="82"/>
    </row>
    <row r="52" spans="1:16" x14ac:dyDescent="0.2">
      <c r="A52" s="22" t="s">
        <v>287</v>
      </c>
      <c r="B52" s="6"/>
      <c r="C52" s="6"/>
      <c r="D52" s="6"/>
      <c r="E52" s="6"/>
      <c r="F52" s="6"/>
      <c r="G52" s="6"/>
      <c r="H52" s="1"/>
      <c r="I52" s="83"/>
      <c r="J52" s="1"/>
      <c r="K52" s="6"/>
      <c r="L52" s="6"/>
      <c r="M52" s="6"/>
      <c r="N52" s="6"/>
      <c r="O52" s="6"/>
      <c r="P52" s="6"/>
    </row>
    <row r="53" spans="1:16" ht="22.5" x14ac:dyDescent="0.2">
      <c r="A53" s="155" t="s">
        <v>245</v>
      </c>
      <c r="B53" s="161"/>
      <c r="C53" s="141" t="s">
        <v>89</v>
      </c>
      <c r="D53" s="141" t="s">
        <v>90</v>
      </c>
      <c r="E53" s="141" t="s">
        <v>91</v>
      </c>
      <c r="F53" s="141" t="s">
        <v>92</v>
      </c>
      <c r="G53" s="141" t="s">
        <v>93</v>
      </c>
      <c r="H53" s="17"/>
      <c r="I53" s="82"/>
      <c r="J53" s="20"/>
      <c r="K53" s="21"/>
      <c r="L53" s="21"/>
      <c r="M53" s="21"/>
      <c r="N53" s="21"/>
      <c r="O53" s="21"/>
      <c r="P53" s="21"/>
    </row>
    <row r="54" spans="1:16" x14ac:dyDescent="0.2">
      <c r="A54" s="1" t="s">
        <v>102</v>
      </c>
      <c r="B54" s="6"/>
      <c r="C54" s="9">
        <v>0.80027173643022831</v>
      </c>
      <c r="D54" s="9">
        <v>8.9906558037379972E-2</v>
      </c>
      <c r="E54" s="9">
        <v>5.129244874388604E-2</v>
      </c>
      <c r="F54" s="9">
        <v>2.4511845060583449E-2</v>
      </c>
      <c r="G54" s="9">
        <v>3.4017411727922227E-2</v>
      </c>
      <c r="H54" s="9"/>
      <c r="I54" s="82"/>
      <c r="J54" s="1"/>
      <c r="K54" s="6"/>
      <c r="L54" s="6"/>
      <c r="M54" s="6"/>
      <c r="N54" s="6"/>
      <c r="O54" s="6"/>
      <c r="P54" s="6"/>
    </row>
    <row r="55" spans="1:16" x14ac:dyDescent="0.2">
      <c r="A55" s="1" t="s">
        <v>76</v>
      </c>
      <c r="B55" s="6"/>
      <c r="C55" s="9">
        <v>0.78537762214063145</v>
      </c>
      <c r="D55" s="9">
        <v>7.6030173136493531E-2</v>
      </c>
      <c r="E55" s="9">
        <v>6.9466433372878125E-2</v>
      </c>
      <c r="F55" s="9">
        <v>3.767856358773089E-2</v>
      </c>
      <c r="G55" s="9">
        <v>3.1447207762266061E-2</v>
      </c>
      <c r="H55" s="9"/>
      <c r="I55" s="82"/>
      <c r="J55" s="1"/>
      <c r="K55" s="6"/>
      <c r="L55" s="6"/>
      <c r="M55" s="6"/>
      <c r="N55" s="6"/>
      <c r="O55" s="6"/>
      <c r="P55" s="6"/>
    </row>
    <row r="56" spans="1:16" x14ac:dyDescent="0.2">
      <c r="A56" s="1" t="s">
        <v>77</v>
      </c>
      <c r="B56" s="6"/>
      <c r="C56" s="9">
        <v>0.7782385118616294</v>
      </c>
      <c r="D56" s="9">
        <v>8.6225874903053168E-2</v>
      </c>
      <c r="E56" s="9">
        <v>7.8132570552322506E-2</v>
      </c>
      <c r="F56" s="9">
        <v>3.7914296145347921E-2</v>
      </c>
      <c r="G56" s="9">
        <v>1.9488746537647112E-2</v>
      </c>
      <c r="H56" s="9"/>
      <c r="I56" s="82"/>
      <c r="J56" s="1"/>
      <c r="K56" s="6"/>
      <c r="L56" s="6"/>
      <c r="M56" s="6"/>
      <c r="N56" s="6"/>
      <c r="O56" s="6"/>
      <c r="P56" s="6"/>
    </row>
    <row r="57" spans="1:16" x14ac:dyDescent="0.2">
      <c r="A57" s="1" t="s">
        <v>78</v>
      </c>
      <c r="B57" s="6"/>
      <c r="C57" s="9">
        <v>0.70814630088922148</v>
      </c>
      <c r="D57" s="9">
        <v>9.4086415638622856E-2</v>
      </c>
      <c r="E57" s="9">
        <v>8.2309174666039084E-2</v>
      </c>
      <c r="F57" s="9">
        <v>7.8003898758930254E-2</v>
      </c>
      <c r="G57" s="9">
        <v>3.7454210047186222E-2</v>
      </c>
      <c r="H57" s="9"/>
      <c r="I57" s="82"/>
      <c r="J57" s="1"/>
      <c r="K57" s="6"/>
      <c r="L57" s="6"/>
      <c r="M57" s="6"/>
      <c r="N57" s="6"/>
      <c r="O57" s="6"/>
      <c r="P57" s="6"/>
    </row>
    <row r="58" spans="1:16" x14ac:dyDescent="0.2">
      <c r="A58" s="1" t="s">
        <v>79</v>
      </c>
      <c r="B58" s="6"/>
      <c r="C58" s="9">
        <v>0.71435729375591928</v>
      </c>
      <c r="D58" s="9">
        <v>0.1193840511154325</v>
      </c>
      <c r="E58" s="9">
        <v>0.10549190936611139</v>
      </c>
      <c r="F58" s="9">
        <v>3.4971278729515255E-2</v>
      </c>
      <c r="G58" s="9">
        <v>2.5795467033021574E-2</v>
      </c>
      <c r="H58" s="9"/>
      <c r="I58" s="82"/>
      <c r="J58" s="1"/>
      <c r="K58" s="6"/>
      <c r="L58" s="6"/>
      <c r="M58" s="6"/>
      <c r="N58" s="6"/>
      <c r="O58" s="6"/>
      <c r="P58" s="6"/>
    </row>
    <row r="59" spans="1:16" x14ac:dyDescent="0.2">
      <c r="A59" s="14" t="s">
        <v>80</v>
      </c>
      <c r="B59" s="7"/>
      <c r="C59" s="10">
        <v>0.67493401708368117</v>
      </c>
      <c r="D59" s="10">
        <v>0.18417288494574519</v>
      </c>
      <c r="E59" s="10">
        <v>0.11203409306549915</v>
      </c>
      <c r="F59" s="10">
        <v>2.5393373029746955E-2</v>
      </c>
      <c r="G59" s="10">
        <v>3.4656318753273751E-3</v>
      </c>
      <c r="H59" s="9"/>
      <c r="I59" s="82"/>
      <c r="J59" s="1"/>
      <c r="K59" s="6"/>
      <c r="L59" s="6"/>
      <c r="M59" s="6"/>
      <c r="N59" s="6"/>
      <c r="O59" s="6"/>
      <c r="P59" s="6"/>
    </row>
    <row r="60" spans="1:16" x14ac:dyDescent="0.2">
      <c r="A60" s="1" t="s">
        <v>108</v>
      </c>
      <c r="B60" s="6"/>
      <c r="C60" s="9">
        <v>0.77166749089652686</v>
      </c>
      <c r="D60" s="9">
        <v>9.0379102863600957E-2</v>
      </c>
      <c r="E60" s="9">
        <v>6.9040144944238158E-2</v>
      </c>
      <c r="F60" s="9">
        <v>3.8238349282265015E-2</v>
      </c>
      <c r="G60" s="9">
        <v>3.0674912013368992E-2</v>
      </c>
      <c r="H60" s="9"/>
      <c r="I60" s="82"/>
      <c r="J60" s="1"/>
      <c r="K60" s="6"/>
      <c r="L60" s="6"/>
      <c r="M60" s="6"/>
      <c r="N60" s="6"/>
      <c r="O60" s="6"/>
      <c r="P60" s="6"/>
    </row>
    <row r="61" spans="1:16" x14ac:dyDescent="0.2">
      <c r="A61" s="1"/>
      <c r="B61" s="6"/>
      <c r="C61" s="9"/>
      <c r="D61" s="9"/>
      <c r="E61" s="9"/>
      <c r="F61" s="9"/>
      <c r="G61" s="9"/>
      <c r="H61" s="9"/>
      <c r="I61" s="82"/>
      <c r="J61" s="1"/>
      <c r="K61" s="6"/>
      <c r="L61" s="6"/>
      <c r="M61" s="6"/>
      <c r="N61" s="6"/>
      <c r="O61" s="6"/>
      <c r="P61" s="6"/>
    </row>
    <row r="62" spans="1:16" x14ac:dyDescent="0.2">
      <c r="A62" s="1" t="s">
        <v>81</v>
      </c>
      <c r="B62" s="6"/>
      <c r="C62" s="9">
        <v>0.73809424924995193</v>
      </c>
      <c r="D62" s="9">
        <v>0.12420762817224931</v>
      </c>
      <c r="E62" s="9">
        <v>6.5722023945380709E-2</v>
      </c>
      <c r="F62" s="9">
        <v>3.1598212181779307E-2</v>
      </c>
      <c r="G62" s="9">
        <v>4.0377886450638639E-2</v>
      </c>
      <c r="H62" s="9"/>
      <c r="I62" s="82"/>
      <c r="J62" s="1"/>
      <c r="K62" s="6"/>
      <c r="L62" s="6"/>
      <c r="M62" s="6"/>
      <c r="N62" s="6"/>
      <c r="O62" s="6"/>
      <c r="P62" s="6"/>
    </row>
    <row r="63" spans="1:16" x14ac:dyDescent="0.2">
      <c r="A63" s="1" t="s">
        <v>82</v>
      </c>
      <c r="B63" s="6"/>
      <c r="C63" s="9">
        <v>0.72534862411185064</v>
      </c>
      <c r="D63" s="9">
        <v>9.9959893070860853E-2</v>
      </c>
      <c r="E63" s="9">
        <v>9.8610681896189933E-2</v>
      </c>
      <c r="F63" s="9">
        <v>4.719991030139048E-2</v>
      </c>
      <c r="G63" s="9">
        <v>2.8880890619708176E-2</v>
      </c>
      <c r="H63" s="9"/>
      <c r="I63" s="82"/>
      <c r="J63" s="1"/>
      <c r="K63" s="6"/>
      <c r="L63" s="6"/>
      <c r="M63" s="6"/>
      <c r="N63" s="6"/>
      <c r="O63" s="6"/>
      <c r="P63" s="6"/>
    </row>
    <row r="64" spans="1:16" x14ac:dyDescent="0.2">
      <c r="A64" s="1" t="s">
        <v>83</v>
      </c>
      <c r="B64" s="6"/>
      <c r="C64" s="9">
        <v>0.69179111851356601</v>
      </c>
      <c r="D64" s="9">
        <v>0.14118993466734664</v>
      </c>
      <c r="E64" s="9">
        <v>0.10306260217356886</v>
      </c>
      <c r="F64" s="9">
        <v>5.0102863074613278E-2</v>
      </c>
      <c r="G64" s="9">
        <v>1.3853481570905263E-2</v>
      </c>
      <c r="H64" s="9"/>
      <c r="I64" s="82"/>
      <c r="J64" s="1"/>
      <c r="K64" s="6"/>
      <c r="L64" s="6"/>
      <c r="M64" s="6"/>
      <c r="N64" s="6"/>
      <c r="O64" s="6"/>
      <c r="P64" s="6"/>
    </row>
    <row r="65" spans="1:16" x14ac:dyDescent="0.2">
      <c r="A65" s="1" t="s">
        <v>84</v>
      </c>
      <c r="B65" s="6"/>
      <c r="C65" s="9">
        <v>0.68435142929008708</v>
      </c>
      <c r="D65" s="9">
        <v>0.13966359814903384</v>
      </c>
      <c r="E65" s="9">
        <v>9.9461323266509805E-2</v>
      </c>
      <c r="F65" s="9">
        <v>4.9023475614552163E-2</v>
      </c>
      <c r="G65" s="9">
        <v>2.7500173679816966E-2</v>
      </c>
      <c r="H65" s="9"/>
      <c r="I65" s="82"/>
      <c r="J65" s="1"/>
      <c r="K65" s="6"/>
      <c r="L65" s="6"/>
      <c r="M65" s="6"/>
      <c r="N65" s="6"/>
      <c r="O65" s="6"/>
      <c r="P65" s="6"/>
    </row>
    <row r="66" spans="1:16" x14ac:dyDescent="0.2">
      <c r="A66" s="14" t="s">
        <v>85</v>
      </c>
      <c r="B66" s="7"/>
      <c r="C66" s="10">
        <v>0.6739131249283381</v>
      </c>
      <c r="D66" s="10">
        <v>0.14168019192153794</v>
      </c>
      <c r="E66" s="10">
        <v>0.10658015223188168</v>
      </c>
      <c r="F66" s="10">
        <v>5.0452815466618062E-2</v>
      </c>
      <c r="G66" s="10">
        <v>2.7373715451624186E-2</v>
      </c>
      <c r="H66" s="9"/>
      <c r="I66" s="82"/>
      <c r="J66" s="1"/>
      <c r="K66" s="6"/>
      <c r="L66" s="6"/>
      <c r="M66" s="6"/>
      <c r="N66" s="6"/>
      <c r="O66" s="6"/>
      <c r="P66" s="6"/>
    </row>
    <row r="67" spans="1:16" x14ac:dyDescent="0.2">
      <c r="A67" s="1" t="s">
        <v>109</v>
      </c>
      <c r="B67" s="6"/>
      <c r="C67" s="9">
        <v>0.71841184121215584</v>
      </c>
      <c r="D67" s="9">
        <v>0.123989859483379</v>
      </c>
      <c r="E67" s="9">
        <v>8.4525131182777241E-2</v>
      </c>
      <c r="F67" s="9">
        <v>4.0777779542533407E-2</v>
      </c>
      <c r="G67" s="9">
        <v>3.2295388579154524E-2</v>
      </c>
      <c r="H67" s="9"/>
      <c r="I67" s="82"/>
      <c r="J67" s="1"/>
      <c r="K67" s="6"/>
      <c r="L67" s="6"/>
      <c r="M67" s="6"/>
      <c r="N67" s="6"/>
      <c r="O67" s="6"/>
      <c r="P67" s="6"/>
    </row>
    <row r="68" spans="1:16" x14ac:dyDescent="0.2">
      <c r="A68" s="1"/>
      <c r="B68" s="6"/>
      <c r="C68" s="9"/>
      <c r="D68" s="9"/>
      <c r="E68" s="9"/>
      <c r="F68" s="9"/>
      <c r="G68" s="9"/>
      <c r="H68" s="9"/>
      <c r="I68" s="82"/>
    </row>
    <row r="69" spans="1:16" x14ac:dyDescent="0.2">
      <c r="A69" s="1" t="s">
        <v>86</v>
      </c>
      <c r="B69" s="6"/>
      <c r="C69" s="9">
        <v>0.75161422271538569</v>
      </c>
      <c r="D69" s="9">
        <v>0.10471967182061846</v>
      </c>
      <c r="E69" s="9">
        <v>7.9206109686642989E-2</v>
      </c>
      <c r="F69" s="9">
        <v>3.7417492581589169E-2</v>
      </c>
      <c r="G69" s="9">
        <v>2.7042503195763571E-2</v>
      </c>
      <c r="H69" s="9"/>
      <c r="I69" s="82"/>
    </row>
    <row r="70" spans="1:16" x14ac:dyDescent="0.2">
      <c r="A70" s="14" t="s">
        <v>87</v>
      </c>
      <c r="B70" s="7"/>
      <c r="C70" s="10">
        <v>0.72018338054544884</v>
      </c>
      <c r="D70" s="10">
        <v>0.11765761322660653</v>
      </c>
      <c r="E70" s="10">
        <v>0.10076501768389838</v>
      </c>
      <c r="F70" s="10">
        <v>4.5167867201863651E-2</v>
      </c>
      <c r="G70" s="10">
        <v>1.6226121342182764E-2</v>
      </c>
      <c r="H70" s="9"/>
      <c r="I70" s="82"/>
    </row>
    <row r="71" spans="1:16" x14ac:dyDescent="0.2">
      <c r="A71" s="1" t="s">
        <v>110</v>
      </c>
      <c r="B71" s="6"/>
      <c r="C71" s="9">
        <v>0.73709911511149617</v>
      </c>
      <c r="D71" s="9">
        <v>0.11069455504727153</v>
      </c>
      <c r="E71" s="9">
        <v>8.916224982792853E-2</v>
      </c>
      <c r="F71" s="9">
        <v>4.0996700576573834E-2</v>
      </c>
      <c r="G71" s="9">
        <v>2.2047379436730036E-2</v>
      </c>
      <c r="H71" s="9"/>
      <c r="I71" s="82"/>
    </row>
    <row r="72" spans="1:16" x14ac:dyDescent="0.2">
      <c r="A72" s="1"/>
      <c r="B72" s="6"/>
      <c r="C72" s="9"/>
      <c r="D72" s="9"/>
      <c r="E72" s="9"/>
      <c r="F72" s="9"/>
      <c r="G72" s="9"/>
      <c r="H72" s="9"/>
      <c r="I72" s="82"/>
    </row>
    <row r="73" spans="1:16" ht="13.5" thickBot="1" x14ac:dyDescent="0.25">
      <c r="A73" s="15" t="s">
        <v>111</v>
      </c>
      <c r="B73" s="8"/>
      <c r="C73" s="11">
        <v>0.75129160586370858</v>
      </c>
      <c r="D73" s="11">
        <v>0.10305953453251478</v>
      </c>
      <c r="E73" s="11">
        <v>7.6166909278212694E-2</v>
      </c>
      <c r="F73" s="11">
        <v>3.9342447176027147E-2</v>
      </c>
      <c r="G73" s="11">
        <v>3.0139503149536902E-2</v>
      </c>
      <c r="H73" s="9"/>
      <c r="I73" s="82"/>
    </row>
    <row r="74" spans="1:16" ht="13.5" thickTop="1" x14ac:dyDescent="0.2">
      <c r="A74" s="1"/>
      <c r="B74" s="6"/>
      <c r="C74" s="6"/>
      <c r="D74" s="6"/>
      <c r="E74" s="6"/>
      <c r="F74" s="6"/>
      <c r="G74" s="6"/>
      <c r="H74" s="1"/>
      <c r="I74" s="82"/>
    </row>
    <row r="75" spans="1:16" x14ac:dyDescent="0.2">
      <c r="I75" s="82"/>
    </row>
    <row r="76" spans="1:16" x14ac:dyDescent="0.2">
      <c r="I76" s="82"/>
    </row>
    <row r="77" spans="1:16" x14ac:dyDescent="0.2">
      <c r="I77" s="82"/>
    </row>
    <row r="78" spans="1:16" x14ac:dyDescent="0.2">
      <c r="I78" s="82"/>
    </row>
    <row r="79" spans="1:16" x14ac:dyDescent="0.2">
      <c r="I79" s="82"/>
    </row>
    <row r="80" spans="1:16" x14ac:dyDescent="0.2">
      <c r="I80" s="82"/>
    </row>
    <row r="81" spans="9:9" x14ac:dyDescent="0.2">
      <c r="I81" s="82"/>
    </row>
    <row r="82" spans="9:9" x14ac:dyDescent="0.2">
      <c r="I82" s="82"/>
    </row>
    <row r="83" spans="9:9" x14ac:dyDescent="0.2">
      <c r="I83" s="82"/>
    </row>
    <row r="84" spans="9:9" x14ac:dyDescent="0.2">
      <c r="I84" s="82"/>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81"/>
  <dimension ref="A1:K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5.140625" bestFit="1" customWidth="1"/>
    <col min="5" max="6" width="10.42578125" bestFit="1" customWidth="1"/>
    <col min="7" max="8" width="9.5703125" bestFit="1" customWidth="1"/>
  </cols>
  <sheetData>
    <row r="1" spans="1:11" x14ac:dyDescent="0.2">
      <c r="A1" s="36" t="s">
        <v>247</v>
      </c>
    </row>
    <row r="2" spans="1:11" x14ac:dyDescent="0.2">
      <c r="A2" s="22" t="s">
        <v>293</v>
      </c>
    </row>
    <row r="3" spans="1:11" x14ac:dyDescent="0.2">
      <c r="B3" s="36"/>
      <c r="C3" s="35" t="s">
        <v>139</v>
      </c>
      <c r="D3" s="35" t="s">
        <v>140</v>
      </c>
      <c r="E3" s="35"/>
      <c r="F3" s="35" t="s">
        <v>141</v>
      </c>
      <c r="G3" s="35"/>
      <c r="H3" s="35"/>
      <c r="I3" s="181" t="s">
        <v>453</v>
      </c>
    </row>
    <row r="4" spans="1:11" x14ac:dyDescent="0.2">
      <c r="A4" s="155" t="s">
        <v>245</v>
      </c>
      <c r="B4" s="165" t="s">
        <v>121</v>
      </c>
      <c r="C4" s="166" t="s">
        <v>159</v>
      </c>
      <c r="D4" s="166" t="s">
        <v>129</v>
      </c>
      <c r="E4" s="166" t="s">
        <v>91</v>
      </c>
      <c r="F4" s="166" t="s">
        <v>145</v>
      </c>
      <c r="G4" s="166" t="s">
        <v>93</v>
      </c>
      <c r="H4" s="166" t="s">
        <v>106</v>
      </c>
      <c r="I4" s="141" t="s">
        <v>396</v>
      </c>
      <c r="J4" s="18"/>
      <c r="K4" s="18"/>
    </row>
    <row r="5" spans="1:11" x14ac:dyDescent="0.2">
      <c r="A5" s="1" t="s">
        <v>102</v>
      </c>
      <c r="B5" s="1">
        <v>41482</v>
      </c>
      <c r="C5" s="6">
        <v>152067547.36000001</v>
      </c>
      <c r="D5" s="6">
        <v>17328691.989999998</v>
      </c>
      <c r="E5" s="6">
        <v>10214290.24</v>
      </c>
      <c r="F5" s="6">
        <v>4549138.46</v>
      </c>
      <c r="G5" s="6">
        <v>7051171.4400000004</v>
      </c>
      <c r="H5" s="6">
        <f t="shared" ref="H5:H10" si="0">SUM(C5:G5)</f>
        <v>191210839.49000004</v>
      </c>
      <c r="I5" s="6">
        <f>H5/B5</f>
        <v>4609.4894048020842</v>
      </c>
      <c r="J5" s="1"/>
      <c r="K5" s="2"/>
    </row>
    <row r="6" spans="1:11" x14ac:dyDescent="0.2">
      <c r="A6" s="1" t="s">
        <v>76</v>
      </c>
      <c r="B6" s="1">
        <v>24927</v>
      </c>
      <c r="C6" s="6">
        <v>91371417.400000006</v>
      </c>
      <c r="D6" s="6">
        <v>9229568.0500000007</v>
      </c>
      <c r="E6" s="6">
        <v>9020629.25</v>
      </c>
      <c r="F6" s="6">
        <v>5199401.1399999997</v>
      </c>
      <c r="G6" s="6">
        <v>4048288.03</v>
      </c>
      <c r="H6" s="6">
        <f t="shared" si="0"/>
        <v>118869303.87</v>
      </c>
      <c r="I6" s="6">
        <f t="shared" ref="I6:I24" si="1">H6/B6</f>
        <v>4768.6967493079792</v>
      </c>
      <c r="J6" s="1"/>
      <c r="K6" s="1"/>
    </row>
    <row r="7" spans="1:11" x14ac:dyDescent="0.2">
      <c r="A7" s="1" t="s">
        <v>77</v>
      </c>
      <c r="B7" s="1">
        <v>14333</v>
      </c>
      <c r="C7" s="6">
        <v>57949698.310000002</v>
      </c>
      <c r="D7" s="6">
        <v>6631571</v>
      </c>
      <c r="E7" s="6">
        <v>6151976.9400000004</v>
      </c>
      <c r="F7" s="6">
        <v>2205706.9</v>
      </c>
      <c r="G7" s="6">
        <v>1439070.84</v>
      </c>
      <c r="H7" s="6">
        <f t="shared" si="0"/>
        <v>74378023.99000001</v>
      </c>
      <c r="I7" s="6">
        <f t="shared" si="1"/>
        <v>5189.2851454684996</v>
      </c>
      <c r="J7" s="1"/>
      <c r="K7" s="1"/>
    </row>
    <row r="8" spans="1:11" x14ac:dyDescent="0.2">
      <c r="A8" s="1" t="s">
        <v>78</v>
      </c>
      <c r="B8" s="1">
        <v>14333</v>
      </c>
      <c r="C8" s="6">
        <v>52056059.719999999</v>
      </c>
      <c r="D8" s="6">
        <v>7165524.6900000004</v>
      </c>
      <c r="E8" s="6">
        <v>6256388.2400000002</v>
      </c>
      <c r="F8" s="6">
        <v>3037768.17</v>
      </c>
      <c r="G8" s="6">
        <v>2562348.0499999998</v>
      </c>
      <c r="H8" s="6">
        <f t="shared" si="0"/>
        <v>71078088.86999999</v>
      </c>
      <c r="I8" s="6">
        <f t="shared" si="1"/>
        <v>4959.0517595758038</v>
      </c>
      <c r="J8" s="1"/>
      <c r="K8" s="1"/>
    </row>
    <row r="9" spans="1:11" x14ac:dyDescent="0.2">
      <c r="A9" s="1" t="s">
        <v>79</v>
      </c>
      <c r="B9" s="1">
        <v>6853</v>
      </c>
      <c r="C9" s="6">
        <v>28567801.710000001</v>
      </c>
      <c r="D9" s="6">
        <v>4832210.58</v>
      </c>
      <c r="E9" s="6">
        <v>3952885.47</v>
      </c>
      <c r="F9" s="6">
        <v>1738427.62</v>
      </c>
      <c r="G9" s="6">
        <v>876964.05</v>
      </c>
      <c r="H9" s="6">
        <f t="shared" si="0"/>
        <v>39968289.429999992</v>
      </c>
      <c r="I9" s="6">
        <f t="shared" si="1"/>
        <v>5832.2325156865591</v>
      </c>
      <c r="J9" s="1"/>
      <c r="K9" s="1"/>
    </row>
    <row r="10" spans="1:11" x14ac:dyDescent="0.2">
      <c r="A10" s="14" t="s">
        <v>80</v>
      </c>
      <c r="B10" s="14">
        <v>1707</v>
      </c>
      <c r="C10" s="7">
        <v>5365599.05</v>
      </c>
      <c r="D10" s="7">
        <v>1516165.35</v>
      </c>
      <c r="E10" s="7">
        <v>862980.22</v>
      </c>
      <c r="F10" s="7">
        <v>207988.27</v>
      </c>
      <c r="G10" s="7">
        <v>22737.919999999998</v>
      </c>
      <c r="H10" s="7">
        <f t="shared" si="0"/>
        <v>7975470.8099999996</v>
      </c>
      <c r="I10" s="7">
        <f t="shared" si="1"/>
        <v>4672.2148857644988</v>
      </c>
      <c r="J10" s="1"/>
      <c r="K10" s="1"/>
    </row>
    <row r="11" spans="1:11" x14ac:dyDescent="0.2">
      <c r="A11" s="1" t="s">
        <v>103</v>
      </c>
      <c r="B11" s="6">
        <f>SUM(B5:B10)</f>
        <v>103635</v>
      </c>
      <c r="C11" s="6">
        <f t="shared" ref="C11:H11" si="2">SUM(C5:C10)</f>
        <v>387378123.55000007</v>
      </c>
      <c r="D11" s="6">
        <f t="shared" si="2"/>
        <v>46703731.659999996</v>
      </c>
      <c r="E11" s="6">
        <f t="shared" si="2"/>
        <v>36459150.359999999</v>
      </c>
      <c r="F11" s="6">
        <f t="shared" si="2"/>
        <v>16938430.559999999</v>
      </c>
      <c r="G11" s="6">
        <f t="shared" si="2"/>
        <v>16000580.33</v>
      </c>
      <c r="H11" s="6">
        <f t="shared" si="2"/>
        <v>503480016.46000004</v>
      </c>
      <c r="I11" s="6">
        <f t="shared" si="1"/>
        <v>4858.2044334442999</v>
      </c>
      <c r="J11" s="1"/>
      <c r="K11" s="1"/>
    </row>
    <row r="12" spans="1:11" x14ac:dyDescent="0.2">
      <c r="I12" s="82"/>
    </row>
    <row r="13" spans="1:11" x14ac:dyDescent="0.2">
      <c r="A13" s="1" t="s">
        <v>81</v>
      </c>
      <c r="B13" s="1">
        <v>20897</v>
      </c>
      <c r="C13" s="6">
        <v>88970608.599999994</v>
      </c>
      <c r="D13" s="6">
        <v>12524448.300000001</v>
      </c>
      <c r="E13" s="6">
        <v>9144507.8499999996</v>
      </c>
      <c r="F13" s="6">
        <v>3735410.19</v>
      </c>
      <c r="G13" s="6">
        <v>5126765.4400000004</v>
      </c>
      <c r="H13" s="6">
        <f>SUM(C13:G13)</f>
        <v>119501740.37999998</v>
      </c>
      <c r="I13" s="6">
        <f t="shared" si="1"/>
        <v>5718.6074738000661</v>
      </c>
      <c r="J13" s="1"/>
      <c r="K13" s="1"/>
    </row>
    <row r="14" spans="1:11" x14ac:dyDescent="0.2">
      <c r="A14" s="1" t="s">
        <v>82</v>
      </c>
      <c r="B14" s="1">
        <v>10092</v>
      </c>
      <c r="C14" s="6">
        <v>42194209.840000004</v>
      </c>
      <c r="D14" s="6">
        <v>5910960.6900000004</v>
      </c>
      <c r="E14" s="6">
        <v>5733720.0199999996</v>
      </c>
      <c r="F14" s="6">
        <v>3371415.2</v>
      </c>
      <c r="G14" s="6">
        <v>1329633.1299999999</v>
      </c>
      <c r="H14" s="6">
        <f>SUM(C14:G14)</f>
        <v>58539938.880000003</v>
      </c>
      <c r="I14" s="6">
        <f t="shared" si="1"/>
        <v>5800.6281093935795</v>
      </c>
      <c r="J14" s="1"/>
      <c r="K14" s="1"/>
    </row>
    <row r="15" spans="1:11" x14ac:dyDescent="0.2">
      <c r="A15" s="1" t="s">
        <v>83</v>
      </c>
      <c r="B15" s="1">
        <v>4243</v>
      </c>
      <c r="C15" s="6">
        <v>17810296.440000001</v>
      </c>
      <c r="D15" s="6">
        <v>3495573.31</v>
      </c>
      <c r="E15" s="6">
        <v>2555952.6</v>
      </c>
      <c r="F15" s="6">
        <v>1203343.9099999999</v>
      </c>
      <c r="G15" s="6">
        <v>791609.24</v>
      </c>
      <c r="H15" s="6">
        <f>SUM(C15:G15)</f>
        <v>25856775.5</v>
      </c>
      <c r="I15" s="6">
        <f t="shared" si="1"/>
        <v>6093.9843271270329</v>
      </c>
      <c r="J15" s="1"/>
      <c r="K15" s="1"/>
    </row>
    <row r="16" spans="1:11" x14ac:dyDescent="0.2">
      <c r="A16" s="1" t="s">
        <v>84</v>
      </c>
      <c r="B16" s="1">
        <v>5294</v>
      </c>
      <c r="C16" s="6">
        <v>28457278.039999999</v>
      </c>
      <c r="D16" s="6">
        <v>5875088.3499999996</v>
      </c>
      <c r="E16" s="6">
        <v>3980433.21</v>
      </c>
      <c r="F16" s="6">
        <v>2157910.2799999998</v>
      </c>
      <c r="G16" s="6">
        <v>1053682.48</v>
      </c>
      <c r="H16" s="6">
        <f>SUM(C16:G16)</f>
        <v>41524392.359999999</v>
      </c>
      <c r="I16" s="6">
        <f t="shared" si="1"/>
        <v>7843.6706384586323</v>
      </c>
      <c r="J16" s="1"/>
      <c r="K16" s="1"/>
    </row>
    <row r="17" spans="1:11" x14ac:dyDescent="0.2">
      <c r="A17" s="14" t="s">
        <v>85</v>
      </c>
      <c r="B17" s="14">
        <v>1450</v>
      </c>
      <c r="C17" s="7">
        <v>11281469.26</v>
      </c>
      <c r="D17" s="7">
        <v>2365620.2400000002</v>
      </c>
      <c r="E17" s="7">
        <v>1722472.31</v>
      </c>
      <c r="F17" s="7">
        <v>777326.92</v>
      </c>
      <c r="G17" s="7">
        <v>470464.64</v>
      </c>
      <c r="H17" s="7">
        <f>SUM(C17:G17)</f>
        <v>16617353.370000001</v>
      </c>
      <c r="I17" s="7">
        <f t="shared" si="1"/>
        <v>11460.243703448277</v>
      </c>
      <c r="J17" s="1"/>
      <c r="K17" s="1"/>
    </row>
    <row r="18" spans="1:11" x14ac:dyDescent="0.2">
      <c r="A18" s="1" t="s">
        <v>104</v>
      </c>
      <c r="B18" s="6">
        <f>SUM(B13:B17)</f>
        <v>41976</v>
      </c>
      <c r="C18" s="6">
        <f t="shared" ref="C18:H18" si="3">SUM(C13:C17)</f>
        <v>188713862.17999998</v>
      </c>
      <c r="D18" s="6">
        <f t="shared" si="3"/>
        <v>30171690.890000001</v>
      </c>
      <c r="E18" s="6">
        <f t="shared" si="3"/>
        <v>23137085.989999998</v>
      </c>
      <c r="F18" s="6">
        <f t="shared" si="3"/>
        <v>11245406.5</v>
      </c>
      <c r="G18" s="6">
        <f t="shared" si="3"/>
        <v>8772154.9300000016</v>
      </c>
      <c r="H18" s="6">
        <f t="shared" si="3"/>
        <v>262040200.49000001</v>
      </c>
      <c r="I18" s="6">
        <f t="shared" si="1"/>
        <v>6242.6196038212311</v>
      </c>
      <c r="J18" s="1"/>
      <c r="K18" s="1"/>
    </row>
    <row r="19" spans="1:11" x14ac:dyDescent="0.2">
      <c r="I19" s="6"/>
    </row>
    <row r="20" spans="1:11" x14ac:dyDescent="0.2">
      <c r="A20" s="1" t="s">
        <v>86</v>
      </c>
      <c r="B20" s="1">
        <v>10074</v>
      </c>
      <c r="C20" s="6">
        <v>36883452.200000003</v>
      </c>
      <c r="D20" s="6">
        <v>5216649.51</v>
      </c>
      <c r="E20" s="6">
        <v>3729983.1</v>
      </c>
      <c r="F20" s="6">
        <v>2454041.02</v>
      </c>
      <c r="G20" s="6">
        <v>1654059.72</v>
      </c>
      <c r="H20" s="6">
        <f>SUM(C20:G20)</f>
        <v>49938185.550000004</v>
      </c>
      <c r="I20" s="6">
        <f t="shared" si="1"/>
        <v>4957.1357504466951</v>
      </c>
    </row>
    <row r="21" spans="1:11" x14ac:dyDescent="0.2">
      <c r="A21" s="14" t="s">
        <v>87</v>
      </c>
      <c r="B21" s="14">
        <v>6884</v>
      </c>
      <c r="C21" s="7">
        <v>35397955.420000002</v>
      </c>
      <c r="D21" s="7">
        <v>5695126.25</v>
      </c>
      <c r="E21" s="7">
        <v>5155916.76</v>
      </c>
      <c r="F21" s="7">
        <v>2459868.98</v>
      </c>
      <c r="G21" s="7">
        <v>758348.62</v>
      </c>
      <c r="H21" s="7">
        <f>SUM(C21:G21)</f>
        <v>49467216.029999994</v>
      </c>
      <c r="I21" s="7">
        <f t="shared" si="1"/>
        <v>7185.8245249854726</v>
      </c>
    </row>
    <row r="22" spans="1:11" x14ac:dyDescent="0.2">
      <c r="A22" s="1" t="s">
        <v>105</v>
      </c>
      <c r="B22" s="6">
        <f t="shared" ref="B22:G22" si="4">SUM(B20:B21)</f>
        <v>16958</v>
      </c>
      <c r="C22" s="6">
        <f t="shared" si="4"/>
        <v>72281407.620000005</v>
      </c>
      <c r="D22" s="6">
        <f t="shared" si="4"/>
        <v>10911775.76</v>
      </c>
      <c r="E22" s="6">
        <f t="shared" si="4"/>
        <v>8885899.8599999994</v>
      </c>
      <c r="F22" s="6">
        <f t="shared" si="4"/>
        <v>4913910</v>
      </c>
      <c r="G22" s="6">
        <f t="shared" si="4"/>
        <v>2412408.34</v>
      </c>
      <c r="H22" s="6">
        <f>SUM(C22:G22)</f>
        <v>99405401.580000013</v>
      </c>
      <c r="I22" s="6">
        <f t="shared" si="1"/>
        <v>5861.858802924874</v>
      </c>
    </row>
    <row r="23" spans="1:11" x14ac:dyDescent="0.2">
      <c r="I23" s="6"/>
    </row>
    <row r="24" spans="1:11" ht="13.5" thickBot="1" x14ac:dyDescent="0.25">
      <c r="A24" s="15" t="s">
        <v>107</v>
      </c>
      <c r="B24" s="8">
        <f>B11+B18+B22</f>
        <v>162569</v>
      </c>
      <c r="C24" s="8">
        <f t="shared" ref="C24:H24" si="5">C11+C18+C22</f>
        <v>648373393.35000002</v>
      </c>
      <c r="D24" s="8">
        <f t="shared" si="5"/>
        <v>87787198.310000002</v>
      </c>
      <c r="E24" s="8">
        <f t="shared" si="5"/>
        <v>68482136.209999993</v>
      </c>
      <c r="F24" s="8">
        <f t="shared" si="5"/>
        <v>33097747.059999999</v>
      </c>
      <c r="G24" s="8">
        <f t="shared" si="5"/>
        <v>27185143.600000001</v>
      </c>
      <c r="H24" s="8">
        <f t="shared" si="5"/>
        <v>864925618.53000009</v>
      </c>
      <c r="I24" s="8">
        <f t="shared" si="1"/>
        <v>5320.360084210397</v>
      </c>
    </row>
    <row r="25" spans="1:11" ht="13.5" thickTop="1" x14ac:dyDescent="0.2">
      <c r="A25" s="1"/>
      <c r="B25" s="6"/>
      <c r="C25" s="6"/>
      <c r="D25" s="6"/>
      <c r="E25" s="6"/>
      <c r="F25" s="6"/>
      <c r="G25" s="6"/>
      <c r="H25" s="6"/>
      <c r="I25" s="83"/>
    </row>
    <row r="26" spans="1:11" x14ac:dyDescent="0.2">
      <c r="A26" s="36" t="s">
        <v>247</v>
      </c>
      <c r="I26" s="82"/>
    </row>
    <row r="27" spans="1:11" x14ac:dyDescent="0.2">
      <c r="A27" s="36" t="s">
        <v>259</v>
      </c>
      <c r="B27" s="6"/>
      <c r="C27" s="6"/>
      <c r="D27" s="6"/>
      <c r="E27" s="6"/>
      <c r="F27" s="6"/>
      <c r="G27" s="6"/>
      <c r="H27" s="1"/>
      <c r="I27" s="82"/>
    </row>
    <row r="28" spans="1:11" ht="22.5" x14ac:dyDescent="0.2">
      <c r="A28" s="155" t="s">
        <v>245</v>
      </c>
      <c r="B28" s="141" t="s">
        <v>121</v>
      </c>
      <c r="C28" s="141" t="s">
        <v>89</v>
      </c>
      <c r="D28" s="141" t="s">
        <v>90</v>
      </c>
      <c r="E28" s="141" t="s">
        <v>91</v>
      </c>
      <c r="F28" s="141" t="s">
        <v>92</v>
      </c>
      <c r="G28" s="141" t="s">
        <v>93</v>
      </c>
      <c r="H28" s="160" t="s">
        <v>106</v>
      </c>
      <c r="I28" s="82"/>
    </row>
    <row r="29" spans="1:11" x14ac:dyDescent="0.2">
      <c r="A29" s="1" t="s">
        <v>102</v>
      </c>
      <c r="B29" s="1">
        <v>41482</v>
      </c>
      <c r="C29" s="6">
        <f t="shared" ref="C29:C35" si="6">C5/B5</f>
        <v>3665.8682647895475</v>
      </c>
      <c r="D29" s="6">
        <f>D5/B5</f>
        <v>417.74003157996236</v>
      </c>
      <c r="E29" s="6">
        <f>E5/B5</f>
        <v>246.23427607154912</v>
      </c>
      <c r="F29" s="6">
        <f>F5/B5</f>
        <v>109.66535991514392</v>
      </c>
      <c r="G29" s="6">
        <f>G5/B5</f>
        <v>169.98147244588014</v>
      </c>
      <c r="H29" s="6">
        <f>H5/B5</f>
        <v>4609.4894048020842</v>
      </c>
      <c r="I29" s="82"/>
    </row>
    <row r="30" spans="1:11" x14ac:dyDescent="0.2">
      <c r="A30" s="1" t="s">
        <v>76</v>
      </c>
      <c r="B30" s="1">
        <v>24927</v>
      </c>
      <c r="C30" s="6">
        <f t="shared" si="6"/>
        <v>3665.5601315842264</v>
      </c>
      <c r="D30" s="6">
        <f t="shared" ref="D30:D46" si="7">D6/B6</f>
        <v>370.26389256629363</v>
      </c>
      <c r="E30" s="6">
        <f t="shared" ref="E30:E46" si="8">E6/B6</f>
        <v>361.88186504593415</v>
      </c>
      <c r="F30" s="6">
        <f t="shared" ref="F30:F46" si="9">F6/B6</f>
        <v>208.58511413326914</v>
      </c>
      <c r="G30" s="6">
        <f t="shared" ref="G30:G46" si="10">G6/B6</f>
        <v>162.4057459782565</v>
      </c>
      <c r="H30" s="6">
        <f t="shared" ref="H30:H46" si="11">H6/B6</f>
        <v>4768.6967493079792</v>
      </c>
      <c r="I30" s="82"/>
    </row>
    <row r="31" spans="1:11" x14ac:dyDescent="0.2">
      <c r="A31" s="1" t="s">
        <v>77</v>
      </c>
      <c r="B31" s="1">
        <v>14333</v>
      </c>
      <c r="C31" s="6">
        <f t="shared" si="6"/>
        <v>4043.0962331682135</v>
      </c>
      <c r="D31" s="6">
        <f t="shared" si="7"/>
        <v>462.67850415125935</v>
      </c>
      <c r="E31" s="6">
        <f t="shared" si="8"/>
        <v>429.21767529477432</v>
      </c>
      <c r="F31" s="6">
        <f t="shared" si="9"/>
        <v>153.89010674666852</v>
      </c>
      <c r="G31" s="6">
        <f t="shared" si="10"/>
        <v>100.4026261075839</v>
      </c>
      <c r="H31" s="6">
        <f t="shared" si="11"/>
        <v>5189.2851454684996</v>
      </c>
      <c r="I31" s="82"/>
    </row>
    <row r="32" spans="1:11" x14ac:dyDescent="0.2">
      <c r="A32" s="1" t="s">
        <v>78</v>
      </c>
      <c r="B32" s="1">
        <v>14333</v>
      </c>
      <c r="C32" s="6">
        <f t="shared" si="6"/>
        <v>3631.9025828507638</v>
      </c>
      <c r="D32" s="6">
        <f t="shared" si="7"/>
        <v>499.93195353380315</v>
      </c>
      <c r="E32" s="6">
        <f t="shared" si="8"/>
        <v>436.50235400823277</v>
      </c>
      <c r="F32" s="6">
        <f t="shared" si="9"/>
        <v>211.94224307542035</v>
      </c>
      <c r="G32" s="6">
        <f t="shared" si="10"/>
        <v>178.77262610758387</v>
      </c>
      <c r="H32" s="6">
        <f t="shared" si="11"/>
        <v>4959.0517595758038</v>
      </c>
      <c r="I32" s="82"/>
    </row>
    <row r="33" spans="1:9" x14ac:dyDescent="0.2">
      <c r="A33" s="1" t="s">
        <v>79</v>
      </c>
      <c r="B33" s="1">
        <v>6853</v>
      </c>
      <c r="C33" s="6">
        <f t="shared" si="6"/>
        <v>4168.6563125638404</v>
      </c>
      <c r="D33" s="6">
        <f t="shared" si="7"/>
        <v>705.1233882970962</v>
      </c>
      <c r="E33" s="6">
        <f t="shared" si="8"/>
        <v>576.8109543265723</v>
      </c>
      <c r="F33" s="6">
        <f t="shared" si="9"/>
        <v>253.67395593170875</v>
      </c>
      <c r="G33" s="6">
        <f t="shared" si="10"/>
        <v>127.96790456734277</v>
      </c>
      <c r="H33" s="6">
        <f t="shared" si="11"/>
        <v>5832.2325156865591</v>
      </c>
      <c r="I33" s="83"/>
    </row>
    <row r="34" spans="1:9" x14ac:dyDescent="0.2">
      <c r="A34" s="14" t="s">
        <v>80</v>
      </c>
      <c r="B34" s="14">
        <v>1707</v>
      </c>
      <c r="C34" s="7">
        <f t="shared" si="6"/>
        <v>3143.291769185706</v>
      </c>
      <c r="D34" s="7">
        <f t="shared" si="7"/>
        <v>888.20465729349746</v>
      </c>
      <c r="E34" s="7">
        <f t="shared" si="8"/>
        <v>505.55373169302868</v>
      </c>
      <c r="F34" s="7">
        <f t="shared" si="9"/>
        <v>121.84432923257175</v>
      </c>
      <c r="G34" s="7">
        <f t="shared" si="10"/>
        <v>13.320398359695371</v>
      </c>
      <c r="H34" s="7">
        <f t="shared" si="11"/>
        <v>4672.2148857644988</v>
      </c>
      <c r="I34" s="83"/>
    </row>
    <row r="35" spans="1:9" x14ac:dyDescent="0.2">
      <c r="A35" s="1" t="s">
        <v>103</v>
      </c>
      <c r="B35" s="6">
        <v>103635</v>
      </c>
      <c r="C35" s="6">
        <f t="shared" si="6"/>
        <v>3737.9082698895168</v>
      </c>
      <c r="D35" s="6">
        <f t="shared" si="7"/>
        <v>450.65597201717566</v>
      </c>
      <c r="E35" s="6">
        <f t="shared" si="8"/>
        <v>351.8034482558981</v>
      </c>
      <c r="F35" s="6">
        <f t="shared" si="9"/>
        <v>163.44314719930523</v>
      </c>
      <c r="G35" s="6">
        <f t="shared" si="10"/>
        <v>154.3935960824046</v>
      </c>
      <c r="H35" s="6">
        <f t="shared" si="11"/>
        <v>4858.2044334442999</v>
      </c>
      <c r="I35" s="83"/>
    </row>
    <row r="36" spans="1:9" x14ac:dyDescent="0.2">
      <c r="A36" s="1"/>
      <c r="B36" s="6"/>
      <c r="C36" s="6"/>
      <c r="D36" s="6"/>
      <c r="E36" s="6"/>
      <c r="F36" s="6"/>
      <c r="G36" s="6"/>
      <c r="H36" s="6"/>
      <c r="I36" s="83"/>
    </row>
    <row r="37" spans="1:9" x14ac:dyDescent="0.2">
      <c r="A37" s="1" t="s">
        <v>81</v>
      </c>
      <c r="B37" s="1">
        <v>20897</v>
      </c>
      <c r="C37" s="6">
        <f t="shared" ref="C37:C46" si="12">C13/B13</f>
        <v>4257.5780542661623</v>
      </c>
      <c r="D37" s="6">
        <f t="shared" si="7"/>
        <v>599.34192946355938</v>
      </c>
      <c r="E37" s="6">
        <f t="shared" si="8"/>
        <v>437.59907402976501</v>
      </c>
      <c r="F37" s="6">
        <f t="shared" si="9"/>
        <v>178.75341867253672</v>
      </c>
      <c r="G37" s="6">
        <f t="shared" si="10"/>
        <v>245.33499736804328</v>
      </c>
      <c r="H37" s="6">
        <f t="shared" si="11"/>
        <v>5718.6074738000661</v>
      </c>
      <c r="I37" s="83"/>
    </row>
    <row r="38" spans="1:9" x14ac:dyDescent="0.2">
      <c r="A38" s="1" t="s">
        <v>82</v>
      </c>
      <c r="B38" s="1">
        <v>10092</v>
      </c>
      <c r="C38" s="6">
        <f t="shared" si="12"/>
        <v>4180.9561870788748</v>
      </c>
      <c r="D38" s="6">
        <f t="shared" si="7"/>
        <v>585.7075594530321</v>
      </c>
      <c r="E38" s="6">
        <f t="shared" si="8"/>
        <v>568.145067380103</v>
      </c>
      <c r="F38" s="6">
        <f t="shared" si="9"/>
        <v>334.0680935394372</v>
      </c>
      <c r="G38" s="6">
        <f t="shared" si="10"/>
        <v>131.75120194213238</v>
      </c>
      <c r="H38" s="6">
        <f t="shared" si="11"/>
        <v>5800.6281093935795</v>
      </c>
      <c r="I38" s="83"/>
    </row>
    <row r="39" spans="1:9" x14ac:dyDescent="0.2">
      <c r="A39" s="1" t="s">
        <v>83</v>
      </c>
      <c r="B39" s="1">
        <v>4243</v>
      </c>
      <c r="C39" s="6">
        <f t="shared" si="12"/>
        <v>4197.5716332783413</v>
      </c>
      <c r="D39" s="6">
        <f t="shared" si="7"/>
        <v>823.84475842564223</v>
      </c>
      <c r="E39" s="6">
        <f t="shared" si="8"/>
        <v>602.39278812161206</v>
      </c>
      <c r="F39" s="6">
        <f t="shared" si="9"/>
        <v>283.60686071176053</v>
      </c>
      <c r="G39" s="6">
        <f t="shared" si="10"/>
        <v>186.56828658967711</v>
      </c>
      <c r="H39" s="6">
        <f t="shared" si="11"/>
        <v>6093.9843271270329</v>
      </c>
      <c r="I39" s="83"/>
    </row>
    <row r="40" spans="1:9" x14ac:dyDescent="0.2">
      <c r="A40" s="1" t="s">
        <v>84</v>
      </c>
      <c r="B40" s="1">
        <v>5294</v>
      </c>
      <c r="C40" s="6">
        <f t="shared" si="12"/>
        <v>5375.3830827351721</v>
      </c>
      <c r="D40" s="6">
        <f t="shared" si="7"/>
        <v>1109.763571968266</v>
      </c>
      <c r="E40" s="6">
        <f t="shared" si="8"/>
        <v>751.87631469588212</v>
      </c>
      <c r="F40" s="6">
        <f t="shared" si="9"/>
        <v>407.61433320740457</v>
      </c>
      <c r="G40" s="6">
        <f t="shared" si="10"/>
        <v>199.03333585190782</v>
      </c>
      <c r="H40" s="6">
        <f t="shared" si="11"/>
        <v>7843.6706384586323</v>
      </c>
      <c r="I40" s="83"/>
    </row>
    <row r="41" spans="1:9" x14ac:dyDescent="0.2">
      <c r="A41" s="14" t="s">
        <v>85</v>
      </c>
      <c r="B41" s="14">
        <v>1450</v>
      </c>
      <c r="C41" s="7">
        <f t="shared" si="12"/>
        <v>7780.3236275862064</v>
      </c>
      <c r="D41" s="7">
        <f t="shared" si="7"/>
        <v>1631.4622344827587</v>
      </c>
      <c r="E41" s="7">
        <f t="shared" si="8"/>
        <v>1187.9119379310346</v>
      </c>
      <c r="F41" s="7">
        <f t="shared" si="9"/>
        <v>536.08753103448282</v>
      </c>
      <c r="G41" s="7">
        <f t="shared" si="10"/>
        <v>324.45837241379309</v>
      </c>
      <c r="H41" s="7">
        <f t="shared" si="11"/>
        <v>11460.243703448277</v>
      </c>
      <c r="I41" s="83"/>
    </row>
    <row r="42" spans="1:9" x14ac:dyDescent="0.2">
      <c r="A42" s="1" t="s">
        <v>104</v>
      </c>
      <c r="B42" s="6">
        <v>41976</v>
      </c>
      <c r="C42" s="6">
        <f t="shared" si="12"/>
        <v>4495.7561983037922</v>
      </c>
      <c r="D42" s="6">
        <f t="shared" si="7"/>
        <v>718.78432651991614</v>
      </c>
      <c r="E42" s="6">
        <f t="shared" si="8"/>
        <v>551.19797003049359</v>
      </c>
      <c r="F42" s="6">
        <f t="shared" si="9"/>
        <v>267.90086001524679</v>
      </c>
      <c r="G42" s="6">
        <f t="shared" si="10"/>
        <v>208.98024895178202</v>
      </c>
      <c r="H42" s="6">
        <f t="shared" si="11"/>
        <v>6242.6196038212311</v>
      </c>
      <c r="I42" s="83"/>
    </row>
    <row r="43" spans="1:9" x14ac:dyDescent="0.2">
      <c r="A43" s="1"/>
      <c r="B43" s="6"/>
      <c r="C43" s="6"/>
      <c r="D43" s="6"/>
      <c r="E43" s="6"/>
      <c r="F43" s="6"/>
      <c r="G43" s="6"/>
      <c r="H43" s="6"/>
      <c r="I43" s="83"/>
    </row>
    <row r="44" spans="1:9" x14ac:dyDescent="0.2">
      <c r="A44" s="1" t="s">
        <v>86</v>
      </c>
      <c r="B44" s="1">
        <v>10074</v>
      </c>
      <c r="C44" s="6">
        <f t="shared" si="12"/>
        <v>3661.2519555290851</v>
      </c>
      <c r="D44" s="6">
        <f t="shared" si="7"/>
        <v>517.83298689696244</v>
      </c>
      <c r="E44" s="6">
        <f t="shared" si="8"/>
        <v>370.25839785586658</v>
      </c>
      <c r="F44" s="6">
        <f t="shared" si="9"/>
        <v>243.60145126067104</v>
      </c>
      <c r="G44" s="6">
        <f t="shared" si="10"/>
        <v>164.19095890410958</v>
      </c>
      <c r="H44" s="6">
        <f t="shared" si="11"/>
        <v>4957.1357504466951</v>
      </c>
      <c r="I44" s="83"/>
    </row>
    <row r="45" spans="1:9" x14ac:dyDescent="0.2">
      <c r="A45" s="14" t="s">
        <v>87</v>
      </c>
      <c r="B45" s="14">
        <v>6884</v>
      </c>
      <c r="C45" s="7">
        <f t="shared" si="12"/>
        <v>5142.0620889018019</v>
      </c>
      <c r="D45" s="7">
        <f t="shared" si="7"/>
        <v>827.29899041255089</v>
      </c>
      <c r="E45" s="7">
        <f t="shared" si="8"/>
        <v>748.97105752469486</v>
      </c>
      <c r="F45" s="7">
        <f t="shared" si="9"/>
        <v>357.33134514816965</v>
      </c>
      <c r="G45" s="7">
        <f t="shared" si="10"/>
        <v>110.16104299825683</v>
      </c>
      <c r="H45" s="7">
        <f t="shared" si="11"/>
        <v>7185.8245249854726</v>
      </c>
      <c r="I45" s="83"/>
    </row>
    <row r="46" spans="1:9" x14ac:dyDescent="0.2">
      <c r="A46" s="1" t="s">
        <v>105</v>
      </c>
      <c r="B46" s="6">
        <v>16958</v>
      </c>
      <c r="C46" s="6">
        <f t="shared" si="12"/>
        <v>4262.3780882179508</v>
      </c>
      <c r="D46" s="6">
        <f t="shared" si="7"/>
        <v>643.45888430239415</v>
      </c>
      <c r="E46" s="6">
        <f t="shared" si="8"/>
        <v>523.99456657624717</v>
      </c>
      <c r="F46" s="6">
        <f t="shared" si="9"/>
        <v>289.76943035735349</v>
      </c>
      <c r="G46" s="6">
        <f t="shared" si="10"/>
        <v>142.25783347092818</v>
      </c>
      <c r="H46" s="6">
        <f t="shared" si="11"/>
        <v>5861.858802924874</v>
      </c>
      <c r="I46" s="83"/>
    </row>
    <row r="47" spans="1:9" x14ac:dyDescent="0.2">
      <c r="A47" s="1"/>
      <c r="B47" s="6"/>
      <c r="C47" s="6"/>
      <c r="D47" s="6"/>
      <c r="E47" s="6"/>
      <c r="F47" s="6"/>
      <c r="G47" s="6"/>
      <c r="H47" s="6"/>
      <c r="I47" s="83"/>
    </row>
    <row r="48" spans="1:9" ht="13.5" thickBot="1" x14ac:dyDescent="0.25">
      <c r="A48" s="15" t="s">
        <v>112</v>
      </c>
      <c r="B48" s="8">
        <v>162569</v>
      </c>
      <c r="C48" s="8">
        <f>C24/B24</f>
        <v>3988.2966208194675</v>
      </c>
      <c r="D48" s="8">
        <f>D24/B24</f>
        <v>539.99962053035938</v>
      </c>
      <c r="E48" s="8">
        <f>E24/B24</f>
        <v>421.24966143606713</v>
      </c>
      <c r="F48" s="8">
        <f>F24/B24</f>
        <v>203.59199515282739</v>
      </c>
      <c r="G48" s="8">
        <f>G24/B24</f>
        <v>167.22218627167541</v>
      </c>
      <c r="H48" s="8">
        <f>H24/B24</f>
        <v>5320.360084210397</v>
      </c>
      <c r="I48" s="83"/>
    </row>
    <row r="49" spans="1:9" ht="13.5" thickTop="1" x14ac:dyDescent="0.2">
      <c r="A49" s="1"/>
      <c r="B49" s="6"/>
      <c r="C49" s="6"/>
      <c r="D49" s="6"/>
      <c r="E49" s="6"/>
      <c r="F49" s="6"/>
      <c r="G49" s="6"/>
      <c r="H49" s="6"/>
      <c r="I49" s="83"/>
    </row>
    <row r="50" spans="1:9" x14ac:dyDescent="0.2">
      <c r="A50" s="1"/>
      <c r="B50" s="6"/>
      <c r="C50" s="6"/>
      <c r="D50" s="6"/>
      <c r="E50" s="6"/>
      <c r="F50" s="6"/>
      <c r="G50" s="6"/>
      <c r="H50" s="6"/>
      <c r="I50" s="83"/>
    </row>
    <row r="51" spans="1:9" x14ac:dyDescent="0.2">
      <c r="A51" s="36" t="s">
        <v>247</v>
      </c>
      <c r="I51" s="82"/>
    </row>
    <row r="52" spans="1:9" x14ac:dyDescent="0.2">
      <c r="A52" s="22" t="s">
        <v>286</v>
      </c>
      <c r="B52" s="6"/>
      <c r="C52" s="6"/>
      <c r="D52" s="6"/>
      <c r="E52" s="6"/>
      <c r="F52" s="6"/>
      <c r="G52" s="6"/>
      <c r="H52" s="1"/>
      <c r="I52" s="83"/>
    </row>
    <row r="53" spans="1:9" ht="22.5" x14ac:dyDescent="0.2">
      <c r="A53" s="155" t="s">
        <v>245</v>
      </c>
      <c r="B53" s="161"/>
      <c r="C53" s="141" t="s">
        <v>89</v>
      </c>
      <c r="D53" s="141" t="s">
        <v>90</v>
      </c>
      <c r="E53" s="141" t="s">
        <v>91</v>
      </c>
      <c r="F53" s="141" t="s">
        <v>92</v>
      </c>
      <c r="G53" s="141" t="s">
        <v>93</v>
      </c>
      <c r="H53" s="160" t="s">
        <v>113</v>
      </c>
      <c r="I53" s="82"/>
    </row>
    <row r="54" spans="1:9" x14ac:dyDescent="0.2">
      <c r="A54" s="1" t="s">
        <v>102</v>
      </c>
      <c r="B54" s="6"/>
      <c r="C54" s="9">
        <f>C5/H5</f>
        <v>0.7952872743281526</v>
      </c>
      <c r="D54" s="9">
        <f>D5/H5</f>
        <v>9.0626096492329111E-2</v>
      </c>
      <c r="E54" s="9">
        <f>E5/H5</f>
        <v>5.341899165990633E-2</v>
      </c>
      <c r="F54" s="9">
        <f>F5/H5</f>
        <v>2.3791216398262354E-2</v>
      </c>
      <c r="G54" s="9">
        <f>G5/H5</f>
        <v>3.6876421121349465E-2</v>
      </c>
      <c r="H54" s="9">
        <f>SUM(C54:G54)</f>
        <v>0.99999999999999989</v>
      </c>
      <c r="I54" s="82"/>
    </row>
    <row r="55" spans="1:9" x14ac:dyDescent="0.2">
      <c r="A55" s="1" t="s">
        <v>76</v>
      </c>
      <c r="B55" s="6"/>
      <c r="C55" s="9">
        <f t="shared" ref="C55:C73" si="13">C6/H6</f>
        <v>0.76867125847668183</v>
      </c>
      <c r="D55" s="9">
        <f t="shared" ref="D55:D73" si="14">D6/H6</f>
        <v>7.7644671496468157E-2</v>
      </c>
      <c r="E55" s="9">
        <f t="shared" ref="E55:E73" si="15">E6/H6</f>
        <v>7.5886952781899886E-2</v>
      </c>
      <c r="F55" s="9">
        <f t="shared" ref="F55:F73" si="16">F6/H6</f>
        <v>4.3740486153483853E-2</v>
      </c>
      <c r="G55" s="9">
        <f t="shared" ref="G55:G73" si="17">G6/H6</f>
        <v>3.4056631091466318E-2</v>
      </c>
      <c r="H55" s="9">
        <f t="shared" ref="H55:H73" si="18">SUM(C55:G55)</f>
        <v>1</v>
      </c>
      <c r="I55" s="82"/>
    </row>
    <row r="56" spans="1:9" x14ac:dyDescent="0.2">
      <c r="A56" s="1" t="s">
        <v>77</v>
      </c>
      <c r="B56" s="6"/>
      <c r="C56" s="9">
        <f t="shared" si="13"/>
        <v>0.77912392937181596</v>
      </c>
      <c r="D56" s="9">
        <f t="shared" si="14"/>
        <v>8.9160354688793603E-2</v>
      </c>
      <c r="E56" s="9">
        <f t="shared" si="15"/>
        <v>8.2712293362715877E-2</v>
      </c>
      <c r="F56" s="9">
        <f t="shared" si="16"/>
        <v>2.9655357613379903E-2</v>
      </c>
      <c r="G56" s="9">
        <f t="shared" si="17"/>
        <v>1.9348064963294543E-2</v>
      </c>
      <c r="H56" s="9">
        <f t="shared" si="18"/>
        <v>0.99999999999999989</v>
      </c>
      <c r="I56" s="82"/>
    </row>
    <row r="57" spans="1:9" x14ac:dyDescent="0.2">
      <c r="A57" s="1" t="s">
        <v>78</v>
      </c>
      <c r="B57" s="6"/>
      <c r="C57" s="9">
        <f t="shared" si="13"/>
        <v>0.73237843824429782</v>
      </c>
      <c r="D57" s="9">
        <f t="shared" si="14"/>
        <v>0.10081200555498281</v>
      </c>
      <c r="E57" s="9">
        <f t="shared" si="15"/>
        <v>8.802133455561495E-2</v>
      </c>
      <c r="F57" s="9">
        <f t="shared" si="16"/>
        <v>4.2738461575071329E-2</v>
      </c>
      <c r="G57" s="9">
        <f t="shared" si="17"/>
        <v>3.6049760070033243E-2</v>
      </c>
      <c r="H57" s="9">
        <f t="shared" si="18"/>
        <v>1.0000000000000002</v>
      </c>
      <c r="I57" s="82"/>
    </row>
    <row r="58" spans="1:9" x14ac:dyDescent="0.2">
      <c r="A58" s="1" t="s">
        <v>79</v>
      </c>
      <c r="B58" s="6"/>
      <c r="C58" s="9">
        <f t="shared" si="13"/>
        <v>0.71476168025737818</v>
      </c>
      <c r="D58" s="9">
        <f t="shared" si="14"/>
        <v>0.12090111057825176</v>
      </c>
      <c r="E58" s="9">
        <f t="shared" si="15"/>
        <v>9.8900541563657338E-2</v>
      </c>
      <c r="F58" s="9">
        <f t="shared" si="16"/>
        <v>4.3495171917343686E-2</v>
      </c>
      <c r="G58" s="9">
        <f t="shared" si="17"/>
        <v>2.1941495683369311E-2</v>
      </c>
      <c r="H58" s="9">
        <f t="shared" si="18"/>
        <v>1.0000000000000002</v>
      </c>
      <c r="I58" s="82"/>
    </row>
    <row r="59" spans="1:9" x14ac:dyDescent="0.2">
      <c r="A59" s="14" t="s">
        <v>80</v>
      </c>
      <c r="B59" s="7"/>
      <c r="C59" s="10">
        <f t="shared" si="13"/>
        <v>0.67276267167480241</v>
      </c>
      <c r="D59" s="10">
        <f t="shared" si="14"/>
        <v>0.19010355452608071</v>
      </c>
      <c r="E59" s="10">
        <f t="shared" si="15"/>
        <v>0.10820429797297447</v>
      </c>
      <c r="F59" s="10">
        <f t="shared" si="16"/>
        <v>2.6078494292677376E-2</v>
      </c>
      <c r="G59" s="10">
        <f t="shared" si="17"/>
        <v>2.850981533465107E-3</v>
      </c>
      <c r="H59" s="10">
        <f t="shared" si="18"/>
        <v>1.0000000000000002</v>
      </c>
      <c r="I59" s="82"/>
    </row>
    <row r="60" spans="1:9" x14ac:dyDescent="0.2">
      <c r="A60" s="1" t="s">
        <v>108</v>
      </c>
      <c r="B60" s="6"/>
      <c r="C60" s="9">
        <f t="shared" si="13"/>
        <v>0.76940118949244551</v>
      </c>
      <c r="D60" s="9">
        <f t="shared" si="14"/>
        <v>9.2761837874672556E-2</v>
      </c>
      <c r="E60" s="9">
        <f t="shared" si="15"/>
        <v>7.2414294844007118E-2</v>
      </c>
      <c r="F60" s="9">
        <f t="shared" si="16"/>
        <v>3.3642706773339644E-2</v>
      </c>
      <c r="G60" s="9">
        <f t="shared" si="17"/>
        <v>3.177997101553523E-2</v>
      </c>
      <c r="H60" s="9">
        <f t="shared" si="18"/>
        <v>1</v>
      </c>
      <c r="I60" s="82"/>
    </row>
    <row r="61" spans="1:9" x14ac:dyDescent="0.2">
      <c r="A61" s="1"/>
      <c r="B61" s="6"/>
      <c r="C61" s="9"/>
      <c r="D61" s="9"/>
      <c r="E61" s="9"/>
      <c r="F61" s="9"/>
      <c r="G61" s="9"/>
      <c r="H61" s="9"/>
      <c r="I61" s="82"/>
    </row>
    <row r="62" spans="1:9" x14ac:dyDescent="0.2">
      <c r="A62" s="1" t="s">
        <v>81</v>
      </c>
      <c r="B62" s="6"/>
      <c r="C62" s="9">
        <f t="shared" si="13"/>
        <v>0.74451307836258318</v>
      </c>
      <c r="D62" s="9">
        <f t="shared" si="14"/>
        <v>0.10480557237220048</v>
      </c>
      <c r="E62" s="9">
        <f t="shared" si="15"/>
        <v>7.6521963788323544E-2</v>
      </c>
      <c r="F62" s="9">
        <f t="shared" si="16"/>
        <v>3.1258207437999494E-2</v>
      </c>
      <c r="G62" s="9">
        <f t="shared" si="17"/>
        <v>4.2901178038893435E-2</v>
      </c>
      <c r="H62" s="9">
        <f t="shared" si="18"/>
        <v>1</v>
      </c>
      <c r="I62" s="82"/>
    </row>
    <row r="63" spans="1:9" x14ac:dyDescent="0.2">
      <c r="A63" s="1" t="s">
        <v>82</v>
      </c>
      <c r="B63" s="6"/>
      <c r="C63" s="9">
        <f t="shared" si="13"/>
        <v>0.72077645872663409</v>
      </c>
      <c r="D63" s="9">
        <f t="shared" si="14"/>
        <v>0.10097312711782593</v>
      </c>
      <c r="E63" s="9">
        <f t="shared" si="15"/>
        <v>9.7945439125815492E-2</v>
      </c>
      <c r="F63" s="9">
        <f t="shared" si="16"/>
        <v>5.7591710283657886E-2</v>
      </c>
      <c r="G63" s="9">
        <f t="shared" si="17"/>
        <v>2.2713264746066639E-2</v>
      </c>
      <c r="H63" s="9">
        <f t="shared" si="18"/>
        <v>1</v>
      </c>
      <c r="I63" s="82"/>
    </row>
    <row r="64" spans="1:9" x14ac:dyDescent="0.2">
      <c r="A64" s="1" t="s">
        <v>83</v>
      </c>
      <c r="B64" s="6"/>
      <c r="C64" s="9">
        <f t="shared" si="13"/>
        <v>0.68880578090643985</v>
      </c>
      <c r="D64" s="9">
        <f t="shared" si="14"/>
        <v>0.1351898387329851</v>
      </c>
      <c r="E64" s="9">
        <f t="shared" si="15"/>
        <v>9.8850399965765265E-2</v>
      </c>
      <c r="F64" s="9">
        <f t="shared" si="16"/>
        <v>4.6538823450743109E-2</v>
      </c>
      <c r="G64" s="9">
        <f t="shared" si="17"/>
        <v>3.0615156944066749E-2</v>
      </c>
      <c r="H64" s="9">
        <f t="shared" si="18"/>
        <v>1</v>
      </c>
      <c r="I64" s="82"/>
    </row>
    <row r="65" spans="1:9" x14ac:dyDescent="0.2">
      <c r="A65" s="1" t="s">
        <v>84</v>
      </c>
      <c r="B65" s="6"/>
      <c r="C65" s="9">
        <f t="shared" si="13"/>
        <v>0.68531473725820458</v>
      </c>
      <c r="D65" s="9">
        <f t="shared" si="14"/>
        <v>0.14148523352407702</v>
      </c>
      <c r="E65" s="9">
        <f t="shared" si="15"/>
        <v>9.5857711185541844E-2</v>
      </c>
      <c r="F65" s="9">
        <f t="shared" si="16"/>
        <v>5.1967293375223274E-2</v>
      </c>
      <c r="G65" s="9">
        <f t="shared" si="17"/>
        <v>2.537502465695322E-2</v>
      </c>
      <c r="H65" s="9">
        <f t="shared" si="18"/>
        <v>1</v>
      </c>
      <c r="I65" s="82"/>
    </row>
    <row r="66" spans="1:9" x14ac:dyDescent="0.2">
      <c r="A66" s="14" t="s">
        <v>85</v>
      </c>
      <c r="B66" s="7"/>
      <c r="C66" s="10">
        <f t="shared" si="13"/>
        <v>0.67889687417774391</v>
      </c>
      <c r="D66" s="10">
        <f t="shared" si="14"/>
        <v>0.14235842419231168</v>
      </c>
      <c r="E66" s="10">
        <f t="shared" si="15"/>
        <v>0.10365503288325389</v>
      </c>
      <c r="F66" s="10">
        <f t="shared" si="16"/>
        <v>4.6778021908310659E-2</v>
      </c>
      <c r="G66" s="10">
        <f t="shared" si="17"/>
        <v>2.8311646838379775E-2</v>
      </c>
      <c r="H66" s="10">
        <f t="shared" si="18"/>
        <v>1</v>
      </c>
      <c r="I66" s="82"/>
    </row>
    <row r="67" spans="1:9" x14ac:dyDescent="0.2">
      <c r="A67" s="1" t="s">
        <v>109</v>
      </c>
      <c r="B67" s="6"/>
      <c r="C67" s="9">
        <f t="shared" si="13"/>
        <v>0.72017141578702804</v>
      </c>
      <c r="D67" s="9">
        <f t="shared" si="14"/>
        <v>0.11514145857612948</v>
      </c>
      <c r="E67" s="9">
        <f t="shared" si="15"/>
        <v>8.8295940648553103E-2</v>
      </c>
      <c r="F67" s="9">
        <f t="shared" si="16"/>
        <v>4.2914814135280546E-2</v>
      </c>
      <c r="G67" s="9">
        <f t="shared" si="17"/>
        <v>3.3476370853008738E-2</v>
      </c>
      <c r="H67" s="9">
        <f t="shared" si="18"/>
        <v>0.99999999999999978</v>
      </c>
      <c r="I67" s="82"/>
    </row>
    <row r="68" spans="1:9" x14ac:dyDescent="0.2">
      <c r="A68" s="1"/>
      <c r="B68" s="6"/>
      <c r="C68" s="9"/>
      <c r="D68" s="9"/>
      <c r="E68" s="9"/>
      <c r="F68" s="9"/>
      <c r="G68" s="9"/>
      <c r="H68" s="9"/>
      <c r="I68" s="82"/>
    </row>
    <row r="69" spans="1:9" x14ac:dyDescent="0.2">
      <c r="A69" s="1" t="s">
        <v>86</v>
      </c>
      <c r="B69" s="6"/>
      <c r="C69" s="9">
        <f t="shared" si="13"/>
        <v>0.73858214498143693</v>
      </c>
      <c r="D69" s="9">
        <f t="shared" si="14"/>
        <v>0.10446213558914536</v>
      </c>
      <c r="E69" s="9">
        <f t="shared" si="15"/>
        <v>7.4692002901575183E-2</v>
      </c>
      <c r="F69" s="9">
        <f t="shared" si="16"/>
        <v>4.9141573586868131E-2</v>
      </c>
      <c r="G69" s="9">
        <f t="shared" si="17"/>
        <v>3.3122142940974347E-2</v>
      </c>
      <c r="H69" s="9">
        <f t="shared" si="18"/>
        <v>0.99999999999999989</v>
      </c>
      <c r="I69" s="82"/>
    </row>
    <row r="70" spans="1:9" x14ac:dyDescent="0.2">
      <c r="A70" s="14" t="s">
        <v>87</v>
      </c>
      <c r="B70" s="7"/>
      <c r="C70" s="10">
        <f t="shared" si="13"/>
        <v>0.7155841436181184</v>
      </c>
      <c r="D70" s="10">
        <f t="shared" si="14"/>
        <v>0.1151293059740035</v>
      </c>
      <c r="E70" s="10">
        <f t="shared" si="15"/>
        <v>0.10422896564207558</v>
      </c>
      <c r="F70" s="10">
        <f t="shared" si="16"/>
        <v>4.9727257311351067E-2</v>
      </c>
      <c r="G70" s="10">
        <f t="shared" si="17"/>
        <v>1.5330327454451656E-2</v>
      </c>
      <c r="H70" s="10">
        <f t="shared" si="18"/>
        <v>1.0000000000000002</v>
      </c>
      <c r="I70" s="82"/>
    </row>
    <row r="71" spans="1:9" x14ac:dyDescent="0.2">
      <c r="A71" s="1" t="s">
        <v>110</v>
      </c>
      <c r="B71" s="6"/>
      <c r="C71" s="9">
        <f t="shared" si="13"/>
        <v>0.72713762502965174</v>
      </c>
      <c r="D71" s="9">
        <f t="shared" si="14"/>
        <v>0.1097704509670771</v>
      </c>
      <c r="E71" s="9">
        <f t="shared" si="15"/>
        <v>8.9390513178992159E-2</v>
      </c>
      <c r="F71" s="9">
        <f t="shared" si="16"/>
        <v>4.9433028003466765E-2</v>
      </c>
      <c r="G71" s="9">
        <f t="shared" si="17"/>
        <v>2.4268382820812097E-2</v>
      </c>
      <c r="H71" s="9">
        <f t="shared" si="18"/>
        <v>0.99999999999999989</v>
      </c>
      <c r="I71" s="82"/>
    </row>
    <row r="72" spans="1:9" x14ac:dyDescent="0.2">
      <c r="A72" s="1"/>
      <c r="B72" s="6"/>
      <c r="C72" s="9"/>
      <c r="D72" s="9"/>
      <c r="E72" s="9"/>
      <c r="F72" s="9"/>
      <c r="G72" s="9"/>
      <c r="H72" s="9"/>
      <c r="I72" s="82"/>
    </row>
    <row r="73" spans="1:9" ht="13.5" thickBot="1" x14ac:dyDescent="0.25">
      <c r="A73" s="15" t="s">
        <v>111</v>
      </c>
      <c r="B73" s="8"/>
      <c r="C73" s="11">
        <f t="shared" si="13"/>
        <v>0.74962907729794692</v>
      </c>
      <c r="D73" s="11">
        <f t="shared" si="14"/>
        <v>0.10149681825727433</v>
      </c>
      <c r="E73" s="11">
        <f t="shared" si="15"/>
        <v>7.9176908098051293E-2</v>
      </c>
      <c r="F73" s="11">
        <f t="shared" si="16"/>
        <v>3.8266581947534253E-2</v>
      </c>
      <c r="G73" s="11">
        <f t="shared" si="17"/>
        <v>3.1430614399193077E-2</v>
      </c>
      <c r="H73" s="11">
        <f t="shared" si="18"/>
        <v>0.99999999999999989</v>
      </c>
      <c r="I73" s="82"/>
    </row>
    <row r="74" spans="1:9" ht="13.5" thickTop="1" x14ac:dyDescent="0.2">
      <c r="A74" s="1"/>
      <c r="B74" s="6"/>
      <c r="C74" s="6"/>
      <c r="D74" s="6"/>
      <c r="E74" s="6"/>
      <c r="F74" s="6"/>
      <c r="G74" s="6"/>
      <c r="H74" s="1"/>
      <c r="I74" s="82"/>
    </row>
    <row r="75" spans="1:9" x14ac:dyDescent="0.2">
      <c r="I75" s="82"/>
    </row>
    <row r="76" spans="1:9" x14ac:dyDescent="0.2">
      <c r="I76" s="82"/>
    </row>
    <row r="77" spans="1:9" x14ac:dyDescent="0.2">
      <c r="I77" s="82"/>
    </row>
    <row r="78" spans="1:9"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0"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1259</v>
      </c>
      <c r="D2" s="22"/>
      <c r="E2" s="22"/>
      <c r="F2" s="22"/>
      <c r="G2" s="22"/>
      <c r="H2" s="22"/>
      <c r="I2" s="22"/>
    </row>
    <row r="3" spans="1:26" ht="22.5" x14ac:dyDescent="0.2">
      <c r="A3" s="20" t="s">
        <v>245</v>
      </c>
      <c r="B3" s="21" t="s">
        <v>1260</v>
      </c>
      <c r="C3" s="202" t="s">
        <v>1261</v>
      </c>
      <c r="D3" s="202" t="s">
        <v>1262</v>
      </c>
      <c r="E3" s="202" t="s">
        <v>1263</v>
      </c>
      <c r="F3" s="202" t="s">
        <v>1264</v>
      </c>
      <c r="G3" s="202" t="s">
        <v>1265</v>
      </c>
      <c r="H3" s="202" t="s">
        <v>1266</v>
      </c>
      <c r="I3" s="202" t="s">
        <v>1267</v>
      </c>
      <c r="J3" s="202"/>
      <c r="L3" s="287"/>
      <c r="M3" s="278"/>
      <c r="N3" s="290"/>
      <c r="O3" s="290"/>
      <c r="P3" s="290"/>
      <c r="Q3" s="290"/>
      <c r="R3" s="290"/>
      <c r="S3" s="290"/>
      <c r="T3" s="290"/>
    </row>
    <row r="4" spans="1:26" ht="15" x14ac:dyDescent="0.25">
      <c r="A4" s="33" t="s">
        <v>102</v>
      </c>
      <c r="B4" s="214">
        <v>40133</v>
      </c>
      <c r="C4" s="214">
        <v>113047649.75</v>
      </c>
      <c r="D4" s="214">
        <v>23690486.990000002</v>
      </c>
      <c r="E4" s="214">
        <v>38059745.439999998</v>
      </c>
      <c r="F4" s="214">
        <v>178677703.12</v>
      </c>
      <c r="G4" s="214">
        <v>41456084.659999996</v>
      </c>
      <c r="H4" s="229">
        <f t="shared" ref="H4:H9" si="0">SUM(C4:G4)</f>
        <v>394931669.96000004</v>
      </c>
      <c r="I4" s="321">
        <f t="shared" ref="I4:I10" si="1">H4/B4</f>
        <v>9840.5718476067086</v>
      </c>
      <c r="J4" s="221"/>
      <c r="L4" s="283"/>
      <c r="M4" s="289"/>
      <c r="N4" s="289"/>
      <c r="O4" s="289"/>
      <c r="P4" s="289"/>
      <c r="Q4" s="289"/>
      <c r="R4" s="289"/>
      <c r="S4" s="289"/>
      <c r="T4" s="289"/>
      <c r="U4" s="268"/>
      <c r="V4" s="268"/>
      <c r="W4" s="268"/>
      <c r="X4" s="268"/>
      <c r="Y4" s="268"/>
      <c r="Z4" s="268"/>
    </row>
    <row r="5" spans="1:26" ht="15" x14ac:dyDescent="0.25">
      <c r="A5" s="33" t="s">
        <v>76</v>
      </c>
      <c r="B5" s="214">
        <v>20955</v>
      </c>
      <c r="C5" s="214">
        <v>50176920.529999994</v>
      </c>
      <c r="D5" s="214">
        <v>22165201.549999997</v>
      </c>
      <c r="E5" s="214">
        <v>20029577.710000001</v>
      </c>
      <c r="F5" s="214">
        <v>98145462.730000004</v>
      </c>
      <c r="G5" s="214">
        <v>37775723.609999999</v>
      </c>
      <c r="H5" s="229">
        <f t="shared" si="0"/>
        <v>228292886.13</v>
      </c>
      <c r="I5" s="321">
        <f t="shared" si="1"/>
        <v>10894.435033643522</v>
      </c>
      <c r="J5" s="221"/>
      <c r="L5" s="283"/>
      <c r="M5" s="289"/>
      <c r="N5" s="289"/>
      <c r="O5" s="289"/>
      <c r="P5" s="289"/>
      <c r="Q5" s="289"/>
      <c r="R5" s="289"/>
      <c r="S5" s="289"/>
      <c r="T5" s="289"/>
      <c r="U5" s="268"/>
      <c r="V5" s="268"/>
      <c r="W5" s="268"/>
      <c r="X5" s="268"/>
      <c r="Y5" s="268"/>
      <c r="Z5" s="268"/>
    </row>
    <row r="6" spans="1:26" ht="15" x14ac:dyDescent="0.25">
      <c r="A6" s="33" t="s">
        <v>77</v>
      </c>
      <c r="B6" s="214">
        <v>13511</v>
      </c>
      <c r="C6" s="214">
        <v>29468024.780000001</v>
      </c>
      <c r="D6" s="214">
        <v>10952864.669999998</v>
      </c>
      <c r="E6" s="214">
        <v>13118065.259999998</v>
      </c>
      <c r="F6" s="214">
        <v>65652281.829999991</v>
      </c>
      <c r="G6" s="214">
        <v>32636211.659999996</v>
      </c>
      <c r="H6" s="229">
        <f t="shared" si="0"/>
        <v>151827448.19999999</v>
      </c>
      <c r="I6" s="321">
        <f t="shared" si="1"/>
        <v>11237.321308563392</v>
      </c>
      <c r="J6" s="221"/>
      <c r="L6" s="283"/>
      <c r="M6" s="289"/>
      <c r="N6" s="289"/>
      <c r="O6" s="289"/>
      <c r="P6" s="289"/>
      <c r="Q6" s="289"/>
      <c r="R6" s="289"/>
      <c r="S6" s="289"/>
      <c r="T6" s="289"/>
      <c r="U6" s="268"/>
      <c r="V6" s="268"/>
      <c r="W6" s="268"/>
      <c r="X6" s="268"/>
      <c r="Y6" s="268"/>
      <c r="Z6" s="268"/>
    </row>
    <row r="7" spans="1:26" ht="15" x14ac:dyDescent="0.25">
      <c r="A7" s="33" t="s">
        <v>78</v>
      </c>
      <c r="B7" s="214">
        <v>12550</v>
      </c>
      <c r="C7" s="214">
        <v>34276121.340000004</v>
      </c>
      <c r="D7" s="214">
        <v>17449314.409999993</v>
      </c>
      <c r="E7" s="214">
        <v>12589245.059999999</v>
      </c>
      <c r="F7" s="214">
        <v>57628249.619999982</v>
      </c>
      <c r="G7" s="214">
        <v>16976051.210000005</v>
      </c>
      <c r="H7" s="229">
        <f t="shared" si="0"/>
        <v>138918981.63999999</v>
      </c>
      <c r="I7" s="321">
        <f t="shared" si="1"/>
        <v>11069.241564940237</v>
      </c>
      <c r="J7" s="221"/>
      <c r="L7" s="283"/>
      <c r="M7" s="289"/>
      <c r="N7" s="289"/>
      <c r="O7" s="289"/>
      <c r="P7" s="289"/>
      <c r="Q7" s="289"/>
      <c r="R7" s="289"/>
      <c r="S7" s="289"/>
      <c r="T7" s="289"/>
      <c r="U7" s="268"/>
      <c r="V7" s="268"/>
      <c r="W7" s="268"/>
      <c r="X7" s="268"/>
      <c r="Y7" s="268"/>
      <c r="Z7" s="268"/>
    </row>
    <row r="8" spans="1:26" ht="15" x14ac:dyDescent="0.25">
      <c r="A8" s="33" t="s">
        <v>79</v>
      </c>
      <c r="B8" s="214">
        <v>4913</v>
      </c>
      <c r="C8" s="214">
        <v>16661017.140000001</v>
      </c>
      <c r="D8" s="214">
        <v>9294380.3899999987</v>
      </c>
      <c r="E8" s="214">
        <v>5566049.3799999999</v>
      </c>
      <c r="F8" s="214">
        <v>23535668.910000004</v>
      </c>
      <c r="G8" s="214">
        <v>10732320.719999999</v>
      </c>
      <c r="H8" s="229">
        <f t="shared" si="0"/>
        <v>65789436.540000007</v>
      </c>
      <c r="I8" s="321">
        <f t="shared" si="1"/>
        <v>13390.888772644006</v>
      </c>
      <c r="J8" s="221"/>
      <c r="L8" s="283"/>
      <c r="M8" s="289"/>
      <c r="N8" s="289"/>
      <c r="O8" s="289"/>
      <c r="P8" s="289"/>
      <c r="Q8" s="289"/>
      <c r="R8" s="289"/>
      <c r="S8" s="289"/>
      <c r="T8" s="289"/>
      <c r="U8" s="268"/>
      <c r="V8" s="268"/>
      <c r="W8" s="268"/>
      <c r="X8" s="268"/>
      <c r="Y8" s="268"/>
      <c r="Z8" s="268"/>
    </row>
    <row r="9" spans="1:26" ht="15" x14ac:dyDescent="0.25">
      <c r="A9" s="33" t="s">
        <v>80</v>
      </c>
      <c r="B9" s="220">
        <v>1676</v>
      </c>
      <c r="C9" s="220">
        <v>5761988.0000000019</v>
      </c>
      <c r="D9" s="220">
        <v>4174761.3500000006</v>
      </c>
      <c r="E9" s="220">
        <v>2147458.5100000007</v>
      </c>
      <c r="F9" s="220">
        <v>8653974.2900000028</v>
      </c>
      <c r="G9" s="220">
        <v>3228803.76</v>
      </c>
      <c r="H9" s="238">
        <f t="shared" si="0"/>
        <v>23966985.910000004</v>
      </c>
      <c r="I9" s="322">
        <f t="shared" si="1"/>
        <v>14300.110924821005</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93738</v>
      </c>
      <c r="C10" s="229">
        <f t="shared" si="2"/>
        <v>249391721.54000002</v>
      </c>
      <c r="D10" s="229">
        <f t="shared" si="2"/>
        <v>87727009.359999985</v>
      </c>
      <c r="E10" s="229">
        <f t="shared" si="2"/>
        <v>91510141.359999999</v>
      </c>
      <c r="F10" s="229">
        <f t="shared" si="2"/>
        <v>432293340.50000006</v>
      </c>
      <c r="G10" s="229">
        <f t="shared" si="2"/>
        <v>142805195.62</v>
      </c>
      <c r="H10" s="229">
        <f t="shared" si="2"/>
        <v>1003727408.3799999</v>
      </c>
      <c r="I10" s="321">
        <f t="shared" si="1"/>
        <v>10707.796287311441</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21295</v>
      </c>
      <c r="C13" s="214">
        <v>74037841.890000015</v>
      </c>
      <c r="D13" s="214">
        <v>18951948.450000003</v>
      </c>
      <c r="E13" s="214">
        <v>22220636.969999999</v>
      </c>
      <c r="F13" s="214">
        <v>102674918.23999999</v>
      </c>
      <c r="G13" s="214">
        <v>11731456.180000002</v>
      </c>
      <c r="H13" s="229">
        <f>SUM(C13:G13)</f>
        <v>229616801.73000002</v>
      </c>
      <c r="I13" s="321">
        <f t="shared" ref="I13:I18" si="3">H13/B13</f>
        <v>10782.662678093449</v>
      </c>
      <c r="J13" s="221"/>
      <c r="L13" s="283"/>
      <c r="M13" s="289"/>
      <c r="N13" s="289"/>
      <c r="O13" s="289"/>
      <c r="P13" s="289"/>
      <c r="Q13" s="289"/>
      <c r="R13" s="289"/>
      <c r="S13" s="289"/>
      <c r="T13" s="289"/>
      <c r="U13" s="268"/>
      <c r="V13" s="268"/>
      <c r="W13" s="268"/>
      <c r="X13" s="268"/>
      <c r="Y13" s="268"/>
      <c r="Z13" s="268"/>
    </row>
    <row r="14" spans="1:26" ht="15" x14ac:dyDescent="0.25">
      <c r="A14" s="33" t="s">
        <v>82</v>
      </c>
      <c r="B14" s="214">
        <v>6285</v>
      </c>
      <c r="C14" s="214">
        <v>22903279.269999996</v>
      </c>
      <c r="D14" s="214">
        <v>11784781.85</v>
      </c>
      <c r="E14" s="214">
        <v>7417897.7700000005</v>
      </c>
      <c r="F14" s="214">
        <v>31029422.799999997</v>
      </c>
      <c r="G14" s="214">
        <v>7591602.709999999</v>
      </c>
      <c r="H14" s="229">
        <f>SUM(C14:G14)</f>
        <v>80726984.399999991</v>
      </c>
      <c r="I14" s="321">
        <f t="shared" si="3"/>
        <v>12844.388926014319</v>
      </c>
      <c r="J14" s="221"/>
      <c r="L14" s="283"/>
      <c r="M14" s="289"/>
      <c r="N14" s="289"/>
      <c r="O14" s="289"/>
      <c r="P14" s="289"/>
      <c r="Q14" s="289"/>
      <c r="R14" s="289"/>
      <c r="S14" s="289"/>
      <c r="T14" s="289"/>
      <c r="U14" s="268"/>
      <c r="V14" s="268"/>
      <c r="W14" s="268"/>
      <c r="X14" s="268"/>
      <c r="Y14" s="268"/>
      <c r="Z14" s="268"/>
    </row>
    <row r="15" spans="1:26" ht="15" x14ac:dyDescent="0.25">
      <c r="A15" s="33" t="s">
        <v>83</v>
      </c>
      <c r="B15" s="214">
        <v>4540</v>
      </c>
      <c r="C15" s="214">
        <v>15264801.930000002</v>
      </c>
      <c r="D15" s="214">
        <v>7078416.0300000003</v>
      </c>
      <c r="E15" s="214">
        <v>5689737.1600000001</v>
      </c>
      <c r="F15" s="214">
        <v>25625889.399999999</v>
      </c>
      <c r="G15" s="214">
        <v>5112417.8299999991</v>
      </c>
      <c r="H15" s="229">
        <f>SUM(C15:G15)</f>
        <v>58771262.349999994</v>
      </c>
      <c r="I15" s="321">
        <f t="shared" si="3"/>
        <v>12945.211971365638</v>
      </c>
      <c r="J15" s="221"/>
      <c r="L15" s="283"/>
      <c r="M15" s="289"/>
      <c r="N15" s="289"/>
      <c r="O15" s="289"/>
      <c r="P15" s="289"/>
      <c r="Q15" s="289"/>
      <c r="R15" s="289"/>
      <c r="S15" s="289"/>
      <c r="T15" s="289"/>
      <c r="U15" s="268"/>
      <c r="V15" s="268"/>
      <c r="W15" s="268"/>
      <c r="X15" s="268"/>
      <c r="Y15" s="268"/>
      <c r="Z15" s="268"/>
    </row>
    <row r="16" spans="1:26" ht="15" x14ac:dyDescent="0.25">
      <c r="A16" s="33" t="s">
        <v>84</v>
      </c>
      <c r="B16" s="214">
        <v>4531</v>
      </c>
      <c r="C16" s="214">
        <v>18763762.759999998</v>
      </c>
      <c r="D16" s="214">
        <v>9212192.2900000047</v>
      </c>
      <c r="E16" s="214">
        <v>6805589.96</v>
      </c>
      <c r="F16" s="214">
        <v>28977645.319999997</v>
      </c>
      <c r="G16" s="214">
        <v>8781019.0800000001</v>
      </c>
      <c r="H16" s="229">
        <f>SUM(C16:G16)</f>
        <v>72540209.409999996</v>
      </c>
      <c r="I16" s="321">
        <f t="shared" si="3"/>
        <v>16009.757097770911</v>
      </c>
      <c r="J16" s="221"/>
      <c r="L16" s="283"/>
      <c r="M16" s="289"/>
      <c r="N16" s="289"/>
      <c r="O16" s="289"/>
      <c r="P16" s="289"/>
      <c r="Q16" s="289"/>
      <c r="R16" s="289"/>
      <c r="S16" s="289"/>
      <c r="T16" s="289"/>
      <c r="U16" s="268"/>
      <c r="V16" s="268"/>
      <c r="W16" s="268"/>
      <c r="X16" s="268"/>
      <c r="Y16" s="268"/>
      <c r="Z16" s="268"/>
    </row>
    <row r="17" spans="1:26" ht="15" x14ac:dyDescent="0.25">
      <c r="A17" s="33" t="s">
        <v>85</v>
      </c>
      <c r="B17" s="220">
        <v>1583</v>
      </c>
      <c r="C17" s="220">
        <v>11280025.889999999</v>
      </c>
      <c r="D17" s="220">
        <v>7690447.8800000018</v>
      </c>
      <c r="E17" s="220">
        <v>3624759.6999999993</v>
      </c>
      <c r="F17" s="220">
        <v>14185124.390000002</v>
      </c>
      <c r="G17" s="220">
        <v>3799702.3</v>
      </c>
      <c r="H17" s="238">
        <f>SUM(C17:G17)</f>
        <v>40580060.159999996</v>
      </c>
      <c r="I17" s="322">
        <f t="shared" si="3"/>
        <v>25634.9085028427</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38234</v>
      </c>
      <c r="C18" s="229">
        <f t="shared" si="4"/>
        <v>142249711.74000001</v>
      </c>
      <c r="D18" s="229">
        <f t="shared" si="4"/>
        <v>54717786.500000015</v>
      </c>
      <c r="E18" s="229">
        <f t="shared" si="4"/>
        <v>45758621.560000002</v>
      </c>
      <c r="F18" s="229">
        <f t="shared" si="4"/>
        <v>202493000.15000001</v>
      </c>
      <c r="G18" s="229">
        <f t="shared" si="4"/>
        <v>37016198.099999994</v>
      </c>
      <c r="H18" s="229">
        <f t="shared" si="4"/>
        <v>482235318.04999995</v>
      </c>
      <c r="I18" s="321">
        <f t="shared" si="3"/>
        <v>12612.735210807134</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10038</v>
      </c>
      <c r="C21" s="214">
        <v>24711044.399999999</v>
      </c>
      <c r="D21" s="214">
        <v>13520018.82</v>
      </c>
      <c r="E21" s="214">
        <v>8788855.1799999997</v>
      </c>
      <c r="F21" s="214">
        <v>49231121.799999997</v>
      </c>
      <c r="G21" s="214">
        <v>10238760.389999999</v>
      </c>
      <c r="H21" s="221">
        <f>SUM(C21:G21)</f>
        <v>106489800.58999999</v>
      </c>
      <c r="I21" s="321">
        <f>H21/B21</f>
        <v>10608.667123929068</v>
      </c>
      <c r="J21" s="221"/>
      <c r="L21" s="283"/>
      <c r="M21" s="289"/>
      <c r="N21" s="289"/>
      <c r="O21" s="289"/>
      <c r="P21" s="289"/>
      <c r="Q21" s="289"/>
      <c r="R21" s="289"/>
      <c r="S21" s="289"/>
      <c r="T21" s="289"/>
      <c r="U21" s="268"/>
      <c r="V21" s="268"/>
      <c r="W21" s="268"/>
      <c r="X21" s="268"/>
      <c r="Y21" s="268"/>
      <c r="Z21" s="268"/>
    </row>
    <row r="22" spans="1:26" ht="15" x14ac:dyDescent="0.25">
      <c r="A22" s="33" t="s">
        <v>87</v>
      </c>
      <c r="B22" s="220">
        <v>7400</v>
      </c>
      <c r="C22" s="220">
        <v>32348192.459999997</v>
      </c>
      <c r="D22" s="220">
        <v>20445185.779999997</v>
      </c>
      <c r="E22" s="220">
        <v>10848425.779999996</v>
      </c>
      <c r="F22" s="220">
        <v>42489623.039999992</v>
      </c>
      <c r="G22" s="220">
        <v>10923430.01</v>
      </c>
      <c r="H22" s="220">
        <f>SUM(C22:G22)</f>
        <v>117054857.06999998</v>
      </c>
      <c r="I22" s="322">
        <f>H22/B22</f>
        <v>15818.223928378375</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17438</v>
      </c>
      <c r="C23" s="221">
        <f t="shared" si="5"/>
        <v>57059236.859999999</v>
      </c>
      <c r="D23" s="221">
        <f t="shared" si="5"/>
        <v>33965204.599999994</v>
      </c>
      <c r="E23" s="221">
        <f t="shared" si="5"/>
        <v>19637280.959999993</v>
      </c>
      <c r="F23" s="221">
        <f t="shared" si="5"/>
        <v>91720744.839999989</v>
      </c>
      <c r="G23" s="221">
        <f t="shared" si="5"/>
        <v>21162190.399999999</v>
      </c>
      <c r="H23" s="221">
        <f t="shared" si="5"/>
        <v>223544657.65999997</v>
      </c>
      <c r="I23" s="323">
        <f>H23/B23</f>
        <v>12819.397732538133</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149410</v>
      </c>
      <c r="C25" s="192">
        <f t="shared" ref="C25:H25" si="6">C10+C18+C23</f>
        <v>448700670.14000005</v>
      </c>
      <c r="D25" s="192">
        <f t="shared" si="6"/>
        <v>176410000.46000001</v>
      </c>
      <c r="E25" s="192">
        <f t="shared" si="6"/>
        <v>156906043.88</v>
      </c>
      <c r="F25" s="192">
        <f t="shared" si="6"/>
        <v>726507085.49000013</v>
      </c>
      <c r="G25" s="192">
        <f t="shared" si="6"/>
        <v>200983584.12</v>
      </c>
      <c r="H25" s="192">
        <f t="shared" si="6"/>
        <v>1709507384.0899997</v>
      </c>
      <c r="I25" s="222">
        <f>H25/B25</f>
        <v>11441.719992570776</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FY15</v>
      </c>
      <c r="C29" s="223"/>
      <c r="D29" s="223"/>
      <c r="E29" s="223"/>
      <c r="F29" s="223"/>
      <c r="G29" s="223"/>
      <c r="H29" s="223"/>
      <c r="I29" s="182"/>
    </row>
    <row r="30" spans="1:26" ht="22.5" x14ac:dyDescent="0.2">
      <c r="A30" s="20" t="s">
        <v>245</v>
      </c>
      <c r="B30" s="202" t="str">
        <f>B3</f>
        <v>ANB15</v>
      </c>
      <c r="C30" s="202" t="str">
        <f t="shared" ref="C30:G30" si="7">C3</f>
        <v>15/Pupil Property Tax</v>
      </c>
      <c r="D30" s="202" t="str">
        <f t="shared" si="7"/>
        <v>15/Pupil Non Levy Revenue</v>
      </c>
      <c r="E30" s="202" t="str">
        <f t="shared" si="7"/>
        <v>15/Pupil County Revenue</v>
      </c>
      <c r="F30" s="202" t="str">
        <f t="shared" si="7"/>
        <v>15/Pupil State Revenue</v>
      </c>
      <c r="G30" s="202" t="str">
        <f t="shared" si="7"/>
        <v>15/Pupil Federal Revenue</v>
      </c>
      <c r="H30" s="202" t="str">
        <f>I3</f>
        <v>15/Rev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40133</v>
      </c>
      <c r="C32" s="182">
        <f t="shared" ref="C32:H38" si="9">C4/$B32</f>
        <v>2816.8252996287347</v>
      </c>
      <c r="D32" s="182">
        <f t="shared" si="9"/>
        <v>590.29942914808271</v>
      </c>
      <c r="E32" s="182">
        <f t="shared" si="9"/>
        <v>948.34040415618063</v>
      </c>
      <c r="F32" s="182">
        <f t="shared" si="9"/>
        <v>4452.1392151097598</v>
      </c>
      <c r="G32" s="182">
        <f t="shared" si="9"/>
        <v>1032.9674995639498</v>
      </c>
      <c r="H32" s="182">
        <f t="shared" si="9"/>
        <v>9840.5718476067086</v>
      </c>
      <c r="I32" s="182"/>
      <c r="J32" s="182"/>
    </row>
    <row r="33" spans="1:10" x14ac:dyDescent="0.2">
      <c r="A33" s="33" t="s">
        <v>76</v>
      </c>
      <c r="B33" s="221">
        <f t="shared" si="8"/>
        <v>20955</v>
      </c>
      <c r="C33" s="182">
        <f t="shared" si="9"/>
        <v>2394.5082572178476</v>
      </c>
      <c r="D33" s="182">
        <f t="shared" si="9"/>
        <v>1057.7524003817703</v>
      </c>
      <c r="E33" s="182">
        <f t="shared" si="9"/>
        <v>955.83763827248868</v>
      </c>
      <c r="F33" s="182">
        <f t="shared" si="9"/>
        <v>4683.6298129324741</v>
      </c>
      <c r="G33" s="182">
        <f t="shared" si="9"/>
        <v>1802.7069248389405</v>
      </c>
      <c r="H33" s="182">
        <f t="shared" si="9"/>
        <v>10894.435033643522</v>
      </c>
      <c r="I33" s="182"/>
      <c r="J33" s="182"/>
    </row>
    <row r="34" spans="1:10" x14ac:dyDescent="0.2">
      <c r="A34" s="33" t="s">
        <v>77</v>
      </c>
      <c r="B34" s="221">
        <f t="shared" si="8"/>
        <v>13511</v>
      </c>
      <c r="C34" s="182">
        <f t="shared" si="9"/>
        <v>2181.0395070683148</v>
      </c>
      <c r="D34" s="182">
        <f t="shared" si="9"/>
        <v>810.6627688550069</v>
      </c>
      <c r="E34" s="182">
        <f t="shared" si="9"/>
        <v>970.91741988009755</v>
      </c>
      <c r="F34" s="182">
        <f t="shared" si="9"/>
        <v>4859.1726615350444</v>
      </c>
      <c r="G34" s="182">
        <f t="shared" si="9"/>
        <v>2415.5289512249274</v>
      </c>
      <c r="H34" s="182">
        <f t="shared" si="9"/>
        <v>11237.321308563392</v>
      </c>
      <c r="I34" s="182"/>
      <c r="J34" s="182"/>
    </row>
    <row r="35" spans="1:10" x14ac:dyDescent="0.2">
      <c r="A35" s="33" t="s">
        <v>78</v>
      </c>
      <c r="B35" s="221">
        <f t="shared" si="8"/>
        <v>12550</v>
      </c>
      <c r="C35" s="182">
        <f t="shared" si="9"/>
        <v>2731.1650470119525</v>
      </c>
      <c r="D35" s="182">
        <f t="shared" si="9"/>
        <v>1390.3836183266926</v>
      </c>
      <c r="E35" s="182">
        <f t="shared" si="9"/>
        <v>1003.1270964143425</v>
      </c>
      <c r="F35" s="182">
        <f t="shared" si="9"/>
        <v>4591.8923999999988</v>
      </c>
      <c r="G35" s="182">
        <f t="shared" si="9"/>
        <v>1352.6734031872513</v>
      </c>
      <c r="H35" s="182">
        <f t="shared" si="9"/>
        <v>11069.241564940237</v>
      </c>
      <c r="I35" s="182"/>
      <c r="J35" s="182"/>
    </row>
    <row r="36" spans="1:10" x14ac:dyDescent="0.2">
      <c r="A36" s="33" t="s">
        <v>79</v>
      </c>
      <c r="B36" s="221">
        <f t="shared" si="8"/>
        <v>4913</v>
      </c>
      <c r="C36" s="182">
        <f t="shared" si="9"/>
        <v>3391.2104905353144</v>
      </c>
      <c r="D36" s="182">
        <f t="shared" si="9"/>
        <v>1891.7932810909829</v>
      </c>
      <c r="E36" s="182">
        <f t="shared" si="9"/>
        <v>1132.9227315285975</v>
      </c>
      <c r="F36" s="182">
        <f t="shared" si="9"/>
        <v>4790.4882780378593</v>
      </c>
      <c r="G36" s="182">
        <f t="shared" si="9"/>
        <v>2184.4739914512515</v>
      </c>
      <c r="H36" s="182">
        <f t="shared" si="9"/>
        <v>13390.888772644006</v>
      </c>
      <c r="I36" s="182"/>
      <c r="J36" s="182"/>
    </row>
    <row r="37" spans="1:10" x14ac:dyDescent="0.2">
      <c r="A37" s="33" t="s">
        <v>80</v>
      </c>
      <c r="B37" s="220">
        <f t="shared" si="8"/>
        <v>1676</v>
      </c>
      <c r="C37" s="183">
        <f t="shared" si="9"/>
        <v>3437.9403341288794</v>
      </c>
      <c r="D37" s="183">
        <f t="shared" si="9"/>
        <v>2490.9077267303105</v>
      </c>
      <c r="E37" s="183">
        <f t="shared" si="9"/>
        <v>1281.2998269689742</v>
      </c>
      <c r="F37" s="183">
        <f t="shared" si="9"/>
        <v>5163.4691467780449</v>
      </c>
      <c r="G37" s="183">
        <f t="shared" si="9"/>
        <v>1926.4938902147969</v>
      </c>
      <c r="H37" s="183">
        <f t="shared" si="9"/>
        <v>14300.110924821005</v>
      </c>
      <c r="I37" s="182"/>
      <c r="J37" s="182"/>
    </row>
    <row r="38" spans="1:10" x14ac:dyDescent="0.2">
      <c r="A38" s="33" t="s">
        <v>171</v>
      </c>
      <c r="B38" s="221">
        <f>SUM(B32:B37)</f>
        <v>93738</v>
      </c>
      <c r="C38" s="182">
        <f t="shared" si="9"/>
        <v>2660.5189095137512</v>
      </c>
      <c r="D38" s="182">
        <f t="shared" si="9"/>
        <v>935.87455845014813</v>
      </c>
      <c r="E38" s="182">
        <f t="shared" si="9"/>
        <v>976.23313234760712</v>
      </c>
      <c r="F38" s="182">
        <f t="shared" si="9"/>
        <v>4611.7192653993052</v>
      </c>
      <c r="G38" s="182">
        <f t="shared" si="9"/>
        <v>1523.4504216006317</v>
      </c>
      <c r="H38" s="182">
        <f t="shared" si="9"/>
        <v>10707.796287311441</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21295</v>
      </c>
      <c r="C41" s="182">
        <f t="shared" ref="C41:H46" si="10">C13/$B41</f>
        <v>3476.7711617750651</v>
      </c>
      <c r="D41" s="182">
        <f t="shared" si="10"/>
        <v>889.97175158487926</v>
      </c>
      <c r="E41" s="182">
        <f t="shared" si="10"/>
        <v>1043.4673383423337</v>
      </c>
      <c r="F41" s="182">
        <f t="shared" si="10"/>
        <v>4821.5505160835874</v>
      </c>
      <c r="G41" s="182">
        <f t="shared" si="10"/>
        <v>550.90191030758399</v>
      </c>
      <c r="H41" s="182">
        <f t="shared" si="10"/>
        <v>10782.662678093449</v>
      </c>
      <c r="I41" s="182"/>
      <c r="J41" s="182"/>
    </row>
    <row r="42" spans="1:10" x14ac:dyDescent="0.2">
      <c r="A42" s="33" t="s">
        <v>82</v>
      </c>
      <c r="B42" s="221">
        <f>B14</f>
        <v>6285</v>
      </c>
      <c r="C42" s="182">
        <f t="shared" si="10"/>
        <v>3644.1176245027837</v>
      </c>
      <c r="D42" s="182">
        <f t="shared" si="10"/>
        <v>1875.0647334924422</v>
      </c>
      <c r="E42" s="182">
        <f t="shared" si="10"/>
        <v>1180.2542195704059</v>
      </c>
      <c r="F42" s="182">
        <f t="shared" si="10"/>
        <v>4937.0601113762923</v>
      </c>
      <c r="G42" s="182">
        <f t="shared" si="10"/>
        <v>1207.8922370723944</v>
      </c>
      <c r="H42" s="182">
        <f t="shared" si="10"/>
        <v>12844.388926014319</v>
      </c>
      <c r="I42" s="182"/>
      <c r="J42" s="182"/>
    </row>
    <row r="43" spans="1:10" x14ac:dyDescent="0.2">
      <c r="A43" s="33" t="s">
        <v>83</v>
      </c>
      <c r="B43" s="221">
        <f>B15</f>
        <v>4540</v>
      </c>
      <c r="C43" s="182">
        <f t="shared" si="10"/>
        <v>3362.2911740088111</v>
      </c>
      <c r="D43" s="182">
        <f t="shared" si="10"/>
        <v>1559.122473568282</v>
      </c>
      <c r="E43" s="182">
        <f t="shared" si="10"/>
        <v>1253.2460704845814</v>
      </c>
      <c r="F43" s="182">
        <f t="shared" si="10"/>
        <v>5644.4690308370036</v>
      </c>
      <c r="G43" s="182">
        <f t="shared" si="10"/>
        <v>1126.0832224669603</v>
      </c>
      <c r="H43" s="182">
        <f t="shared" si="10"/>
        <v>12945.211971365638</v>
      </c>
      <c r="I43" s="182"/>
      <c r="J43" s="182"/>
    </row>
    <row r="44" spans="1:10" x14ac:dyDescent="0.2">
      <c r="A44" s="33" t="s">
        <v>84</v>
      </c>
      <c r="B44" s="221">
        <f>B16</f>
        <v>4531</v>
      </c>
      <c r="C44" s="182">
        <f t="shared" si="10"/>
        <v>4141.1968130655478</v>
      </c>
      <c r="D44" s="182">
        <f t="shared" si="10"/>
        <v>2033.1477135290233</v>
      </c>
      <c r="E44" s="182">
        <f t="shared" si="10"/>
        <v>1502.0061708232179</v>
      </c>
      <c r="F44" s="182">
        <f t="shared" si="10"/>
        <v>6395.4194041050532</v>
      </c>
      <c r="G44" s="182">
        <f t="shared" si="10"/>
        <v>1937.9869962480689</v>
      </c>
      <c r="H44" s="182">
        <f t="shared" si="10"/>
        <v>16009.757097770911</v>
      </c>
      <c r="I44" s="182"/>
      <c r="J44" s="182"/>
    </row>
    <row r="45" spans="1:10" x14ac:dyDescent="0.2">
      <c r="A45" s="33" t="s">
        <v>85</v>
      </c>
      <c r="B45" s="220">
        <f>B17</f>
        <v>1583</v>
      </c>
      <c r="C45" s="183">
        <f t="shared" si="10"/>
        <v>7125.7270309538844</v>
      </c>
      <c r="D45" s="183">
        <f t="shared" si="10"/>
        <v>4858.1477447883772</v>
      </c>
      <c r="E45" s="183">
        <f t="shared" si="10"/>
        <v>2289.8039797852175</v>
      </c>
      <c r="F45" s="183">
        <f t="shared" si="10"/>
        <v>8960.9124384080878</v>
      </c>
      <c r="G45" s="183">
        <f t="shared" si="10"/>
        <v>2400.3173089071383</v>
      </c>
      <c r="H45" s="183">
        <f t="shared" si="10"/>
        <v>25634.9085028427</v>
      </c>
      <c r="I45" s="182"/>
      <c r="J45" s="182"/>
    </row>
    <row r="46" spans="1:10" x14ac:dyDescent="0.2">
      <c r="A46" s="33" t="s">
        <v>172</v>
      </c>
      <c r="B46" s="221">
        <f>SUM(B41:B45)</f>
        <v>38234</v>
      </c>
      <c r="C46" s="182">
        <f t="shared" si="10"/>
        <v>3720.5030009938801</v>
      </c>
      <c r="D46" s="182">
        <f t="shared" si="10"/>
        <v>1431.1290082125861</v>
      </c>
      <c r="E46" s="182">
        <f t="shared" si="10"/>
        <v>1196.8044557200399</v>
      </c>
      <c r="F46" s="182">
        <f t="shared" si="10"/>
        <v>5296.1500274624677</v>
      </c>
      <c r="G46" s="182">
        <f t="shared" si="10"/>
        <v>968.14871841816171</v>
      </c>
      <c r="H46" s="182">
        <f t="shared" si="10"/>
        <v>12612.735210807134</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10038</v>
      </c>
      <c r="C49" s="182">
        <f t="shared" ref="C49:G51" si="11">C21/$B49</f>
        <v>2461.7497907949787</v>
      </c>
      <c r="D49" s="182">
        <f t="shared" si="11"/>
        <v>1346.8837238493725</v>
      </c>
      <c r="E49" s="182">
        <f t="shared" si="11"/>
        <v>875.55839609483962</v>
      </c>
      <c r="F49" s="182">
        <f t="shared" si="11"/>
        <v>4904.4751743375173</v>
      </c>
      <c r="G49" s="182">
        <f t="shared" si="11"/>
        <v>1020.0000388523609</v>
      </c>
      <c r="H49" s="182">
        <f>H21/$B49</f>
        <v>10608.667123929068</v>
      </c>
      <c r="I49" s="182"/>
      <c r="J49" s="182"/>
    </row>
    <row r="50" spans="1:10" x14ac:dyDescent="0.2">
      <c r="A50" s="33" t="s">
        <v>87</v>
      </c>
      <c r="B50" s="220">
        <f>B22</f>
        <v>7400</v>
      </c>
      <c r="C50" s="183">
        <f t="shared" si="11"/>
        <v>4371.3773594594595</v>
      </c>
      <c r="D50" s="183">
        <f t="shared" si="11"/>
        <v>2762.8629432432431</v>
      </c>
      <c r="E50" s="183">
        <f t="shared" si="11"/>
        <v>1466.0034837837832</v>
      </c>
      <c r="F50" s="183">
        <f t="shared" si="11"/>
        <v>5741.8409513513507</v>
      </c>
      <c r="G50" s="183">
        <f t="shared" si="11"/>
        <v>1476.1391905405405</v>
      </c>
      <c r="H50" s="183">
        <f>H22/$B50</f>
        <v>15818.223928378375</v>
      </c>
      <c r="I50" s="182"/>
      <c r="J50" s="182"/>
    </row>
    <row r="51" spans="1:10" x14ac:dyDescent="0.2">
      <c r="A51" s="33" t="s">
        <v>173</v>
      </c>
      <c r="B51" s="221">
        <f>SUM(B49:B50)</f>
        <v>17438</v>
      </c>
      <c r="C51" s="182">
        <f t="shared" si="11"/>
        <v>3272.1204759720149</v>
      </c>
      <c r="D51" s="182">
        <f t="shared" si="11"/>
        <v>1947.7695033834152</v>
      </c>
      <c r="E51" s="182">
        <f t="shared" si="11"/>
        <v>1126.1200229384101</v>
      </c>
      <c r="F51" s="182">
        <f t="shared" si="11"/>
        <v>5259.820211033375</v>
      </c>
      <c r="G51" s="182">
        <f t="shared" si="11"/>
        <v>1213.5675192109186</v>
      </c>
      <c r="H51" s="182">
        <f>H23/$B51</f>
        <v>12819.397732538133</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149410</v>
      </c>
      <c r="C53" s="192">
        <f t="shared" ref="C53:G53" si="12">C25/$B53</f>
        <v>3003.1501916873035</v>
      </c>
      <c r="D53" s="192">
        <f t="shared" si="12"/>
        <v>1180.7107988755774</v>
      </c>
      <c r="E53" s="192">
        <f t="shared" si="12"/>
        <v>1050.1709649956495</v>
      </c>
      <c r="F53" s="192">
        <f t="shared" si="12"/>
        <v>4862.5064285523067</v>
      </c>
      <c r="G53" s="192">
        <f t="shared" si="12"/>
        <v>1345.1816084599425</v>
      </c>
      <c r="H53" s="192">
        <f>H25/$B53</f>
        <v>11441.719992570776</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FY15</v>
      </c>
      <c r="I57" s="202"/>
      <c r="J57" s="182"/>
    </row>
    <row r="58" spans="1:10" ht="22.5" x14ac:dyDescent="0.2">
      <c r="A58" s="20" t="s">
        <v>245</v>
      </c>
      <c r="B58" s="21"/>
      <c r="C58" s="202" t="str">
        <f t="shared" ref="C58:G58" si="13">C3</f>
        <v>15/Pupil Property Tax</v>
      </c>
      <c r="D58" s="202" t="str">
        <f t="shared" si="13"/>
        <v>15/Pupil Non Levy Revenue</v>
      </c>
      <c r="E58" s="202" t="str">
        <f t="shared" si="13"/>
        <v>15/Pupil County Revenue</v>
      </c>
      <c r="F58" s="202" t="str">
        <f t="shared" si="13"/>
        <v>15/Pupil State Revenue</v>
      </c>
      <c r="G58" s="202" t="str">
        <f t="shared" si="13"/>
        <v>15/Pupil Federal Revenue</v>
      </c>
      <c r="H58" s="202"/>
      <c r="I58" s="202"/>
    </row>
    <row r="59" spans="1:10" x14ac:dyDescent="0.2">
      <c r="A59" s="33" t="s">
        <v>102</v>
      </c>
      <c r="B59" s="221"/>
      <c r="C59" s="224">
        <f t="shared" ref="C59:G65" si="14">C32/$H32</f>
        <v>0.28624609862625056</v>
      </c>
      <c r="D59" s="224">
        <f t="shared" si="14"/>
        <v>5.9986293305876057E-2</v>
      </c>
      <c r="E59" s="224">
        <f t="shared" si="14"/>
        <v>9.637045680295736E-2</v>
      </c>
      <c r="F59" s="224">
        <f t="shared" si="14"/>
        <v>0.45242687966274531</v>
      </c>
      <c r="G59" s="224">
        <f t="shared" si="14"/>
        <v>0.10497027160217058</v>
      </c>
      <c r="H59" s="313"/>
      <c r="I59" s="182"/>
    </row>
    <row r="60" spans="1:10" x14ac:dyDescent="0.2">
      <c r="A60" s="33" t="s">
        <v>76</v>
      </c>
      <c r="B60" s="221"/>
      <c r="C60" s="224">
        <f t="shared" si="14"/>
        <v>0.21979187078754198</v>
      </c>
      <c r="D60" s="224">
        <f t="shared" si="14"/>
        <v>9.7091074214980824E-2</v>
      </c>
      <c r="E60" s="224">
        <f t="shared" si="14"/>
        <v>8.7736319994633022E-2</v>
      </c>
      <c r="F60" s="224">
        <f t="shared" si="14"/>
        <v>0.42991029809887138</v>
      </c>
      <c r="G60" s="224">
        <f t="shared" si="14"/>
        <v>0.16547043690397273</v>
      </c>
      <c r="H60" s="313"/>
      <c r="I60" s="182"/>
    </row>
    <row r="61" spans="1:10" x14ac:dyDescent="0.2">
      <c r="A61" s="33" t="s">
        <v>77</v>
      </c>
      <c r="B61" s="221"/>
      <c r="C61" s="224">
        <f t="shared" si="14"/>
        <v>0.19408891560360167</v>
      </c>
      <c r="D61" s="224">
        <f t="shared" si="14"/>
        <v>7.2140214433242367E-2</v>
      </c>
      <c r="E61" s="224">
        <f t="shared" si="14"/>
        <v>8.6401144295857296E-2</v>
      </c>
      <c r="F61" s="224">
        <f t="shared" si="14"/>
        <v>0.43241378688995175</v>
      </c>
      <c r="G61" s="224">
        <f t="shared" si="14"/>
        <v>0.21495593877734681</v>
      </c>
      <c r="H61" s="313"/>
      <c r="I61" s="182"/>
    </row>
    <row r="62" spans="1:10" x14ac:dyDescent="0.2">
      <c r="A62" s="33" t="s">
        <v>78</v>
      </c>
      <c r="B62" s="221"/>
      <c r="C62" s="224">
        <f t="shared" si="14"/>
        <v>0.24673461419998363</v>
      </c>
      <c r="D62" s="224">
        <f t="shared" si="14"/>
        <v>0.12560784857478166</v>
      </c>
      <c r="E62" s="224">
        <f t="shared" si="14"/>
        <v>9.0622929360540921E-2</v>
      </c>
      <c r="F62" s="224">
        <f t="shared" si="14"/>
        <v>0.41483351619536096</v>
      </c>
      <c r="G62" s="224">
        <f t="shared" si="14"/>
        <v>0.12220109166933285</v>
      </c>
      <c r="H62" s="313"/>
      <c r="I62" s="182"/>
    </row>
    <row r="63" spans="1:10" x14ac:dyDescent="0.2">
      <c r="A63" s="33" t="s">
        <v>79</v>
      </c>
      <c r="B63" s="221"/>
      <c r="C63" s="224">
        <f t="shared" si="14"/>
        <v>0.25324760350957093</v>
      </c>
      <c r="D63" s="224">
        <f t="shared" si="14"/>
        <v>0.14127466169054378</v>
      </c>
      <c r="E63" s="224">
        <f t="shared" si="14"/>
        <v>8.4603998342740627E-2</v>
      </c>
      <c r="F63" s="224">
        <f t="shared" si="14"/>
        <v>0.35774236941047988</v>
      </c>
      <c r="G63" s="224">
        <f t="shared" si="14"/>
        <v>0.16313136704666475</v>
      </c>
      <c r="H63" s="313"/>
      <c r="I63" s="182"/>
    </row>
    <row r="64" spans="1:10" x14ac:dyDescent="0.2">
      <c r="A64" s="33" t="s">
        <v>80</v>
      </c>
      <c r="B64" s="221"/>
      <c r="C64" s="225">
        <f t="shared" si="14"/>
        <v>0.24041354309787721</v>
      </c>
      <c r="D64" s="225">
        <f t="shared" si="14"/>
        <v>0.17418800034668189</v>
      </c>
      <c r="E64" s="225">
        <f t="shared" si="14"/>
        <v>8.9600691470511251E-2</v>
      </c>
      <c r="F64" s="225">
        <f t="shared" si="14"/>
        <v>0.36107895763351755</v>
      </c>
      <c r="G64" s="225">
        <f t="shared" si="14"/>
        <v>0.13471880745141218</v>
      </c>
      <c r="H64" s="313"/>
      <c r="I64" s="182"/>
    </row>
    <row r="65" spans="1:9" x14ac:dyDescent="0.2">
      <c r="A65" s="33" t="s">
        <v>171</v>
      </c>
      <c r="B65" s="221"/>
      <c r="C65" s="224">
        <f t="shared" si="14"/>
        <v>0.24846558882208297</v>
      </c>
      <c r="D65" s="224">
        <f t="shared" si="14"/>
        <v>8.7401229285538784E-2</v>
      </c>
      <c r="E65" s="224">
        <f t="shared" si="14"/>
        <v>9.1170312373651238E-2</v>
      </c>
      <c r="F65" s="224">
        <f t="shared" si="14"/>
        <v>0.43068799047513773</v>
      </c>
      <c r="G65" s="224">
        <f t="shared" si="14"/>
        <v>0.14227487904358946</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0.32244087249790654</v>
      </c>
      <c r="D68" s="224">
        <f t="shared" si="15"/>
        <v>8.2537289550287662E-2</v>
      </c>
      <c r="E68" s="224">
        <f t="shared" si="15"/>
        <v>9.6772696085753451E-2</v>
      </c>
      <c r="F68" s="224">
        <f t="shared" si="15"/>
        <v>0.44715768822846236</v>
      </c>
      <c r="G68" s="224">
        <f t="shared" si="15"/>
        <v>5.1091453637590045E-2</v>
      </c>
      <c r="H68" s="313"/>
      <c r="I68" s="182"/>
    </row>
    <row r="69" spans="1:9" x14ac:dyDescent="0.2">
      <c r="A69" s="33" t="s">
        <v>82</v>
      </c>
      <c r="B69" s="221"/>
      <c r="C69" s="224">
        <f t="shared" si="15"/>
        <v>0.2837128060738015</v>
      </c>
      <c r="D69" s="224">
        <f t="shared" si="15"/>
        <v>0.14598317944848191</v>
      </c>
      <c r="E69" s="224">
        <f t="shared" si="15"/>
        <v>9.1888701468699999E-2</v>
      </c>
      <c r="F69" s="224">
        <f t="shared" si="15"/>
        <v>0.3843748534721681</v>
      </c>
      <c r="G69" s="224">
        <f t="shared" si="15"/>
        <v>9.4040459536848489E-2</v>
      </c>
      <c r="H69" s="313"/>
      <c r="I69" s="182"/>
    </row>
    <row r="70" spans="1:9" x14ac:dyDescent="0.2">
      <c r="A70" s="33" t="s">
        <v>83</v>
      </c>
      <c r="B70" s="221"/>
      <c r="C70" s="224">
        <f t="shared" si="15"/>
        <v>0.25973241546342257</v>
      </c>
      <c r="D70" s="224">
        <f t="shared" si="15"/>
        <v>0.12044008835212641</v>
      </c>
      <c r="E70" s="224">
        <f t="shared" si="15"/>
        <v>9.6811552661842729E-2</v>
      </c>
      <c r="F70" s="224">
        <f t="shared" si="15"/>
        <v>0.43602754773906943</v>
      </c>
      <c r="G70" s="224">
        <f t="shared" si="15"/>
        <v>8.6988395783538924E-2</v>
      </c>
      <c r="H70" s="313"/>
      <c r="I70" s="182"/>
    </row>
    <row r="71" spans="1:9" x14ac:dyDescent="0.2">
      <c r="A71" s="33" t="s">
        <v>84</v>
      </c>
      <c r="B71" s="221"/>
      <c r="C71" s="224">
        <f t="shared" si="15"/>
        <v>0.25866706082893287</v>
      </c>
      <c r="D71" s="224">
        <f t="shared" si="15"/>
        <v>0.12699428861491627</v>
      </c>
      <c r="E71" s="224">
        <f t="shared" si="15"/>
        <v>9.3818173608164662E-2</v>
      </c>
      <c r="F71" s="224">
        <f t="shared" si="15"/>
        <v>0.39947010845002184</v>
      </c>
      <c r="G71" s="224">
        <f t="shared" si="15"/>
        <v>0.12105036849796434</v>
      </c>
      <c r="H71" s="313"/>
      <c r="I71" s="182"/>
    </row>
    <row r="72" spans="1:9" x14ac:dyDescent="0.2">
      <c r="A72" s="33" t="s">
        <v>85</v>
      </c>
      <c r="B72" s="221"/>
      <c r="C72" s="225">
        <f t="shared" si="15"/>
        <v>0.27796966898335917</v>
      </c>
      <c r="D72" s="225">
        <f t="shared" si="15"/>
        <v>0.18951297385163862</v>
      </c>
      <c r="E72" s="225">
        <f t="shared" si="15"/>
        <v>8.9323665014497594E-2</v>
      </c>
      <c r="F72" s="225">
        <f t="shared" si="15"/>
        <v>0.34955897882040016</v>
      </c>
      <c r="G72" s="225">
        <f t="shared" si="15"/>
        <v>9.3634713330104646E-2</v>
      </c>
      <c r="H72" s="313"/>
      <c r="I72" s="182"/>
    </row>
    <row r="73" spans="1:9" x14ac:dyDescent="0.2">
      <c r="A73" s="33" t="s">
        <v>172</v>
      </c>
      <c r="B73" s="221"/>
      <c r="C73" s="224">
        <f t="shared" si="15"/>
        <v>0.29497987064740672</v>
      </c>
      <c r="D73" s="224">
        <f t="shared" si="15"/>
        <v>0.11346698271968267</v>
      </c>
      <c r="E73" s="224">
        <f t="shared" si="15"/>
        <v>9.4888573788068295E-2</v>
      </c>
      <c r="F73" s="224">
        <f t="shared" si="15"/>
        <v>0.41990495629564145</v>
      </c>
      <c r="G73" s="224">
        <f t="shared" si="15"/>
        <v>7.6759616549201021E-2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0.23205080921449775</v>
      </c>
      <c r="D76" s="224">
        <f t="shared" si="16"/>
        <v>0.12696069243338981</v>
      </c>
      <c r="E76" s="224">
        <f t="shared" si="16"/>
        <v>8.2532365835093172E-2</v>
      </c>
      <c r="F76" s="224">
        <f t="shared" si="16"/>
        <v>0.46230832931640486</v>
      </c>
      <c r="G76" s="224">
        <f t="shared" si="16"/>
        <v>9.6147803200614487E-2</v>
      </c>
      <c r="H76" s="313"/>
      <c r="I76" s="182"/>
    </row>
    <row r="77" spans="1:9" x14ac:dyDescent="0.2">
      <c r="A77" s="33" t="s">
        <v>87</v>
      </c>
      <c r="B77" s="221"/>
      <c r="C77" s="225">
        <f t="shared" si="16"/>
        <v>0.27635070658072275</v>
      </c>
      <c r="D77" s="225">
        <f t="shared" si="16"/>
        <v>0.17466328430757533</v>
      </c>
      <c r="E77" s="225">
        <f t="shared" si="16"/>
        <v>9.2678134436681506E-2</v>
      </c>
      <c r="F77" s="225">
        <f t="shared" si="16"/>
        <v>0.36298897887330533</v>
      </c>
      <c r="G77" s="225">
        <f t="shared" si="16"/>
        <v>9.3318895801715263E-2</v>
      </c>
      <c r="H77" s="313"/>
      <c r="I77" s="182"/>
    </row>
    <row r="78" spans="1:9" x14ac:dyDescent="0.2">
      <c r="A78" s="33" t="s">
        <v>173</v>
      </c>
      <c r="B78" s="221"/>
      <c r="C78" s="224">
        <f t="shared" si="16"/>
        <v>0.25524759776090999</v>
      </c>
      <c r="D78" s="224">
        <f t="shared" si="16"/>
        <v>0.1519392364619124</v>
      </c>
      <c r="E78" s="224">
        <f t="shared" si="16"/>
        <v>8.7845002271838224E-2</v>
      </c>
      <c r="F78" s="224">
        <f t="shared" si="16"/>
        <v>0.41030166321175332</v>
      </c>
      <c r="G78" s="224">
        <f t="shared" si="16"/>
        <v>9.4666500293586128E-2</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0.26247366599053984</v>
      </c>
      <c r="D80" s="226">
        <f>D53/$H53</f>
        <v>0.10319347088044672</v>
      </c>
      <c r="E80" s="226">
        <f>E53/$H53</f>
        <v>9.1784361588776522E-2</v>
      </c>
      <c r="F80" s="226">
        <f>F53/$H53</f>
        <v>0.42498037285561796</v>
      </c>
      <c r="G80" s="226">
        <f>G53/$H53</f>
        <v>0.11756812868461931</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82"/>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1.42578125" customWidth="1"/>
    <col min="5" max="5" width="10.28515625" customWidth="1"/>
    <col min="6" max="6" width="10.42578125" bestFit="1" customWidth="1"/>
    <col min="7" max="7" width="8.7109375" bestFit="1" customWidth="1"/>
    <col min="8" max="8" width="9.5703125" bestFit="1" customWidth="1"/>
  </cols>
  <sheetData>
    <row r="1" spans="1:9" x14ac:dyDescent="0.2">
      <c r="A1" s="36" t="s">
        <v>247</v>
      </c>
    </row>
    <row r="2" spans="1:9" x14ac:dyDescent="0.2">
      <c r="A2" s="22" t="s">
        <v>291</v>
      </c>
    </row>
    <row r="3" spans="1:9" x14ac:dyDescent="0.2">
      <c r="B3" s="36"/>
      <c r="C3" s="35" t="s">
        <v>139</v>
      </c>
      <c r="D3" s="35" t="s">
        <v>140</v>
      </c>
      <c r="E3" s="35"/>
      <c r="F3" s="35" t="s">
        <v>141</v>
      </c>
      <c r="G3" s="35"/>
      <c r="H3" s="35"/>
      <c r="I3" s="181" t="s">
        <v>453</v>
      </c>
    </row>
    <row r="4" spans="1:9" x14ac:dyDescent="0.2">
      <c r="A4" s="155" t="s">
        <v>245</v>
      </c>
      <c r="B4" s="165" t="s">
        <v>101</v>
      </c>
      <c r="C4" s="166" t="s">
        <v>159</v>
      </c>
      <c r="D4" s="166" t="s">
        <v>129</v>
      </c>
      <c r="E4" s="166" t="s">
        <v>91</v>
      </c>
      <c r="F4" s="166" t="s">
        <v>145</v>
      </c>
      <c r="G4" s="166" t="s">
        <v>93</v>
      </c>
      <c r="H4" s="166" t="s">
        <v>106</v>
      </c>
      <c r="I4" s="141" t="s">
        <v>396</v>
      </c>
    </row>
    <row r="5" spans="1:9" x14ac:dyDescent="0.2">
      <c r="A5" s="1" t="s">
        <v>102</v>
      </c>
      <c r="B5" s="6">
        <v>40537</v>
      </c>
      <c r="C5" s="6">
        <v>149138762.59</v>
      </c>
      <c r="D5" s="6">
        <v>16018815.16</v>
      </c>
      <c r="E5" s="6">
        <v>9792879.4399999995</v>
      </c>
      <c r="F5" s="6">
        <v>5084264.33</v>
      </c>
      <c r="G5" s="6">
        <v>5880280.2999999998</v>
      </c>
      <c r="H5" s="6">
        <v>185915001.82000002</v>
      </c>
      <c r="I5" s="6">
        <f>H5/B5</f>
        <v>4586.3039154352819</v>
      </c>
    </row>
    <row r="6" spans="1:9" x14ac:dyDescent="0.2">
      <c r="A6" s="1" t="s">
        <v>76</v>
      </c>
      <c r="B6" s="6">
        <v>24977</v>
      </c>
      <c r="C6" s="6">
        <v>93144875.599999994</v>
      </c>
      <c r="D6" s="6">
        <v>8828385.8000000007</v>
      </c>
      <c r="E6" s="6">
        <v>8602622.5099999998</v>
      </c>
      <c r="F6" s="6">
        <v>4815281.16</v>
      </c>
      <c r="G6" s="6">
        <v>4377452.74</v>
      </c>
      <c r="H6" s="6">
        <v>119768617.80999999</v>
      </c>
      <c r="I6" s="6">
        <f t="shared" ref="I6:I24" si="0">H6/B6</f>
        <v>4795.156256155663</v>
      </c>
    </row>
    <row r="7" spans="1:9" x14ac:dyDescent="0.2">
      <c r="A7" s="1" t="s">
        <v>77</v>
      </c>
      <c r="B7" s="6">
        <v>14910</v>
      </c>
      <c r="C7" s="6">
        <v>58066864.490000002</v>
      </c>
      <c r="D7" s="6">
        <v>7157168.9299999997</v>
      </c>
      <c r="E7" s="6">
        <v>6084437.9699999997</v>
      </c>
      <c r="F7" s="6">
        <v>3280073.92</v>
      </c>
      <c r="G7" s="6">
        <v>1670511.07</v>
      </c>
      <c r="H7" s="6">
        <v>76259056.379999995</v>
      </c>
      <c r="I7" s="6">
        <f t="shared" si="0"/>
        <v>5114.6248410462777</v>
      </c>
    </row>
    <row r="8" spans="1:9" x14ac:dyDescent="0.2">
      <c r="A8" s="1" t="s">
        <v>78</v>
      </c>
      <c r="B8" s="6">
        <v>14190</v>
      </c>
      <c r="C8" s="6">
        <v>51642590.350000001</v>
      </c>
      <c r="D8" s="6">
        <v>7413210.9699999997</v>
      </c>
      <c r="E8" s="6">
        <v>6558944.04</v>
      </c>
      <c r="F8" s="6">
        <v>3070531</v>
      </c>
      <c r="G8" s="6">
        <v>3029594.53</v>
      </c>
      <c r="H8" s="6">
        <v>71714870.890000001</v>
      </c>
      <c r="I8" s="6">
        <f t="shared" si="0"/>
        <v>5053.9021064129665</v>
      </c>
    </row>
    <row r="9" spans="1:9" x14ac:dyDescent="0.2">
      <c r="A9" s="1" t="s">
        <v>79</v>
      </c>
      <c r="B9" s="6">
        <v>6867</v>
      </c>
      <c r="C9" s="6">
        <v>28652275.199999999</v>
      </c>
      <c r="D9" s="6">
        <v>5018253.76</v>
      </c>
      <c r="E9" s="6">
        <v>4049993.66</v>
      </c>
      <c r="F9" s="6">
        <v>1486198.01</v>
      </c>
      <c r="G9" s="6">
        <v>1122177.73</v>
      </c>
      <c r="H9" s="6">
        <v>40328898.359999999</v>
      </c>
      <c r="I9" s="6">
        <f t="shared" si="0"/>
        <v>5872.855447793796</v>
      </c>
    </row>
    <row r="10" spans="1:9" x14ac:dyDescent="0.2">
      <c r="A10" s="14" t="s">
        <v>80</v>
      </c>
      <c r="B10" s="7">
        <v>1788</v>
      </c>
      <c r="C10" s="7">
        <v>5604480.0199999996</v>
      </c>
      <c r="D10" s="7">
        <v>1703619.97</v>
      </c>
      <c r="E10" s="7">
        <v>963731.46</v>
      </c>
      <c r="F10" s="7">
        <v>356919.79</v>
      </c>
      <c r="G10" s="7">
        <v>61975.33</v>
      </c>
      <c r="H10" s="7">
        <v>8690726.5699999984</v>
      </c>
      <c r="I10" s="7">
        <f t="shared" si="0"/>
        <v>4860.5853299776281</v>
      </c>
    </row>
    <row r="11" spans="1:9" x14ac:dyDescent="0.2">
      <c r="A11" s="1" t="s">
        <v>103</v>
      </c>
      <c r="B11" s="6">
        <v>103269</v>
      </c>
      <c r="C11" s="6">
        <v>386249848.25</v>
      </c>
      <c r="D11" s="6">
        <v>46139454.589999996</v>
      </c>
      <c r="E11" s="6">
        <v>36052609.079999998</v>
      </c>
      <c r="F11" s="6">
        <v>18093268.210000001</v>
      </c>
      <c r="G11" s="6">
        <v>16141991.699999999</v>
      </c>
      <c r="H11" s="6">
        <v>502677171.82999992</v>
      </c>
      <c r="I11" s="6">
        <f t="shared" si="0"/>
        <v>4867.6482955194679</v>
      </c>
    </row>
    <row r="12" spans="1:9" x14ac:dyDescent="0.2">
      <c r="I12" s="82"/>
    </row>
    <row r="13" spans="1:9" x14ac:dyDescent="0.2">
      <c r="A13" s="1" t="s">
        <v>81</v>
      </c>
      <c r="B13" s="6">
        <v>19757</v>
      </c>
      <c r="C13" s="6">
        <v>87365883.719999999</v>
      </c>
      <c r="D13" s="6">
        <v>12084244.210000001</v>
      </c>
      <c r="E13" s="6">
        <v>8464428.6400000006</v>
      </c>
      <c r="F13" s="6">
        <v>3994870.66</v>
      </c>
      <c r="G13" s="6">
        <v>8811182.8499999996</v>
      </c>
      <c r="H13" s="6">
        <v>120720610.08</v>
      </c>
      <c r="I13" s="6">
        <f t="shared" si="0"/>
        <v>6110.2702879991903</v>
      </c>
    </row>
    <row r="14" spans="1:9" x14ac:dyDescent="0.2">
      <c r="A14" s="1" t="s">
        <v>82</v>
      </c>
      <c r="B14" s="6">
        <v>9163</v>
      </c>
      <c r="C14" s="6">
        <v>38663171.060000002</v>
      </c>
      <c r="D14" s="6">
        <v>5670841.9900000002</v>
      </c>
      <c r="E14" s="6">
        <v>5310582.1399999997</v>
      </c>
      <c r="F14" s="6">
        <v>3379557.34</v>
      </c>
      <c r="G14" s="6">
        <v>1361542.07</v>
      </c>
      <c r="H14" s="6">
        <v>54385694.600000001</v>
      </c>
      <c r="I14" s="6">
        <f t="shared" si="0"/>
        <v>5935.3590090581692</v>
      </c>
    </row>
    <row r="15" spans="1:9" x14ac:dyDescent="0.2">
      <c r="A15" s="1" t="s">
        <v>83</v>
      </c>
      <c r="B15" s="6">
        <v>4345</v>
      </c>
      <c r="C15" s="6">
        <v>18322202.850000001</v>
      </c>
      <c r="D15" s="6">
        <v>3385101.98</v>
      </c>
      <c r="E15" s="6">
        <v>2732040.7</v>
      </c>
      <c r="F15" s="6">
        <v>1690754</v>
      </c>
      <c r="G15" s="6">
        <v>861615.09</v>
      </c>
      <c r="H15" s="6">
        <v>26991714.620000001</v>
      </c>
      <c r="I15" s="6">
        <f t="shared" si="0"/>
        <v>6212.1322485615656</v>
      </c>
    </row>
    <row r="16" spans="1:9" x14ac:dyDescent="0.2">
      <c r="A16" s="1" t="s">
        <v>84</v>
      </c>
      <c r="B16" s="6">
        <v>5247</v>
      </c>
      <c r="C16" s="6">
        <v>27758016.719999999</v>
      </c>
      <c r="D16" s="6">
        <v>5889960.9800000004</v>
      </c>
      <c r="E16" s="6">
        <v>4231468.49</v>
      </c>
      <c r="F16" s="6">
        <v>2371903.81</v>
      </c>
      <c r="G16" s="6">
        <v>1792609.01</v>
      </c>
      <c r="H16" s="6">
        <v>42043959.010000005</v>
      </c>
      <c r="I16" s="6">
        <f t="shared" si="0"/>
        <v>8012.9519744615982</v>
      </c>
    </row>
    <row r="17" spans="1:9" x14ac:dyDescent="0.2">
      <c r="A17" s="14" t="s">
        <v>85</v>
      </c>
      <c r="B17" s="7">
        <v>1333</v>
      </c>
      <c r="C17" s="7">
        <v>10678716.91</v>
      </c>
      <c r="D17" s="7">
        <v>2380650.4700000002</v>
      </c>
      <c r="E17" s="7">
        <v>1734448.75</v>
      </c>
      <c r="F17" s="7">
        <v>877362.41</v>
      </c>
      <c r="G17" s="7">
        <v>506208.62</v>
      </c>
      <c r="H17" s="7">
        <v>16177387.16</v>
      </c>
      <c r="I17" s="7">
        <f t="shared" si="0"/>
        <v>12136.07438859715</v>
      </c>
    </row>
    <row r="18" spans="1:9" x14ac:dyDescent="0.2">
      <c r="A18" s="1" t="s">
        <v>104</v>
      </c>
      <c r="B18" s="6">
        <v>39845</v>
      </c>
      <c r="C18" s="6">
        <v>182787991.25999999</v>
      </c>
      <c r="D18" s="6">
        <v>29410799.630000003</v>
      </c>
      <c r="E18" s="6">
        <v>22472968.719999999</v>
      </c>
      <c r="F18" s="6">
        <v>12314448.220000001</v>
      </c>
      <c r="G18" s="6">
        <v>13333157.639999999</v>
      </c>
      <c r="H18" s="6">
        <v>260319365.46999997</v>
      </c>
      <c r="I18" s="6">
        <f t="shared" si="0"/>
        <v>6533.3006768728819</v>
      </c>
    </row>
    <row r="19" spans="1:9" x14ac:dyDescent="0.2">
      <c r="I19" s="6"/>
    </row>
    <row r="20" spans="1:9" x14ac:dyDescent="0.2">
      <c r="A20" s="1" t="s">
        <v>86</v>
      </c>
      <c r="B20" s="6">
        <v>8237</v>
      </c>
      <c r="C20" s="6">
        <v>29402495.780000001</v>
      </c>
      <c r="D20" s="6">
        <v>4431726.37</v>
      </c>
      <c r="E20" s="6">
        <v>3311909.12</v>
      </c>
      <c r="F20" s="6">
        <v>2644171.62</v>
      </c>
      <c r="G20" s="6">
        <v>1378201.2</v>
      </c>
      <c r="H20" s="6">
        <v>41168504.089999996</v>
      </c>
      <c r="I20" s="6">
        <f t="shared" si="0"/>
        <v>4997.9973400509889</v>
      </c>
    </row>
    <row r="21" spans="1:9" x14ac:dyDescent="0.2">
      <c r="A21" s="14" t="s">
        <v>87</v>
      </c>
      <c r="B21" s="7">
        <v>5599</v>
      </c>
      <c r="C21" s="7">
        <v>32005916.420000002</v>
      </c>
      <c r="D21" s="7">
        <v>5231323.43</v>
      </c>
      <c r="E21" s="7">
        <v>4951369.3</v>
      </c>
      <c r="F21" s="7">
        <v>2270462.92</v>
      </c>
      <c r="G21" s="7">
        <v>1754378.02</v>
      </c>
      <c r="H21" s="7">
        <v>46213450.090000004</v>
      </c>
      <c r="I21" s="7">
        <f t="shared" si="0"/>
        <v>8253.8757081621716</v>
      </c>
    </row>
    <row r="22" spans="1:9" x14ac:dyDescent="0.2">
      <c r="A22" s="1" t="s">
        <v>105</v>
      </c>
      <c r="B22" s="6">
        <v>13836</v>
      </c>
      <c r="C22" s="6">
        <v>61408412.200000003</v>
      </c>
      <c r="D22" s="6">
        <v>9663049.8000000007</v>
      </c>
      <c r="E22" s="6">
        <v>8263278.4199999999</v>
      </c>
      <c r="F22" s="6">
        <v>4914634.54</v>
      </c>
      <c r="G22" s="6">
        <v>3132579.22</v>
      </c>
      <c r="H22" s="6">
        <v>87381954.180000007</v>
      </c>
      <c r="I22" s="6">
        <f t="shared" si="0"/>
        <v>6315.5503165654818</v>
      </c>
    </row>
    <row r="23" spans="1:9" x14ac:dyDescent="0.2">
      <c r="I23" s="6"/>
    </row>
    <row r="24" spans="1:9" ht="13.5" thickBot="1" x14ac:dyDescent="0.25">
      <c r="A24" s="15" t="s">
        <v>107</v>
      </c>
      <c r="B24" s="8">
        <v>156950</v>
      </c>
      <c r="C24" s="8">
        <v>630446251.71000004</v>
      </c>
      <c r="D24" s="8">
        <v>85213304.019999996</v>
      </c>
      <c r="E24" s="8">
        <v>66788856.219999999</v>
      </c>
      <c r="F24" s="8">
        <v>35322350.969999999</v>
      </c>
      <c r="G24" s="8">
        <v>32607728.559999995</v>
      </c>
      <c r="H24" s="8">
        <v>850378491.48000002</v>
      </c>
      <c r="I24" s="8">
        <f t="shared" si="0"/>
        <v>5418.1490377827331</v>
      </c>
    </row>
    <row r="25" spans="1:9" ht="13.5" thickTop="1" x14ac:dyDescent="0.2">
      <c r="A25" s="1"/>
      <c r="B25" s="6"/>
      <c r="C25" s="6"/>
      <c r="D25" s="6"/>
      <c r="E25" s="6"/>
      <c r="F25" s="6"/>
      <c r="G25" s="6"/>
      <c r="H25" s="6"/>
      <c r="I25" s="83"/>
    </row>
    <row r="26" spans="1:9" x14ac:dyDescent="0.2">
      <c r="A26" s="36" t="s">
        <v>247</v>
      </c>
      <c r="I26" s="82"/>
    </row>
    <row r="27" spans="1:9" x14ac:dyDescent="0.2">
      <c r="A27" s="36" t="s">
        <v>258</v>
      </c>
      <c r="B27" s="6"/>
      <c r="C27" s="6"/>
      <c r="D27" s="6"/>
      <c r="E27" s="6"/>
      <c r="F27" s="6"/>
      <c r="G27" s="6"/>
      <c r="H27" s="1"/>
      <c r="I27" s="82"/>
    </row>
    <row r="28" spans="1:9" ht="22.5" x14ac:dyDescent="0.2">
      <c r="A28" s="155" t="s">
        <v>245</v>
      </c>
      <c r="B28" s="141" t="s">
        <v>101</v>
      </c>
      <c r="C28" s="141" t="s">
        <v>89</v>
      </c>
      <c r="D28" s="141" t="s">
        <v>90</v>
      </c>
      <c r="E28" s="141" t="s">
        <v>91</v>
      </c>
      <c r="F28" s="141" t="s">
        <v>92</v>
      </c>
      <c r="G28" s="141" t="s">
        <v>93</v>
      </c>
      <c r="H28" s="160" t="s">
        <v>106</v>
      </c>
      <c r="I28" s="82"/>
    </row>
    <row r="29" spans="1:9" x14ac:dyDescent="0.2">
      <c r="A29" s="1" t="s">
        <v>102</v>
      </c>
      <c r="B29" s="6">
        <v>40537</v>
      </c>
      <c r="C29" s="6">
        <v>3679.0774499839654</v>
      </c>
      <c r="D29" s="6">
        <v>395.16528504822753</v>
      </c>
      <c r="E29" s="6">
        <v>241.57879073439079</v>
      </c>
      <c r="F29" s="6">
        <v>125.42280706515035</v>
      </c>
      <c r="G29" s="6">
        <v>145.05958260354737</v>
      </c>
      <c r="H29" s="6">
        <v>4586.3039154352819</v>
      </c>
      <c r="I29" s="82"/>
    </row>
    <row r="30" spans="1:9" x14ac:dyDescent="0.2">
      <c r="A30" s="1" t="s">
        <v>76</v>
      </c>
      <c r="B30" s="6">
        <v>24977</v>
      </c>
      <c r="C30" s="6">
        <v>3729.2259118388915</v>
      </c>
      <c r="D30" s="6">
        <v>353.46061576650521</v>
      </c>
      <c r="E30" s="6">
        <v>344.42176842695278</v>
      </c>
      <c r="F30" s="6">
        <v>192.78861192296912</v>
      </c>
      <c r="G30" s="6">
        <v>175.25934820034433</v>
      </c>
      <c r="H30" s="6">
        <v>4795.156256155663</v>
      </c>
      <c r="I30" s="82"/>
    </row>
    <row r="31" spans="1:9" x14ac:dyDescent="0.2">
      <c r="A31" s="1" t="s">
        <v>77</v>
      </c>
      <c r="B31" s="6">
        <v>14910</v>
      </c>
      <c r="C31" s="6">
        <v>3894.4912468142188</v>
      </c>
      <c r="D31" s="6">
        <v>480.02474379610999</v>
      </c>
      <c r="E31" s="6">
        <v>408.07766398390339</v>
      </c>
      <c r="F31" s="6">
        <v>219.99154393024816</v>
      </c>
      <c r="G31" s="6">
        <v>112.03964252179746</v>
      </c>
      <c r="H31" s="6">
        <v>5114.6248410462777</v>
      </c>
      <c r="I31" s="82"/>
    </row>
    <row r="32" spans="1:9" x14ac:dyDescent="0.2">
      <c r="A32" s="1" t="s">
        <v>78</v>
      </c>
      <c r="B32" s="6">
        <v>14190</v>
      </c>
      <c r="C32" s="6">
        <v>3639.3650704721636</v>
      </c>
      <c r="D32" s="6">
        <v>522.4250155038759</v>
      </c>
      <c r="E32" s="6">
        <v>462.22297674418604</v>
      </c>
      <c r="F32" s="6">
        <v>216.38696264975334</v>
      </c>
      <c r="G32" s="6">
        <v>213.50208104298801</v>
      </c>
      <c r="H32" s="6">
        <v>5053.9021064129665</v>
      </c>
      <c r="I32" s="82"/>
    </row>
    <row r="33" spans="1:9" x14ac:dyDescent="0.2">
      <c r="A33" s="1" t="s">
        <v>79</v>
      </c>
      <c r="B33" s="6">
        <v>6867</v>
      </c>
      <c r="C33" s="6">
        <v>4172.4588903451286</v>
      </c>
      <c r="D33" s="6">
        <v>730.77817970001456</v>
      </c>
      <c r="E33" s="6">
        <v>589.77627202562985</v>
      </c>
      <c r="F33" s="6">
        <v>216.42609727683123</v>
      </c>
      <c r="G33" s="6">
        <v>163.41600844619194</v>
      </c>
      <c r="H33" s="6">
        <v>5872.855447793796</v>
      </c>
      <c r="I33" s="83"/>
    </row>
    <row r="34" spans="1:9" x14ac:dyDescent="0.2">
      <c r="A34" s="14" t="s">
        <v>80</v>
      </c>
      <c r="B34" s="7">
        <v>1788</v>
      </c>
      <c r="C34" s="7">
        <v>3134.4966554809839</v>
      </c>
      <c r="D34" s="7">
        <v>952.80758948545861</v>
      </c>
      <c r="E34" s="7">
        <v>538.99969798657719</v>
      </c>
      <c r="F34" s="7">
        <v>199.61956935123041</v>
      </c>
      <c r="G34" s="7">
        <v>34.661817673378074</v>
      </c>
      <c r="H34" s="7">
        <v>4860.5853299776281</v>
      </c>
      <c r="I34" s="83"/>
    </row>
    <row r="35" spans="1:9" x14ac:dyDescent="0.2">
      <c r="A35" s="1" t="s">
        <v>103</v>
      </c>
      <c r="B35" s="6">
        <v>103269</v>
      </c>
      <c r="C35" s="6">
        <v>3740.2303522838411</v>
      </c>
      <c r="D35" s="6">
        <v>446.78901306297143</v>
      </c>
      <c r="E35" s="6">
        <v>349.1135682537838</v>
      </c>
      <c r="F35" s="6">
        <v>175.20522334873002</v>
      </c>
      <c r="G35" s="6">
        <v>156.31013857014204</v>
      </c>
      <c r="H35" s="6">
        <v>4867.6482955194679</v>
      </c>
      <c r="I35" s="83"/>
    </row>
    <row r="36" spans="1:9" x14ac:dyDescent="0.2">
      <c r="A36" s="1"/>
      <c r="B36" s="6"/>
      <c r="C36" s="6"/>
      <c r="D36" s="6"/>
      <c r="E36" s="6"/>
      <c r="F36" s="6"/>
      <c r="G36" s="6"/>
      <c r="H36" s="6"/>
      <c r="I36" s="83"/>
    </row>
    <row r="37" spans="1:9" x14ac:dyDescent="0.2">
      <c r="A37" s="1" t="s">
        <v>81</v>
      </c>
      <c r="B37" s="6">
        <v>19757</v>
      </c>
      <c r="C37" s="6">
        <v>4422.0217502657288</v>
      </c>
      <c r="D37" s="6">
        <v>611.64368122690701</v>
      </c>
      <c r="E37" s="6">
        <v>428.42681783671611</v>
      </c>
      <c r="F37" s="6">
        <v>202.20026623475223</v>
      </c>
      <c r="G37" s="6">
        <v>445.97777243508625</v>
      </c>
      <c r="H37" s="6">
        <v>6110.2702879991903</v>
      </c>
      <c r="I37" s="83"/>
    </row>
    <row r="38" spans="1:9" x14ac:dyDescent="0.2">
      <c r="A38" s="1" t="s">
        <v>82</v>
      </c>
      <c r="B38" s="6">
        <v>9163</v>
      </c>
      <c r="C38" s="6">
        <v>4219.4882745825607</v>
      </c>
      <c r="D38" s="6">
        <v>618.88486194477798</v>
      </c>
      <c r="E38" s="6">
        <v>579.56806067881689</v>
      </c>
      <c r="F38" s="6">
        <v>368.82651315071479</v>
      </c>
      <c r="G38" s="6">
        <v>148.59129870129871</v>
      </c>
      <c r="H38" s="6">
        <v>5935.3590090581692</v>
      </c>
      <c r="I38" s="83"/>
    </row>
    <row r="39" spans="1:9" x14ac:dyDescent="0.2">
      <c r="A39" s="1" t="s">
        <v>83</v>
      </c>
      <c r="B39" s="6">
        <v>4345</v>
      </c>
      <c r="C39" s="6">
        <v>4216.8476064441893</v>
      </c>
      <c r="D39" s="6">
        <v>779.07985730724965</v>
      </c>
      <c r="E39" s="6">
        <v>628.77806674338319</v>
      </c>
      <c r="F39" s="6">
        <v>389.12635212888375</v>
      </c>
      <c r="G39" s="6">
        <v>198.3003659378596</v>
      </c>
      <c r="H39" s="6">
        <v>6212.1322485615656</v>
      </c>
      <c r="I39" s="83"/>
    </row>
    <row r="40" spans="1:9" x14ac:dyDescent="0.2">
      <c r="A40" s="1" t="s">
        <v>84</v>
      </c>
      <c r="B40" s="6">
        <v>5247</v>
      </c>
      <c r="C40" s="6">
        <v>5290.2642881646652</v>
      </c>
      <c r="D40" s="6">
        <v>1122.5387802553842</v>
      </c>
      <c r="E40" s="6">
        <v>806.45482942633885</v>
      </c>
      <c r="F40" s="6">
        <v>452.04951591385554</v>
      </c>
      <c r="G40" s="6">
        <v>341.64456070135316</v>
      </c>
      <c r="H40" s="6">
        <v>8012.9519744615982</v>
      </c>
      <c r="I40" s="83"/>
    </row>
    <row r="41" spans="1:9" x14ac:dyDescent="0.2">
      <c r="A41" s="14" t="s">
        <v>85</v>
      </c>
      <c r="B41" s="7">
        <v>1333</v>
      </c>
      <c r="C41" s="7">
        <v>8011.0404426106525</v>
      </c>
      <c r="D41" s="7">
        <v>1785.9343360840212</v>
      </c>
      <c r="E41" s="7">
        <v>1301.1618529632408</v>
      </c>
      <c r="F41" s="7">
        <v>658.18635408852219</v>
      </c>
      <c r="G41" s="7">
        <v>379.75140285071268</v>
      </c>
      <c r="H41" s="7">
        <v>12136.07438859715</v>
      </c>
      <c r="I41" s="83"/>
    </row>
    <row r="42" spans="1:9" x14ac:dyDescent="0.2">
      <c r="A42" s="1" t="s">
        <v>104</v>
      </c>
      <c r="B42" s="6">
        <v>39845</v>
      </c>
      <c r="C42" s="6">
        <v>4587.4762519764081</v>
      </c>
      <c r="D42" s="6">
        <v>738.13024545112319</v>
      </c>
      <c r="E42" s="6">
        <v>564.00975580373949</v>
      </c>
      <c r="F42" s="6">
        <v>309.05880838248214</v>
      </c>
      <c r="G42" s="6">
        <v>334.62561525912912</v>
      </c>
      <c r="H42" s="6">
        <v>6533.3006768728819</v>
      </c>
      <c r="I42" s="83"/>
    </row>
    <row r="43" spans="1:9" x14ac:dyDescent="0.2">
      <c r="A43" s="1"/>
      <c r="B43" s="6"/>
      <c r="C43" s="6"/>
      <c r="D43" s="6"/>
      <c r="E43" s="6"/>
      <c r="F43" s="6"/>
      <c r="G43" s="6"/>
      <c r="H43" s="6"/>
      <c r="I43" s="83"/>
    </row>
    <row r="44" spans="1:9" x14ac:dyDescent="0.2">
      <c r="A44" s="1" t="s">
        <v>86</v>
      </c>
      <c r="B44" s="6">
        <v>8237</v>
      </c>
      <c r="C44" s="6">
        <v>3569.5636493869129</v>
      </c>
      <c r="D44" s="6">
        <v>538.02675367245354</v>
      </c>
      <c r="E44" s="6">
        <v>402.07710574238195</v>
      </c>
      <c r="F44" s="6">
        <v>321.01148719193884</v>
      </c>
      <c r="G44" s="6">
        <v>167.3183440573024</v>
      </c>
      <c r="H44" s="6">
        <v>4997.9973400509889</v>
      </c>
      <c r="I44" s="83"/>
    </row>
    <row r="45" spans="1:9" x14ac:dyDescent="0.2">
      <c r="A45" s="14" t="s">
        <v>87</v>
      </c>
      <c r="B45" s="7">
        <v>5599</v>
      </c>
      <c r="C45" s="7">
        <v>5716.3629969637441</v>
      </c>
      <c r="D45" s="7">
        <v>934.33174316842292</v>
      </c>
      <c r="E45" s="7">
        <v>884.33100553670295</v>
      </c>
      <c r="F45" s="7">
        <v>405.51222003929274</v>
      </c>
      <c r="G45" s="7">
        <v>313.33774245400963</v>
      </c>
      <c r="H45" s="7">
        <v>8253.8757081621716</v>
      </c>
      <c r="I45" s="83"/>
    </row>
    <row r="46" spans="1:9" x14ac:dyDescent="0.2">
      <c r="A46" s="1" t="s">
        <v>105</v>
      </c>
      <c r="B46" s="6">
        <v>13836</v>
      </c>
      <c r="C46" s="6">
        <v>4438.3067505059271</v>
      </c>
      <c r="D46" s="6">
        <v>698.39908933217703</v>
      </c>
      <c r="E46" s="6">
        <v>597.23029921942759</v>
      </c>
      <c r="F46" s="6">
        <v>355.20631251806878</v>
      </c>
      <c r="G46" s="6">
        <v>226.40786498988146</v>
      </c>
      <c r="H46" s="6">
        <v>6315.5503165654818</v>
      </c>
      <c r="I46" s="83"/>
    </row>
    <row r="47" spans="1:9" x14ac:dyDescent="0.2">
      <c r="A47" s="1"/>
      <c r="B47" s="6"/>
      <c r="C47" s="6"/>
      <c r="D47" s="6"/>
      <c r="E47" s="6"/>
      <c r="F47" s="6"/>
      <c r="G47" s="6"/>
      <c r="H47" s="6"/>
      <c r="I47" s="83"/>
    </row>
    <row r="48" spans="1:9" ht="13.5" thickBot="1" x14ac:dyDescent="0.25">
      <c r="A48" s="15" t="s">
        <v>112</v>
      </c>
      <c r="B48" s="8">
        <v>156950</v>
      </c>
      <c r="C48" s="8">
        <v>4016.860476011469</v>
      </c>
      <c r="D48" s="8">
        <v>542.93280675374319</v>
      </c>
      <c r="E48" s="8">
        <v>425.5422505256451</v>
      </c>
      <c r="F48" s="8">
        <v>225.05480070086014</v>
      </c>
      <c r="G48" s="8">
        <v>207.75870379101622</v>
      </c>
      <c r="H48" s="8">
        <v>5418.1490377827331</v>
      </c>
      <c r="I48" s="83"/>
    </row>
    <row r="49" spans="1:9" ht="13.5" thickTop="1" x14ac:dyDescent="0.2">
      <c r="A49" s="1"/>
      <c r="B49" s="6"/>
      <c r="C49" s="6"/>
      <c r="D49" s="6"/>
      <c r="E49" s="6"/>
      <c r="F49" s="6"/>
      <c r="G49" s="6"/>
      <c r="H49" s="6"/>
      <c r="I49" s="83"/>
    </row>
    <row r="50" spans="1:9" x14ac:dyDescent="0.2">
      <c r="A50" s="1"/>
      <c r="B50" s="6"/>
      <c r="C50" s="6"/>
      <c r="D50" s="6"/>
      <c r="E50" s="6"/>
      <c r="F50" s="6"/>
      <c r="G50" s="6"/>
      <c r="H50" s="6"/>
      <c r="I50" s="83"/>
    </row>
    <row r="51" spans="1:9" x14ac:dyDescent="0.2">
      <c r="A51" s="36" t="s">
        <v>247</v>
      </c>
      <c r="I51" s="82"/>
    </row>
    <row r="52" spans="1:9" x14ac:dyDescent="0.2">
      <c r="A52" s="22" t="s">
        <v>285</v>
      </c>
      <c r="B52" s="6"/>
      <c r="C52" s="6"/>
      <c r="D52" s="6"/>
      <c r="E52" s="6"/>
      <c r="F52" s="6"/>
      <c r="G52" s="6"/>
      <c r="H52" s="1"/>
      <c r="I52" s="83"/>
    </row>
    <row r="53" spans="1:9" ht="22.5" x14ac:dyDescent="0.2">
      <c r="A53" s="155" t="s">
        <v>245</v>
      </c>
      <c r="B53" s="161"/>
      <c r="C53" s="141" t="s">
        <v>89</v>
      </c>
      <c r="D53" s="141" t="s">
        <v>90</v>
      </c>
      <c r="E53" s="141" t="s">
        <v>91</v>
      </c>
      <c r="F53" s="141" t="s">
        <v>92</v>
      </c>
      <c r="G53" s="141" t="s">
        <v>93</v>
      </c>
      <c r="H53" s="17"/>
      <c r="I53" s="82"/>
    </row>
    <row r="54" spans="1:9" x14ac:dyDescent="0.2">
      <c r="A54" s="1" t="s">
        <v>102</v>
      </c>
      <c r="B54" s="6"/>
      <c r="C54" s="9">
        <v>0.80218788763692028</v>
      </c>
      <c r="D54" s="9">
        <v>8.6162036431622471E-2</v>
      </c>
      <c r="E54" s="9">
        <v>5.2673960380460912E-2</v>
      </c>
      <c r="F54" s="9">
        <v>2.7347251594696507E-2</v>
      </c>
      <c r="G54" s="9">
        <v>3.1628863956299741E-2</v>
      </c>
      <c r="H54" s="9"/>
      <c r="I54" s="82"/>
    </row>
    <row r="55" spans="1:9" x14ac:dyDescent="0.2">
      <c r="A55" s="1" t="s">
        <v>76</v>
      </c>
      <c r="B55" s="6"/>
      <c r="C55" s="9">
        <v>0.77770685930236172</v>
      </c>
      <c r="D55" s="9">
        <v>7.3712012056491152E-2</v>
      </c>
      <c r="E55" s="9">
        <v>7.1827016686851416E-2</v>
      </c>
      <c r="F55" s="9">
        <v>4.020486541506995E-2</v>
      </c>
      <c r="G55" s="9">
        <v>3.6549246539225803E-2</v>
      </c>
      <c r="H55" s="9"/>
      <c r="I55" s="82"/>
    </row>
    <row r="56" spans="1:9" x14ac:dyDescent="0.2">
      <c r="A56" s="1" t="s">
        <v>77</v>
      </c>
      <c r="B56" s="6"/>
      <c r="C56" s="9">
        <v>0.76144221088511721</v>
      </c>
      <c r="D56" s="9">
        <v>9.3853363387237862E-2</v>
      </c>
      <c r="E56" s="9">
        <v>7.9786431393553514E-2</v>
      </c>
      <c r="F56" s="9">
        <v>4.3012254225325626E-2</v>
      </c>
      <c r="G56" s="9">
        <v>2.1905740108765823E-2</v>
      </c>
      <c r="H56" s="9"/>
      <c r="I56" s="82"/>
    </row>
    <row r="57" spans="1:9" x14ac:dyDescent="0.2">
      <c r="A57" s="1" t="s">
        <v>78</v>
      </c>
      <c r="B57" s="6"/>
      <c r="C57" s="9">
        <v>0.72010992572533661</v>
      </c>
      <c r="D57" s="9">
        <v>0.10337062422340226</v>
      </c>
      <c r="E57" s="9">
        <v>9.1458632757778366E-2</v>
      </c>
      <c r="F57" s="9">
        <v>4.281581995329449E-2</v>
      </c>
      <c r="G57" s="9">
        <v>4.2244997340188335E-2</v>
      </c>
      <c r="H57" s="9"/>
      <c r="I57" s="82"/>
    </row>
    <row r="58" spans="1:9" x14ac:dyDescent="0.2">
      <c r="A58" s="1" t="s">
        <v>79</v>
      </c>
      <c r="B58" s="6"/>
      <c r="C58" s="9">
        <v>0.71046510976403476</v>
      </c>
      <c r="D58" s="9">
        <v>0.12443319713829148</v>
      </c>
      <c r="E58" s="9">
        <v>0.10042410838618307</v>
      </c>
      <c r="F58" s="9">
        <v>3.6851936711320574E-2</v>
      </c>
      <c r="G58" s="9">
        <v>2.7825648000170171E-2</v>
      </c>
      <c r="H58" s="9"/>
      <c r="I58" s="82"/>
    </row>
    <row r="59" spans="1:9" x14ac:dyDescent="0.2">
      <c r="A59" s="14" t="s">
        <v>80</v>
      </c>
      <c r="B59" s="7"/>
      <c r="C59" s="10">
        <v>0.64488049127519609</v>
      </c>
      <c r="D59" s="10">
        <v>0.19602733514604179</v>
      </c>
      <c r="E59" s="10">
        <v>0.1108919320194422</v>
      </c>
      <c r="F59" s="10">
        <v>4.106903917930995E-2</v>
      </c>
      <c r="G59" s="10">
        <v>7.1312023800099841E-3</v>
      </c>
      <c r="H59" s="9"/>
      <c r="I59" s="82"/>
    </row>
    <row r="60" spans="1:9" x14ac:dyDescent="0.2">
      <c r="A60" s="1" t="s">
        <v>108</v>
      </c>
      <c r="B60" s="6"/>
      <c r="C60" s="9">
        <v>0.76838549648844123</v>
      </c>
      <c r="D60" s="9">
        <v>9.178744764165235E-2</v>
      </c>
      <c r="E60" s="9">
        <v>7.1721198217038998E-2</v>
      </c>
      <c r="F60" s="9">
        <v>3.5993813174629206E-2</v>
      </c>
      <c r="G60" s="9">
        <v>3.2112044478238309E-2</v>
      </c>
      <c r="H60" s="9"/>
      <c r="I60" s="82"/>
    </row>
    <row r="61" spans="1:9" x14ac:dyDescent="0.2">
      <c r="A61" s="1"/>
      <c r="B61" s="6"/>
      <c r="C61" s="9"/>
      <c r="D61" s="9"/>
      <c r="E61" s="9"/>
      <c r="F61" s="9"/>
      <c r="G61" s="9"/>
      <c r="H61" s="9"/>
      <c r="I61" s="82"/>
    </row>
    <row r="62" spans="1:9" x14ac:dyDescent="0.2">
      <c r="A62" s="1" t="s">
        <v>81</v>
      </c>
      <c r="B62" s="6"/>
      <c r="C62" s="9">
        <v>0.72370313289589694</v>
      </c>
      <c r="D62" s="9">
        <v>0.10010092064637453</v>
      </c>
      <c r="E62" s="9">
        <v>7.0115853741881617E-2</v>
      </c>
      <c r="F62" s="9">
        <v>3.3091869378001404E-2</v>
      </c>
      <c r="G62" s="9">
        <v>7.2988223337845465E-2</v>
      </c>
      <c r="H62" s="9"/>
      <c r="I62" s="82"/>
    </row>
    <row r="63" spans="1:9" x14ac:dyDescent="0.2">
      <c r="A63" s="1" t="s">
        <v>82</v>
      </c>
      <c r="B63" s="6"/>
      <c r="C63" s="9">
        <v>0.71090700126867556</v>
      </c>
      <c r="D63" s="9">
        <v>0.10427083871426734</v>
      </c>
      <c r="E63" s="9">
        <v>9.7646673064648123E-2</v>
      </c>
      <c r="F63" s="9">
        <v>6.2140556719119285E-2</v>
      </c>
      <c r="G63" s="9">
        <v>2.5034930233289693E-2</v>
      </c>
      <c r="H63" s="9"/>
      <c r="I63" s="82"/>
    </row>
    <row r="64" spans="1:9" x14ac:dyDescent="0.2">
      <c r="A64" s="1" t="s">
        <v>83</v>
      </c>
      <c r="B64" s="6"/>
      <c r="C64" s="9">
        <v>0.67880840872642567</v>
      </c>
      <c r="D64" s="9">
        <v>0.12541263227093202</v>
      </c>
      <c r="E64" s="9">
        <v>0.1012177528720478</v>
      </c>
      <c r="F64" s="9">
        <v>6.2639740520493092E-2</v>
      </c>
      <c r="G64" s="9">
        <v>3.1921465610101354E-2</v>
      </c>
      <c r="H64" s="9"/>
      <c r="I64" s="82"/>
    </row>
    <row r="65" spans="1:9" x14ac:dyDescent="0.2">
      <c r="A65" s="1" t="s">
        <v>84</v>
      </c>
      <c r="B65" s="6"/>
      <c r="C65" s="9">
        <v>0.66021415141704076</v>
      </c>
      <c r="D65" s="9">
        <v>0.14009054139261942</v>
      </c>
      <c r="E65" s="9">
        <v>0.10064391150684834</v>
      </c>
      <c r="F65" s="9">
        <v>5.6414854020665636E-2</v>
      </c>
      <c r="G65" s="9">
        <v>4.2636541662825669E-2</v>
      </c>
      <c r="H65" s="9"/>
      <c r="I65" s="82"/>
    </row>
    <row r="66" spans="1:9" x14ac:dyDescent="0.2">
      <c r="A66" s="14" t="s">
        <v>85</v>
      </c>
      <c r="B66" s="7"/>
      <c r="C66" s="10">
        <v>0.66010146165037442</v>
      </c>
      <c r="D66" s="10">
        <v>0.14715914544509179</v>
      </c>
      <c r="E66" s="10">
        <v>0.10721439332852067</v>
      </c>
      <c r="F66" s="10">
        <v>5.4233876047014261E-2</v>
      </c>
      <c r="G66" s="10">
        <v>3.1291123528998856E-2</v>
      </c>
      <c r="H66" s="9"/>
      <c r="I66" s="82"/>
    </row>
    <row r="67" spans="1:9" x14ac:dyDescent="0.2">
      <c r="A67" s="1" t="s">
        <v>109</v>
      </c>
      <c r="B67" s="6"/>
      <c r="C67" s="9">
        <v>0.70216824218966933</v>
      </c>
      <c r="D67" s="9">
        <v>0.11297968392362802</v>
      </c>
      <c r="E67" s="9">
        <v>8.6328455354927697E-2</v>
      </c>
      <c r="F67" s="9">
        <v>4.7305156102261457E-2</v>
      </c>
      <c r="G67" s="9">
        <v>5.1218462429513549E-2</v>
      </c>
      <c r="H67" s="9"/>
      <c r="I67" s="82"/>
    </row>
    <row r="68" spans="1:9" x14ac:dyDescent="0.2">
      <c r="A68" s="1"/>
      <c r="B68" s="6"/>
      <c r="C68" s="9"/>
      <c r="D68" s="9"/>
      <c r="E68" s="9"/>
      <c r="F68" s="9"/>
      <c r="G68" s="9"/>
      <c r="H68" s="9"/>
      <c r="I68" s="82"/>
    </row>
    <row r="69" spans="1:9" x14ac:dyDescent="0.2">
      <c r="A69" s="1" t="s">
        <v>86</v>
      </c>
      <c r="B69" s="6"/>
      <c r="C69" s="9">
        <v>0.71419878933959113</v>
      </c>
      <c r="D69" s="9">
        <v>0.10764846738933331</v>
      </c>
      <c r="E69" s="9">
        <v>8.0447643003003277E-2</v>
      </c>
      <c r="F69" s="9">
        <v>6.4228022816167393E-2</v>
      </c>
      <c r="G69" s="9">
        <v>3.3477077451905056E-2</v>
      </c>
      <c r="H69" s="9"/>
      <c r="I69" s="82"/>
    </row>
    <row r="70" spans="1:9" x14ac:dyDescent="0.2">
      <c r="A70" s="14" t="s">
        <v>87</v>
      </c>
      <c r="B70" s="7"/>
      <c r="C70" s="10">
        <v>0.69256712835049028</v>
      </c>
      <c r="D70" s="10">
        <v>0.11319915348912657</v>
      </c>
      <c r="E70" s="10">
        <v>0.10714130389220633</v>
      </c>
      <c r="F70" s="10">
        <v>4.912991597853672E-2</v>
      </c>
      <c r="G70" s="10">
        <v>3.7962498289640247E-2</v>
      </c>
      <c r="H70" s="9"/>
      <c r="I70" s="82"/>
    </row>
    <row r="71" spans="1:9" x14ac:dyDescent="0.2">
      <c r="A71" s="1" t="s">
        <v>110</v>
      </c>
      <c r="B71" s="6"/>
      <c r="C71" s="9">
        <v>0.70275851319945848</v>
      </c>
      <c r="D71" s="9">
        <v>0.11058404324644507</v>
      </c>
      <c r="E71" s="9">
        <v>9.4565044894490358E-2</v>
      </c>
      <c r="F71" s="9">
        <v>5.6243129214943351E-2</v>
      </c>
      <c r="G71" s="9">
        <v>3.584926944466281E-2</v>
      </c>
      <c r="H71" s="9"/>
      <c r="I71" s="82"/>
    </row>
    <row r="72" spans="1:9" x14ac:dyDescent="0.2">
      <c r="A72" s="1"/>
      <c r="B72" s="6"/>
      <c r="C72" s="9"/>
      <c r="D72" s="9"/>
      <c r="E72" s="9"/>
      <c r="F72" s="9"/>
      <c r="G72" s="9"/>
      <c r="H72" s="9"/>
      <c r="I72" s="82"/>
    </row>
    <row r="73" spans="1:9" ht="13.5" thickBot="1" x14ac:dyDescent="0.25">
      <c r="A73" s="15" t="s">
        <v>111</v>
      </c>
      <c r="B73" s="8"/>
      <c r="C73" s="11">
        <v>0.74137135172924062</v>
      </c>
      <c r="D73" s="11">
        <v>0.10020632562295248</v>
      </c>
      <c r="E73" s="11">
        <v>7.8540152284144182E-2</v>
      </c>
      <c r="F73" s="11">
        <v>4.1537211164084042E-2</v>
      </c>
      <c r="G73" s="11">
        <v>3.8344959199578831E-2</v>
      </c>
      <c r="H73" s="9"/>
      <c r="I73" s="82"/>
    </row>
    <row r="74" spans="1:9" ht="13.5" thickTop="1" x14ac:dyDescent="0.2">
      <c r="A74" s="1"/>
      <c r="B74" s="6"/>
      <c r="C74" s="6"/>
      <c r="D74" s="6"/>
      <c r="E74" s="6"/>
      <c r="F74" s="6"/>
      <c r="G74" s="6"/>
      <c r="H74" s="1"/>
      <c r="I74" s="82"/>
    </row>
    <row r="75" spans="1:9" x14ac:dyDescent="0.2">
      <c r="I75" s="82"/>
    </row>
    <row r="76" spans="1:9" x14ac:dyDescent="0.2">
      <c r="I76" s="82"/>
    </row>
    <row r="77" spans="1:9" x14ac:dyDescent="0.2">
      <c r="I77" s="82"/>
    </row>
    <row r="78" spans="1:9"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83"/>
  <dimension ref="A1:I84"/>
  <sheetViews>
    <sheetView workbookViewId="0"/>
  </sheetViews>
  <sheetFormatPr defaultRowHeight="12.75" x14ac:dyDescent="0.2"/>
  <cols>
    <col min="1" max="1" width="27.5703125" customWidth="1"/>
    <col min="3" max="3" width="11.5703125" customWidth="1"/>
    <col min="8" max="8" width="13" customWidth="1"/>
  </cols>
  <sheetData>
    <row r="1" spans="1:9" x14ac:dyDescent="0.2">
      <c r="A1" s="36" t="s">
        <v>247</v>
      </c>
    </row>
    <row r="2" spans="1:9" x14ac:dyDescent="0.2">
      <c r="A2" s="22" t="s">
        <v>344</v>
      </c>
    </row>
    <row r="3" spans="1:9" x14ac:dyDescent="0.2">
      <c r="B3" s="36"/>
      <c r="C3" s="35" t="s">
        <v>139</v>
      </c>
      <c r="D3" s="35" t="s">
        <v>140</v>
      </c>
      <c r="E3" s="35"/>
      <c r="F3" s="35" t="s">
        <v>141</v>
      </c>
      <c r="G3" s="35"/>
      <c r="H3" s="35"/>
      <c r="I3" s="181" t="s">
        <v>453</v>
      </c>
    </row>
    <row r="4" spans="1:9" x14ac:dyDescent="0.2">
      <c r="A4" s="155" t="s">
        <v>245</v>
      </c>
      <c r="B4" s="165" t="s">
        <v>345</v>
      </c>
      <c r="C4" s="166" t="s">
        <v>159</v>
      </c>
      <c r="D4" s="166" t="s">
        <v>129</v>
      </c>
      <c r="E4" s="166" t="s">
        <v>91</v>
      </c>
      <c r="F4" s="166" t="s">
        <v>145</v>
      </c>
      <c r="G4" s="166" t="s">
        <v>93</v>
      </c>
      <c r="H4" s="166" t="s">
        <v>106</v>
      </c>
      <c r="I4" s="141" t="s">
        <v>396</v>
      </c>
    </row>
    <row r="5" spans="1:9" x14ac:dyDescent="0.2">
      <c r="A5" s="1" t="s">
        <v>102</v>
      </c>
      <c r="B5" s="6">
        <v>39396</v>
      </c>
      <c r="C5" s="6">
        <v>142523105.25999999</v>
      </c>
      <c r="D5" s="6">
        <v>16252378.189999999</v>
      </c>
      <c r="E5" s="6">
        <v>9055492.8900000006</v>
      </c>
      <c r="F5" s="6">
        <v>4035336.64</v>
      </c>
      <c r="G5" s="6">
        <v>4801724.54</v>
      </c>
      <c r="H5" s="6">
        <f t="shared" ref="H5:H10" si="0">SUM(C5:G5)</f>
        <v>176668037.51999995</v>
      </c>
      <c r="I5" s="6">
        <f>H5/B5</f>
        <v>4484.4156137678938</v>
      </c>
    </row>
    <row r="6" spans="1:9" x14ac:dyDescent="0.2">
      <c r="A6" s="1" t="s">
        <v>76</v>
      </c>
      <c r="B6" s="6">
        <v>23853</v>
      </c>
      <c r="C6" s="6">
        <v>85561445.739999995</v>
      </c>
      <c r="D6" s="6">
        <v>8169151.3799999999</v>
      </c>
      <c r="E6" s="6">
        <v>7619874.4199999999</v>
      </c>
      <c r="F6" s="6">
        <v>4408502.53</v>
      </c>
      <c r="G6" s="6">
        <v>4281506.88</v>
      </c>
      <c r="H6" s="6">
        <f t="shared" si="0"/>
        <v>110040480.94999999</v>
      </c>
      <c r="I6" s="6">
        <f t="shared" ref="I6:I24" si="1">H6/B6</f>
        <v>4613.2763572716212</v>
      </c>
    </row>
    <row r="7" spans="1:9" x14ac:dyDescent="0.2">
      <c r="A7" s="1" t="s">
        <v>77</v>
      </c>
      <c r="B7" s="6">
        <v>15381</v>
      </c>
      <c r="C7" s="6">
        <v>56721741.600000001</v>
      </c>
      <c r="D7" s="6">
        <v>6995802.5700000003</v>
      </c>
      <c r="E7" s="6">
        <v>6255369.2599999998</v>
      </c>
      <c r="F7" s="6">
        <v>2732699.19</v>
      </c>
      <c r="G7" s="6">
        <v>1606834.1</v>
      </c>
      <c r="H7" s="6">
        <f t="shared" si="0"/>
        <v>74312446.719999999</v>
      </c>
      <c r="I7" s="6">
        <f t="shared" si="1"/>
        <v>4831.4444262401666</v>
      </c>
    </row>
    <row r="8" spans="1:9" x14ac:dyDescent="0.2">
      <c r="A8" s="1" t="s">
        <v>78</v>
      </c>
      <c r="B8" s="6">
        <v>15059</v>
      </c>
      <c r="C8" s="6">
        <v>54805484.030000001</v>
      </c>
      <c r="D8" s="6">
        <v>7608342.2000000002</v>
      </c>
      <c r="E8" s="6">
        <v>7050820.6100000003</v>
      </c>
      <c r="F8" s="6">
        <v>3140386.53</v>
      </c>
      <c r="G8" s="6">
        <v>3003120.7</v>
      </c>
      <c r="H8" s="6">
        <f t="shared" si="0"/>
        <v>75608154.070000008</v>
      </c>
      <c r="I8" s="6">
        <f t="shared" si="1"/>
        <v>5020.7951437678466</v>
      </c>
    </row>
    <row r="9" spans="1:9" x14ac:dyDescent="0.2">
      <c r="A9" s="1" t="s">
        <v>79</v>
      </c>
      <c r="B9" s="6">
        <v>7546</v>
      </c>
      <c r="C9" s="6">
        <v>31922345.75</v>
      </c>
      <c r="D9" s="6">
        <v>5399674.6699999999</v>
      </c>
      <c r="E9" s="6">
        <v>4515286.3899999997</v>
      </c>
      <c r="F9" s="6">
        <v>2043929.8</v>
      </c>
      <c r="G9" s="6">
        <v>1291214.08</v>
      </c>
      <c r="H9" s="6">
        <f t="shared" si="0"/>
        <v>45172450.689999998</v>
      </c>
      <c r="I9" s="6">
        <f t="shared" si="1"/>
        <v>5986.2775894513643</v>
      </c>
    </row>
    <row r="10" spans="1:9" x14ac:dyDescent="0.2">
      <c r="A10" s="14" t="s">
        <v>80</v>
      </c>
      <c r="B10" s="7">
        <v>1787</v>
      </c>
      <c r="C10" s="7">
        <v>5421333.4500000002</v>
      </c>
      <c r="D10" s="7">
        <v>1701540.07</v>
      </c>
      <c r="E10" s="7">
        <v>1031895.64</v>
      </c>
      <c r="F10" s="7">
        <v>272175.01</v>
      </c>
      <c r="G10" s="7">
        <v>26108.84</v>
      </c>
      <c r="H10" s="7">
        <f t="shared" si="0"/>
        <v>8453053.0099999998</v>
      </c>
      <c r="I10" s="7">
        <f t="shared" si="1"/>
        <v>4730.3038668158924</v>
      </c>
    </row>
    <row r="11" spans="1:9" x14ac:dyDescent="0.2">
      <c r="A11" s="1" t="s">
        <v>103</v>
      </c>
      <c r="B11" s="6">
        <f>SUM(B5:B10)</f>
        <v>103022</v>
      </c>
      <c r="C11" s="6">
        <f t="shared" ref="C11:H11" si="2">SUM(C5:C10)</f>
        <v>376955455.82999998</v>
      </c>
      <c r="D11" s="6">
        <f t="shared" si="2"/>
        <v>46126889.080000006</v>
      </c>
      <c r="E11" s="6">
        <f t="shared" si="2"/>
        <v>35528739.210000001</v>
      </c>
      <c r="F11" s="6">
        <f t="shared" si="2"/>
        <v>16633029.699999999</v>
      </c>
      <c r="G11" s="6">
        <f t="shared" si="2"/>
        <v>15010509.139999999</v>
      </c>
      <c r="H11" s="6">
        <f t="shared" si="2"/>
        <v>490254622.95999992</v>
      </c>
      <c r="I11" s="6">
        <f t="shared" si="1"/>
        <v>4758.7371916677985</v>
      </c>
    </row>
    <row r="12" spans="1:9" x14ac:dyDescent="0.2">
      <c r="B12" s="1"/>
      <c r="C12" s="6"/>
      <c r="D12" s="6"/>
      <c r="E12" s="6"/>
      <c r="F12" s="6"/>
      <c r="G12" s="6"/>
      <c r="H12" s="6"/>
      <c r="I12" s="82"/>
    </row>
    <row r="13" spans="1:9" x14ac:dyDescent="0.2">
      <c r="A13" s="1" t="s">
        <v>81</v>
      </c>
      <c r="B13" s="6">
        <v>18443</v>
      </c>
      <c r="C13" s="6">
        <v>83320016.200000003</v>
      </c>
      <c r="D13" s="6">
        <v>11992883.67</v>
      </c>
      <c r="E13" s="6">
        <v>7624812.3899999997</v>
      </c>
      <c r="F13" s="6">
        <v>2894033.53</v>
      </c>
      <c r="G13" s="6">
        <v>6593179.8300000001</v>
      </c>
      <c r="H13" s="6">
        <f>SUM(C13:G13)</f>
        <v>112424925.62</v>
      </c>
      <c r="I13" s="6">
        <f t="shared" si="1"/>
        <v>6095.8046749444238</v>
      </c>
    </row>
    <row r="14" spans="1:9" x14ac:dyDescent="0.2">
      <c r="A14" s="1" t="s">
        <v>82</v>
      </c>
      <c r="B14" s="6">
        <v>8278</v>
      </c>
      <c r="C14" s="6">
        <v>35739622.380000003</v>
      </c>
      <c r="D14" s="6">
        <v>4930411.9000000004</v>
      </c>
      <c r="E14" s="6">
        <v>4411829.2</v>
      </c>
      <c r="F14" s="6">
        <v>2527982.92</v>
      </c>
      <c r="G14" s="6">
        <v>1390359.59</v>
      </c>
      <c r="H14" s="6">
        <f>SUM(C14:G14)</f>
        <v>49000205.99000001</v>
      </c>
      <c r="I14" s="6">
        <f t="shared" si="1"/>
        <v>5919.3290637835235</v>
      </c>
    </row>
    <row r="15" spans="1:9" x14ac:dyDescent="0.2">
      <c r="A15" s="1" t="s">
        <v>83</v>
      </c>
      <c r="B15" s="6">
        <v>5306</v>
      </c>
      <c r="C15" s="6">
        <v>23401136.260000002</v>
      </c>
      <c r="D15" s="6">
        <v>4263194.49</v>
      </c>
      <c r="E15" s="6">
        <v>3164715.83</v>
      </c>
      <c r="F15" s="6">
        <v>2372200.63</v>
      </c>
      <c r="G15" s="6">
        <v>1223575.8600000001</v>
      </c>
      <c r="H15" s="6">
        <f>SUM(C15:G15)</f>
        <v>34424823.07</v>
      </c>
      <c r="I15" s="6">
        <f t="shared" si="1"/>
        <v>6487.9048379193364</v>
      </c>
    </row>
    <row r="16" spans="1:9" x14ac:dyDescent="0.2">
      <c r="A16" s="1" t="s">
        <v>84</v>
      </c>
      <c r="B16" s="6">
        <v>5862</v>
      </c>
      <c r="C16" s="6">
        <v>31742109.170000002</v>
      </c>
      <c r="D16" s="6">
        <v>6605122.9299999997</v>
      </c>
      <c r="E16" s="6">
        <v>5092367.43</v>
      </c>
      <c r="F16" s="6">
        <v>2665116.89</v>
      </c>
      <c r="G16" s="6">
        <v>2690469.46</v>
      </c>
      <c r="H16" s="6">
        <f>SUM(C16:G16)</f>
        <v>48795185.880000003</v>
      </c>
      <c r="I16" s="6">
        <f t="shared" si="1"/>
        <v>8323.9825793244636</v>
      </c>
    </row>
    <row r="17" spans="1:9" x14ac:dyDescent="0.2">
      <c r="A17" s="14" t="s">
        <v>85</v>
      </c>
      <c r="B17" s="7">
        <v>2330</v>
      </c>
      <c r="C17" s="7">
        <v>18555114.920000002</v>
      </c>
      <c r="D17" s="7">
        <v>3950233.93</v>
      </c>
      <c r="E17" s="7">
        <v>3193038.48</v>
      </c>
      <c r="F17" s="7">
        <v>1972704.28</v>
      </c>
      <c r="G17" s="7">
        <v>779959.96</v>
      </c>
      <c r="H17" s="7">
        <f>SUM(C17:G17)</f>
        <v>28451051.570000004</v>
      </c>
      <c r="I17" s="7">
        <f t="shared" si="1"/>
        <v>12210.751746781118</v>
      </c>
    </row>
    <row r="18" spans="1:9" x14ac:dyDescent="0.2">
      <c r="A18" s="1" t="s">
        <v>104</v>
      </c>
      <c r="B18" s="6">
        <f t="shared" ref="B18:H18" si="3">SUM(B13:B17)</f>
        <v>40219</v>
      </c>
      <c r="C18" s="6">
        <f t="shared" si="3"/>
        <v>192757998.93000001</v>
      </c>
      <c r="D18" s="6">
        <f t="shared" si="3"/>
        <v>31741846.920000002</v>
      </c>
      <c r="E18" s="6">
        <f t="shared" si="3"/>
        <v>23486763.330000002</v>
      </c>
      <c r="F18" s="6">
        <f t="shared" si="3"/>
        <v>12432038.249999998</v>
      </c>
      <c r="G18" s="6">
        <f t="shared" si="3"/>
        <v>12677544.699999999</v>
      </c>
      <c r="H18" s="6">
        <f t="shared" si="3"/>
        <v>273096192.13</v>
      </c>
      <c r="I18" s="6">
        <f t="shared" si="1"/>
        <v>6790.2283032894902</v>
      </c>
    </row>
    <row r="19" spans="1:9" x14ac:dyDescent="0.2">
      <c r="B19" s="1"/>
      <c r="C19" s="6"/>
      <c r="D19" s="6"/>
      <c r="E19" s="6"/>
      <c r="F19" s="6"/>
      <c r="G19" s="6"/>
      <c r="H19" s="6"/>
      <c r="I19" s="6"/>
    </row>
    <row r="20" spans="1:9" x14ac:dyDescent="0.2">
      <c r="A20" s="1" t="s">
        <v>86</v>
      </c>
      <c r="B20" s="6">
        <v>6151</v>
      </c>
      <c r="C20" s="6">
        <v>21558887.390000001</v>
      </c>
      <c r="D20" s="6">
        <v>3574084.07</v>
      </c>
      <c r="E20" s="6">
        <v>2209243.79</v>
      </c>
      <c r="F20" s="6">
        <v>2452016.75</v>
      </c>
      <c r="G20" s="6">
        <v>593096.53</v>
      </c>
      <c r="H20" s="6">
        <f>SUM(C20:G20)</f>
        <v>30387328.530000001</v>
      </c>
      <c r="I20" s="6">
        <f t="shared" si="1"/>
        <v>4940.2257405299952</v>
      </c>
    </row>
    <row r="21" spans="1:9" x14ac:dyDescent="0.2">
      <c r="A21" s="14" t="s">
        <v>87</v>
      </c>
      <c r="B21" s="7">
        <v>1679</v>
      </c>
      <c r="C21" s="7">
        <v>9207620.9600000009</v>
      </c>
      <c r="D21" s="7">
        <v>1507958.72</v>
      </c>
      <c r="E21" s="7">
        <v>1571793.91</v>
      </c>
      <c r="F21" s="7">
        <v>841134.35</v>
      </c>
      <c r="G21" s="7">
        <v>357192.86</v>
      </c>
      <c r="H21" s="7">
        <f>SUM(C21:G21)</f>
        <v>13485700.800000001</v>
      </c>
      <c r="I21" s="7">
        <f t="shared" si="1"/>
        <v>8031.9837998808816</v>
      </c>
    </row>
    <row r="22" spans="1:9" x14ac:dyDescent="0.2">
      <c r="A22" s="1" t="s">
        <v>105</v>
      </c>
      <c r="B22" s="6">
        <f>SUM(B20:B21)</f>
        <v>7830</v>
      </c>
      <c r="C22" s="6">
        <f t="shared" ref="C22:H22" si="4">SUM(C20:C21)</f>
        <v>30766508.350000001</v>
      </c>
      <c r="D22" s="6">
        <f t="shared" si="4"/>
        <v>5082042.79</v>
      </c>
      <c r="E22" s="6">
        <f t="shared" si="4"/>
        <v>3781037.7</v>
      </c>
      <c r="F22" s="6">
        <f t="shared" si="4"/>
        <v>3293151.1</v>
      </c>
      <c r="G22" s="6">
        <f t="shared" si="4"/>
        <v>950289.39</v>
      </c>
      <c r="H22" s="6">
        <f t="shared" si="4"/>
        <v>43873029.329999998</v>
      </c>
      <c r="I22" s="6">
        <f t="shared" si="1"/>
        <v>5603.1965938697313</v>
      </c>
    </row>
    <row r="23" spans="1:9" x14ac:dyDescent="0.2">
      <c r="B23" s="1"/>
      <c r="C23" s="6"/>
      <c r="D23" s="6"/>
      <c r="E23" s="6"/>
      <c r="F23" s="6"/>
      <c r="G23" s="6"/>
      <c r="H23" s="6"/>
      <c r="I23" s="6"/>
    </row>
    <row r="24" spans="1:9" ht="13.5" thickBot="1" x14ac:dyDescent="0.25">
      <c r="A24" s="15" t="s">
        <v>107</v>
      </c>
      <c r="B24" s="8">
        <f>B11+B18+B22</f>
        <v>151071</v>
      </c>
      <c r="C24" s="8">
        <f t="shared" ref="C24:H24" si="5">C11+C18+C22</f>
        <v>600479963.11000001</v>
      </c>
      <c r="D24" s="8">
        <f t="shared" si="5"/>
        <v>82950778.790000007</v>
      </c>
      <c r="E24" s="8">
        <f t="shared" si="5"/>
        <v>62796540.24000001</v>
      </c>
      <c r="F24" s="8">
        <f t="shared" si="5"/>
        <v>32358219.049999997</v>
      </c>
      <c r="G24" s="8">
        <f t="shared" si="5"/>
        <v>28638343.229999997</v>
      </c>
      <c r="H24" s="8">
        <f t="shared" si="5"/>
        <v>807223844.41999996</v>
      </c>
      <c r="I24" s="8">
        <f t="shared" si="1"/>
        <v>5343.3408425177558</v>
      </c>
    </row>
    <row r="25" spans="1:9" ht="13.5" thickTop="1" x14ac:dyDescent="0.2">
      <c r="A25" s="1"/>
      <c r="B25" s="6"/>
      <c r="C25" s="6"/>
      <c r="D25" s="6"/>
      <c r="E25" s="6"/>
      <c r="F25" s="6"/>
      <c r="G25" s="6"/>
      <c r="H25" s="6"/>
      <c r="I25" s="83"/>
    </row>
    <row r="26" spans="1:9" x14ac:dyDescent="0.2">
      <c r="A26" s="36" t="s">
        <v>247</v>
      </c>
      <c r="B26" s="1"/>
      <c r="C26" s="6"/>
      <c r="D26" s="6"/>
      <c r="E26" s="6"/>
      <c r="F26" s="6"/>
      <c r="G26" s="6"/>
      <c r="H26" s="6"/>
      <c r="I26" s="82"/>
    </row>
    <row r="27" spans="1:9" x14ac:dyDescent="0.2">
      <c r="A27" s="36" t="s">
        <v>346</v>
      </c>
      <c r="B27" s="6"/>
      <c r="C27" s="6"/>
      <c r="D27" s="6"/>
      <c r="E27" s="6"/>
      <c r="F27" s="6"/>
      <c r="G27" s="6"/>
      <c r="H27" s="6"/>
      <c r="I27" s="82"/>
    </row>
    <row r="28" spans="1:9" ht="33.75" x14ac:dyDescent="0.2">
      <c r="A28" s="155" t="s">
        <v>245</v>
      </c>
      <c r="B28" s="165" t="s">
        <v>345</v>
      </c>
      <c r="C28" s="141" t="s">
        <v>89</v>
      </c>
      <c r="D28" s="141" t="s">
        <v>90</v>
      </c>
      <c r="E28" s="141" t="s">
        <v>91</v>
      </c>
      <c r="F28" s="141" t="s">
        <v>92</v>
      </c>
      <c r="G28" s="141" t="s">
        <v>93</v>
      </c>
      <c r="H28" s="141" t="s">
        <v>106</v>
      </c>
      <c r="I28" s="82"/>
    </row>
    <row r="29" spans="1:9" x14ac:dyDescent="0.2">
      <c r="A29" s="1" t="s">
        <v>102</v>
      </c>
      <c r="B29" s="1">
        <f t="shared" ref="B29:B34" si="6">B5</f>
        <v>39396</v>
      </c>
      <c r="C29" s="6">
        <f>C5/$B$5</f>
        <v>3617.7049766473751</v>
      </c>
      <c r="D29" s="6">
        <f>D5/$B$5</f>
        <v>412.53879048634377</v>
      </c>
      <c r="E29" s="6">
        <f>E5/$B$5</f>
        <v>229.85818077977461</v>
      </c>
      <c r="F29" s="6">
        <f>F5/$B$5</f>
        <v>102.43011067113413</v>
      </c>
      <c r="G29" s="6">
        <f>G5/$B$5</f>
        <v>121.88355518326733</v>
      </c>
      <c r="H29" s="6">
        <f t="shared" ref="H29:H34" si="7">SUM(C29:G29)</f>
        <v>4484.4156137678956</v>
      </c>
      <c r="I29" s="82"/>
    </row>
    <row r="30" spans="1:9" x14ac:dyDescent="0.2">
      <c r="A30" s="1" t="s">
        <v>76</v>
      </c>
      <c r="B30" s="1">
        <f t="shared" si="6"/>
        <v>23853</v>
      </c>
      <c r="C30" s="6">
        <f>C6/$B$6</f>
        <v>3587.0308028340251</v>
      </c>
      <c r="D30" s="6">
        <f>D6/$B$6</f>
        <v>342.47899132184631</v>
      </c>
      <c r="E30" s="6">
        <f>E6/$B$6</f>
        <v>319.45140737014214</v>
      </c>
      <c r="F30" s="6">
        <f>F6/$B$6</f>
        <v>184.8196256236113</v>
      </c>
      <c r="G30" s="6">
        <f>G6/$B$6</f>
        <v>179.49553012199723</v>
      </c>
      <c r="H30" s="6">
        <f t="shared" si="7"/>
        <v>4613.2763572716221</v>
      </c>
      <c r="I30" s="82"/>
    </row>
    <row r="31" spans="1:9" x14ac:dyDescent="0.2">
      <c r="A31" s="1" t="s">
        <v>77</v>
      </c>
      <c r="B31" s="1">
        <f t="shared" si="6"/>
        <v>15381</v>
      </c>
      <c r="C31" s="6">
        <f>C7/$B$7</f>
        <v>3687.7798322605813</v>
      </c>
      <c r="D31" s="6">
        <f>D7/$B$7</f>
        <v>454.83405305246737</v>
      </c>
      <c r="E31" s="6">
        <f>E7/$B$7</f>
        <v>406.69457512515442</v>
      </c>
      <c r="F31" s="6">
        <f>F7/$B$7</f>
        <v>177.66719914179831</v>
      </c>
      <c r="G31" s="6">
        <f>G7/$B$7</f>
        <v>104.46876666016514</v>
      </c>
      <c r="H31" s="6">
        <f t="shared" si="7"/>
        <v>4831.4444262401657</v>
      </c>
      <c r="I31" s="82"/>
    </row>
    <row r="32" spans="1:9" x14ac:dyDescent="0.2">
      <c r="A32" s="1" t="s">
        <v>78</v>
      </c>
      <c r="B32" s="1">
        <f t="shared" si="6"/>
        <v>15059</v>
      </c>
      <c r="C32" s="6">
        <f>C8/$B$8</f>
        <v>3639.3840248356464</v>
      </c>
      <c r="D32" s="6">
        <f>D8/$B$8</f>
        <v>505.23555348960758</v>
      </c>
      <c r="E32" s="6">
        <f>E8/$B$8</f>
        <v>468.2130692609071</v>
      </c>
      <c r="F32" s="6">
        <f>F8/$B$8</f>
        <v>208.53884919317349</v>
      </c>
      <c r="G32" s="6">
        <f>G8/$B$8</f>
        <v>199.42364698851188</v>
      </c>
      <c r="H32" s="6">
        <f t="shared" si="7"/>
        <v>5020.7951437678466</v>
      </c>
      <c r="I32" s="82"/>
    </row>
    <row r="33" spans="1:9" x14ac:dyDescent="0.2">
      <c r="A33" s="1" t="s">
        <v>79</v>
      </c>
      <c r="B33" s="1">
        <f t="shared" si="6"/>
        <v>7546</v>
      </c>
      <c r="C33" s="6">
        <f>C9/$B$9</f>
        <v>4230.3665186853959</v>
      </c>
      <c r="D33" s="6">
        <f>D9/$B$9</f>
        <v>715.56780678505163</v>
      </c>
      <c r="E33" s="6">
        <f>E9/$B$9</f>
        <v>598.36819374503045</v>
      </c>
      <c r="F33" s="6">
        <f>F9/$B$9</f>
        <v>270.86268221574346</v>
      </c>
      <c r="G33" s="6">
        <f>G9/$B$9</f>
        <v>171.11238802014313</v>
      </c>
      <c r="H33" s="6">
        <f t="shared" si="7"/>
        <v>5986.2775894513634</v>
      </c>
      <c r="I33" s="83"/>
    </row>
    <row r="34" spans="1:9" x14ac:dyDescent="0.2">
      <c r="A34" s="14" t="s">
        <v>80</v>
      </c>
      <c r="B34" s="14">
        <f t="shared" si="6"/>
        <v>1787</v>
      </c>
      <c r="C34" s="7">
        <f>C10/$B$10</f>
        <v>3033.7624230554002</v>
      </c>
      <c r="D34" s="7">
        <f>D10/$B$10</f>
        <v>952.17687185226646</v>
      </c>
      <c r="E34" s="7">
        <f>E10/$B$10</f>
        <v>577.44579742585336</v>
      </c>
      <c r="F34" s="7">
        <f>F10/$B$10</f>
        <v>152.30834359261331</v>
      </c>
      <c r="G34" s="7">
        <f>G10/$B$10</f>
        <v>14.610430889759373</v>
      </c>
      <c r="H34" s="7">
        <f t="shared" si="7"/>
        <v>4730.3038668158924</v>
      </c>
      <c r="I34" s="83"/>
    </row>
    <row r="35" spans="1:9" x14ac:dyDescent="0.2">
      <c r="A35" s="1" t="s">
        <v>103</v>
      </c>
      <c r="B35" s="6">
        <f>SUM(B29:B34)</f>
        <v>103022</v>
      </c>
      <c r="C35" s="6">
        <f t="shared" ref="C35:H35" si="8">C11/$B$35</f>
        <v>3658.9801773407621</v>
      </c>
      <c r="D35" s="6">
        <f t="shared" si="8"/>
        <v>447.73824115237528</v>
      </c>
      <c r="E35" s="6">
        <f t="shared" si="8"/>
        <v>344.8655550270816</v>
      </c>
      <c r="F35" s="6">
        <f t="shared" si="8"/>
        <v>161.45124051173536</v>
      </c>
      <c r="G35" s="6">
        <f t="shared" si="8"/>
        <v>145.70197763584477</v>
      </c>
      <c r="H35" s="6">
        <f t="shared" si="8"/>
        <v>4758.7371916677985</v>
      </c>
      <c r="I35" s="83"/>
    </row>
    <row r="36" spans="1:9" x14ac:dyDescent="0.2">
      <c r="A36" s="1"/>
      <c r="B36" s="1"/>
      <c r="C36" s="6"/>
      <c r="D36" s="6"/>
      <c r="E36" s="6"/>
      <c r="F36" s="6"/>
      <c r="G36" s="6"/>
      <c r="H36" s="6"/>
      <c r="I36" s="83"/>
    </row>
    <row r="37" spans="1:9" x14ac:dyDescent="0.2">
      <c r="A37" s="1" t="s">
        <v>81</v>
      </c>
      <c r="B37" s="1">
        <f>B13</f>
        <v>18443</v>
      </c>
      <c r="C37" s="6">
        <f>C13/$B$13</f>
        <v>4517.7040720056393</v>
      </c>
      <c r="D37" s="6">
        <f>D13/$B$13</f>
        <v>650.26750908203655</v>
      </c>
      <c r="E37" s="6">
        <f>E13/$B$13</f>
        <v>413.42581955213359</v>
      </c>
      <c r="F37" s="6">
        <f>F13/$B$13</f>
        <v>156.91772108659111</v>
      </c>
      <c r="G37" s="6">
        <f>G13/$B$13</f>
        <v>357.4895532180231</v>
      </c>
      <c r="H37" s="6">
        <f>SUM(C37:G37)</f>
        <v>6095.8046749444238</v>
      </c>
      <c r="I37" s="83"/>
    </row>
    <row r="38" spans="1:9" x14ac:dyDescent="0.2">
      <c r="A38" s="1" t="s">
        <v>82</v>
      </c>
      <c r="B38" s="1">
        <f>B14</f>
        <v>8278</v>
      </c>
      <c r="C38" s="6">
        <f>C14/$B$14</f>
        <v>4317.422370137715</v>
      </c>
      <c r="D38" s="6">
        <f>D14/$B$14</f>
        <v>595.60424015462672</v>
      </c>
      <c r="E38" s="6">
        <f>E14/$B$14</f>
        <v>532.95834742691477</v>
      </c>
      <c r="F38" s="6">
        <f>F14/$B$14</f>
        <v>305.38571152452283</v>
      </c>
      <c r="G38" s="6">
        <f>G14/$B$14</f>
        <v>167.95839453974392</v>
      </c>
      <c r="H38" s="6">
        <f>SUM(C38:G38)</f>
        <v>5919.3290637835225</v>
      </c>
      <c r="I38" s="83"/>
    </row>
    <row r="39" spans="1:9" x14ac:dyDescent="0.2">
      <c r="A39" s="1" t="s">
        <v>83</v>
      </c>
      <c r="B39" s="1">
        <f>B15</f>
        <v>5306</v>
      </c>
      <c r="C39" s="6">
        <f>C15/$B$15</f>
        <v>4410.3159178288734</v>
      </c>
      <c r="D39" s="6">
        <f>D15/$B$15</f>
        <v>803.46673388616659</v>
      </c>
      <c r="E39" s="6">
        <f>E15/$B$15</f>
        <v>596.44097813795702</v>
      </c>
      <c r="F39" s="6">
        <f>F15/$B$15</f>
        <v>447.0788974745571</v>
      </c>
      <c r="G39" s="6">
        <f>G15/$B$15</f>
        <v>230.6023105917829</v>
      </c>
      <c r="H39" s="6">
        <f>SUM(C39:G39)</f>
        <v>6487.9048379193373</v>
      </c>
      <c r="I39" s="83"/>
    </row>
    <row r="40" spans="1:9" x14ac:dyDescent="0.2">
      <c r="A40" s="1" t="s">
        <v>84</v>
      </c>
      <c r="B40" s="1">
        <f>B16</f>
        <v>5862</v>
      </c>
      <c r="C40" s="6">
        <f>C16/$B$16</f>
        <v>5414.8940924599119</v>
      </c>
      <c r="D40" s="6">
        <f>D16/$B$16</f>
        <v>1126.7695206414191</v>
      </c>
      <c r="E40" s="6">
        <f>E16/$B$16</f>
        <v>868.70819344933466</v>
      </c>
      <c r="F40" s="6">
        <f>F16/$B$16</f>
        <v>454.64293585806894</v>
      </c>
      <c r="G40" s="6">
        <f>G16/$B$16</f>
        <v>458.96783691572841</v>
      </c>
      <c r="H40" s="6">
        <f>SUM(C40:G40)</f>
        <v>8323.9825793244636</v>
      </c>
      <c r="I40" s="83"/>
    </row>
    <row r="41" spans="1:9" x14ac:dyDescent="0.2">
      <c r="A41" s="14" t="s">
        <v>85</v>
      </c>
      <c r="B41" s="14">
        <f>B17</f>
        <v>2330</v>
      </c>
      <c r="C41" s="7">
        <f>C17/$B$17</f>
        <v>7963.5686351931336</v>
      </c>
      <c r="D41" s="7">
        <f>D17/$B$17</f>
        <v>1695.3793690987125</v>
      </c>
      <c r="E41" s="7">
        <f>E17/$B$17</f>
        <v>1370.4027811158799</v>
      </c>
      <c r="F41" s="7">
        <f>F17/$B$17</f>
        <v>846.65419742489269</v>
      </c>
      <c r="G41" s="7">
        <f>G17/$B$17</f>
        <v>334.74676394849786</v>
      </c>
      <c r="H41" s="7">
        <f>SUM(C41:G41)</f>
        <v>12210.751746781116</v>
      </c>
      <c r="I41" s="83"/>
    </row>
    <row r="42" spans="1:9" x14ac:dyDescent="0.2">
      <c r="A42" s="1" t="s">
        <v>104</v>
      </c>
      <c r="B42" s="6">
        <f>SUM(B37:B41)</f>
        <v>40219</v>
      </c>
      <c r="C42" s="6">
        <f t="shared" ref="C42:H42" si="9">C18/$B$42</f>
        <v>4792.7098866207516</v>
      </c>
      <c r="D42" s="6">
        <f t="shared" si="9"/>
        <v>789.22516522041826</v>
      </c>
      <c r="E42" s="6">
        <f t="shared" si="9"/>
        <v>583.97183744001597</v>
      </c>
      <c r="F42" s="6">
        <f t="shared" si="9"/>
        <v>309.10858673761152</v>
      </c>
      <c r="G42" s="6">
        <f t="shared" si="9"/>
        <v>315.21282727069291</v>
      </c>
      <c r="H42" s="6">
        <f t="shared" si="9"/>
        <v>6790.2283032894902</v>
      </c>
      <c r="I42" s="83"/>
    </row>
    <row r="43" spans="1:9" x14ac:dyDescent="0.2">
      <c r="A43" s="1"/>
      <c r="B43" s="1"/>
      <c r="C43" s="6"/>
      <c r="D43" s="6"/>
      <c r="E43" s="6"/>
      <c r="F43" s="6"/>
      <c r="G43" s="6"/>
      <c r="H43" s="6"/>
      <c r="I43" s="83"/>
    </row>
    <row r="44" spans="1:9" x14ac:dyDescent="0.2">
      <c r="A44" s="1" t="s">
        <v>86</v>
      </c>
      <c r="B44" s="1">
        <f>B20</f>
        <v>6151</v>
      </c>
      <c r="C44" s="6">
        <f>C20/$B$20</f>
        <v>3504.9402357340273</v>
      </c>
      <c r="D44" s="6">
        <f>D20/$B$20</f>
        <v>581.05740042269542</v>
      </c>
      <c r="E44" s="6">
        <f>E20/$B$20</f>
        <v>359.16823118192167</v>
      </c>
      <c r="F44" s="6">
        <f>F20/$B$20</f>
        <v>398.63709152983256</v>
      </c>
      <c r="G44" s="6">
        <f>G20/$B$20</f>
        <v>96.422781661518457</v>
      </c>
      <c r="H44" s="6">
        <f>SUM(C44:G44)</f>
        <v>4940.2257405299952</v>
      </c>
      <c r="I44" s="83"/>
    </row>
    <row r="45" spans="1:9" x14ac:dyDescent="0.2">
      <c r="A45" s="14" t="s">
        <v>87</v>
      </c>
      <c r="B45" s="14">
        <f>B21</f>
        <v>1679</v>
      </c>
      <c r="C45" s="7">
        <f>C21/$B$21</f>
        <v>5483.9910422870762</v>
      </c>
      <c r="D45" s="7">
        <f>D21/$B$21</f>
        <v>898.12907683144726</v>
      </c>
      <c r="E45" s="7">
        <f>E21/$B$21</f>
        <v>936.14884455032757</v>
      </c>
      <c r="F45" s="7">
        <f>F21/$B$21</f>
        <v>500.97340678975581</v>
      </c>
      <c r="G45" s="7">
        <f>G21/$B$21</f>
        <v>212.74142942227516</v>
      </c>
      <c r="H45" s="7">
        <f>SUM(C45:G45)</f>
        <v>8031.9837998808825</v>
      </c>
      <c r="I45" s="83"/>
    </row>
    <row r="46" spans="1:9" x14ac:dyDescent="0.2">
      <c r="A46" s="1" t="s">
        <v>105</v>
      </c>
      <c r="B46" s="6">
        <f>SUM(B44:B45)</f>
        <v>7830</v>
      </c>
      <c r="C46" s="6">
        <f t="shared" ref="C46:H46" si="10">C22/$B$46</f>
        <v>3929.3114112388253</v>
      </c>
      <c r="D46" s="6">
        <f t="shared" si="10"/>
        <v>649.04761047254146</v>
      </c>
      <c r="E46" s="6">
        <f t="shared" si="10"/>
        <v>482.89114942528738</v>
      </c>
      <c r="F46" s="6">
        <f t="shared" si="10"/>
        <v>420.58123882503196</v>
      </c>
      <c r="G46" s="6">
        <f t="shared" si="10"/>
        <v>121.36518390804598</v>
      </c>
      <c r="H46" s="6">
        <f t="shared" si="10"/>
        <v>5603.1965938697313</v>
      </c>
      <c r="I46" s="83"/>
    </row>
    <row r="47" spans="1:9" x14ac:dyDescent="0.2">
      <c r="A47" s="1"/>
      <c r="B47" s="1"/>
      <c r="C47" s="6"/>
      <c r="D47" s="6"/>
      <c r="E47" s="6"/>
      <c r="F47" s="6"/>
      <c r="G47" s="6"/>
      <c r="H47" s="6"/>
      <c r="I47" s="83"/>
    </row>
    <row r="48" spans="1:9" ht="13.5" thickBot="1" x14ac:dyDescent="0.25">
      <c r="A48" s="15" t="s">
        <v>112</v>
      </c>
      <c r="B48" s="8">
        <f>B35+B42+B46</f>
        <v>151071</v>
      </c>
      <c r="C48" s="8">
        <f t="shared" ref="C48:H48" si="11">C24/$B$48</f>
        <v>3974.8195425329814</v>
      </c>
      <c r="D48" s="8">
        <f t="shared" si="11"/>
        <v>549.08472698267701</v>
      </c>
      <c r="E48" s="8">
        <f t="shared" si="11"/>
        <v>415.67567726433271</v>
      </c>
      <c r="F48" s="8">
        <f t="shared" si="11"/>
        <v>214.19212853558921</v>
      </c>
      <c r="G48" s="8">
        <f t="shared" si="11"/>
        <v>189.56876720217645</v>
      </c>
      <c r="H48" s="8">
        <f t="shared" si="11"/>
        <v>5343.3408425177558</v>
      </c>
      <c r="I48" s="83"/>
    </row>
    <row r="49" spans="1:9" ht="13.5" thickTop="1" x14ac:dyDescent="0.2">
      <c r="A49" s="1"/>
      <c r="B49" s="6"/>
      <c r="C49" s="6"/>
      <c r="D49" s="6"/>
      <c r="E49" s="6"/>
      <c r="F49" s="6"/>
      <c r="G49" s="6"/>
      <c r="H49" s="6"/>
      <c r="I49" s="83"/>
    </row>
    <row r="50" spans="1:9" x14ac:dyDescent="0.2">
      <c r="A50" s="1"/>
      <c r="B50" s="6"/>
      <c r="C50" s="6"/>
      <c r="D50" s="6"/>
      <c r="E50" s="6"/>
      <c r="F50" s="6"/>
      <c r="G50" s="6"/>
      <c r="H50" s="6"/>
      <c r="I50" s="83"/>
    </row>
    <row r="51" spans="1:9" x14ac:dyDescent="0.2">
      <c r="A51" s="36" t="s">
        <v>247</v>
      </c>
      <c r="B51" s="1"/>
      <c r="C51" s="1"/>
      <c r="D51" s="1"/>
      <c r="E51" s="1"/>
      <c r="F51" s="1"/>
      <c r="G51" s="1"/>
      <c r="H51" s="1"/>
      <c r="I51" s="82"/>
    </row>
    <row r="52" spans="1:9" x14ac:dyDescent="0.2">
      <c r="A52" s="22" t="s">
        <v>347</v>
      </c>
      <c r="B52" s="6"/>
      <c r="C52" s="6"/>
      <c r="D52" s="6"/>
      <c r="E52" s="6"/>
      <c r="F52" s="6"/>
      <c r="G52" s="6"/>
      <c r="H52" s="1"/>
      <c r="I52" s="83"/>
    </row>
    <row r="53" spans="1:9" ht="33.75" x14ac:dyDescent="0.2">
      <c r="A53" s="155" t="s">
        <v>245</v>
      </c>
      <c r="B53" s="165" t="s">
        <v>345</v>
      </c>
      <c r="C53" s="141" t="s">
        <v>89</v>
      </c>
      <c r="D53" s="141" t="s">
        <v>90</v>
      </c>
      <c r="E53" s="141" t="s">
        <v>91</v>
      </c>
      <c r="F53" s="141" t="s">
        <v>92</v>
      </c>
      <c r="G53" s="141" t="s">
        <v>93</v>
      </c>
      <c r="H53" s="160" t="s">
        <v>113</v>
      </c>
      <c r="I53" s="82"/>
    </row>
    <row r="54" spans="1:9" x14ac:dyDescent="0.2">
      <c r="A54" s="1" t="s">
        <v>102</v>
      </c>
      <c r="B54" s="6">
        <f t="shared" ref="B54:B59" si="12">B5</f>
        <v>39396</v>
      </c>
      <c r="C54" s="9">
        <f>C29/$H$29</f>
        <v>0.80672829822918823</v>
      </c>
      <c r="D54" s="9">
        <f>D29/$H$29</f>
        <v>9.1993879697453027E-2</v>
      </c>
      <c r="E54" s="9">
        <f>E29/$H$29</f>
        <v>5.1257109192571731E-2</v>
      </c>
      <c r="F54" s="9">
        <f>F29/$H$29</f>
        <v>2.2841350912403569E-2</v>
      </c>
      <c r="G54" s="9">
        <f>G29/$H$29</f>
        <v>2.7179361968383286E-2</v>
      </c>
      <c r="H54" s="9">
        <f>SUM(C54:G54)</f>
        <v>0.99999999999999989</v>
      </c>
      <c r="I54" s="82"/>
    </row>
    <row r="55" spans="1:9" x14ac:dyDescent="0.2">
      <c r="A55" s="1" t="s">
        <v>76</v>
      </c>
      <c r="B55" s="6">
        <f t="shared" si="12"/>
        <v>23853</v>
      </c>
      <c r="C55" s="9">
        <f>C30/$H$30</f>
        <v>0.77754518156711128</v>
      </c>
      <c r="D55" s="9">
        <f>D30/$H$30</f>
        <v>7.4237692433495303E-2</v>
      </c>
      <c r="E55" s="9">
        <f>E30/$H$30</f>
        <v>6.9246102472619198E-2</v>
      </c>
      <c r="F55" s="9">
        <f>F30/$H$30</f>
        <v>4.0062552362008737E-2</v>
      </c>
      <c r="G55" s="9">
        <f>G30/$H$30</f>
        <v>3.8908471164765479E-2</v>
      </c>
      <c r="H55" s="9">
        <f t="shared" ref="H55:H70" si="13">SUM(C55:G55)</f>
        <v>1</v>
      </c>
      <c r="I55" s="82"/>
    </row>
    <row r="56" spans="1:9" x14ac:dyDescent="0.2">
      <c r="A56" s="1" t="s">
        <v>77</v>
      </c>
      <c r="B56" s="6">
        <f t="shared" si="12"/>
        <v>15381</v>
      </c>
      <c r="C56" s="9">
        <f>C31/$H$31</f>
        <v>0.76328722984617148</v>
      </c>
      <c r="D56" s="9">
        <f>D31/$H$31</f>
        <v>9.4140388034312877E-2</v>
      </c>
      <c r="E56" s="9">
        <f>E31/$H$31</f>
        <v>8.4176602118477536E-2</v>
      </c>
      <c r="F56" s="9">
        <f>F31/$H$31</f>
        <v>3.677310209279569E-2</v>
      </c>
      <c r="G56" s="9">
        <f>G31/$H$31</f>
        <v>2.1622677908242613E-2</v>
      </c>
      <c r="H56" s="9">
        <f t="shared" si="13"/>
        <v>1.0000000000000002</v>
      </c>
      <c r="I56" s="82"/>
    </row>
    <row r="57" spans="1:9" x14ac:dyDescent="0.2">
      <c r="A57" s="1" t="s">
        <v>78</v>
      </c>
      <c r="B57" s="6">
        <f t="shared" si="12"/>
        <v>15059</v>
      </c>
      <c r="C57" s="9">
        <f>C32/$H$32</f>
        <v>0.72486208272271335</v>
      </c>
      <c r="D57" s="9">
        <f>D32/$H$32</f>
        <v>0.10062859348418954</v>
      </c>
      <c r="E57" s="9">
        <f>E32/$H$32</f>
        <v>9.3254764604782783E-2</v>
      </c>
      <c r="F57" s="9">
        <f>F32/$H$32</f>
        <v>4.1535024477552349E-2</v>
      </c>
      <c r="G57" s="9">
        <f>G32/$H$32</f>
        <v>3.9719534710761922E-2</v>
      </c>
      <c r="H57" s="9">
        <f t="shared" si="13"/>
        <v>0.99999999999999989</v>
      </c>
      <c r="I57" s="82"/>
    </row>
    <row r="58" spans="1:9" x14ac:dyDescent="0.2">
      <c r="A58" s="1" t="s">
        <v>79</v>
      </c>
      <c r="B58" s="6">
        <f t="shared" si="12"/>
        <v>7546</v>
      </c>
      <c r="C58" s="9">
        <f>C33/$H$33</f>
        <v>0.70667730580016508</v>
      </c>
      <c r="D58" s="9">
        <f>D33/$H$33</f>
        <v>0.11953468513487908</v>
      </c>
      <c r="E58" s="9">
        <f>E33/$H$33</f>
        <v>9.9956639965950916E-2</v>
      </c>
      <c r="F58" s="9">
        <f>F33/$H$33</f>
        <v>4.5247263957996268E-2</v>
      </c>
      <c r="G58" s="9">
        <f>G33/$H$33</f>
        <v>2.8584105141008908E-2</v>
      </c>
      <c r="H58" s="9">
        <f t="shared" si="13"/>
        <v>1.0000000000000002</v>
      </c>
      <c r="I58" s="82"/>
    </row>
    <row r="59" spans="1:9" x14ac:dyDescent="0.2">
      <c r="A59" s="14" t="s">
        <v>80</v>
      </c>
      <c r="B59" s="7">
        <f t="shared" si="12"/>
        <v>1787</v>
      </c>
      <c r="C59" s="10">
        <f>C34/$H$34</f>
        <v>0.64134620279637877</v>
      </c>
      <c r="D59" s="10">
        <f>D34/$H$34</f>
        <v>0.20129296101504043</v>
      </c>
      <c r="E59" s="10">
        <f>E34/$H$34</f>
        <v>0.12207372162214797</v>
      </c>
      <c r="F59" s="10">
        <f>F34/$H$34</f>
        <v>3.2198426968104391E-2</v>
      </c>
      <c r="G59" s="10">
        <f>G34/$H$34</f>
        <v>3.0886875983284529E-3</v>
      </c>
      <c r="H59" s="10">
        <f t="shared" si="13"/>
        <v>1</v>
      </c>
      <c r="I59" s="82"/>
    </row>
    <row r="60" spans="1:9" x14ac:dyDescent="0.2">
      <c r="A60" s="1" t="s">
        <v>108</v>
      </c>
      <c r="B60" s="6">
        <f>SUM(B54:B59)</f>
        <v>103022</v>
      </c>
      <c r="C60" s="9">
        <f t="shared" ref="C60:H60" si="14">C35/$H$35</f>
        <v>0.76889729984403621</v>
      </c>
      <c r="D60" s="9">
        <f t="shared" si="14"/>
        <v>9.4087616760247295E-2</v>
      </c>
      <c r="E60" s="9">
        <f t="shared" si="14"/>
        <v>7.2469972838785049E-2</v>
      </c>
      <c r="F60" s="9">
        <f t="shared" si="14"/>
        <v>3.3927328618698405E-2</v>
      </c>
      <c r="G60" s="9">
        <f t="shared" si="14"/>
        <v>3.0617781938233172E-2</v>
      </c>
      <c r="H60" s="9">
        <f t="shared" si="14"/>
        <v>1</v>
      </c>
      <c r="I60" s="82"/>
    </row>
    <row r="61" spans="1:9" x14ac:dyDescent="0.2">
      <c r="A61" s="1"/>
      <c r="B61" s="6"/>
      <c r="C61" s="9"/>
      <c r="D61" s="9"/>
      <c r="E61" s="9"/>
      <c r="F61" s="9"/>
      <c r="G61" s="9"/>
      <c r="H61" s="9"/>
      <c r="I61" s="82"/>
    </row>
    <row r="62" spans="1:9" x14ac:dyDescent="0.2">
      <c r="A62" s="1" t="s">
        <v>81</v>
      </c>
      <c r="B62" s="6">
        <f>B13</f>
        <v>18443</v>
      </c>
      <c r="C62" s="9">
        <f>C37/$H$37</f>
        <v>0.74111693417191515</v>
      </c>
      <c r="D62" s="9">
        <f>D37/$H$37</f>
        <v>0.10667459732672047</v>
      </c>
      <c r="E62" s="9">
        <f>E37/$H$37</f>
        <v>6.7821369219955005E-2</v>
      </c>
      <c r="F62" s="9">
        <f>F37/$H$37</f>
        <v>2.5741920788828712E-2</v>
      </c>
      <c r="G62" s="9">
        <f>G37/$H$37</f>
        <v>5.8645178492580614E-2</v>
      </c>
      <c r="H62" s="9">
        <f t="shared" si="13"/>
        <v>1</v>
      </c>
      <c r="I62" s="82"/>
    </row>
    <row r="63" spans="1:9" x14ac:dyDescent="0.2">
      <c r="A63" s="1" t="s">
        <v>82</v>
      </c>
      <c r="B63" s="6">
        <f>B14</f>
        <v>8278</v>
      </c>
      <c r="C63" s="9">
        <f>C38/$H$38</f>
        <v>0.72937698235990633</v>
      </c>
      <c r="D63" s="9">
        <f>D38/$H$38</f>
        <v>0.10062022802529039</v>
      </c>
      <c r="E63" s="9">
        <f>E38/$H$38</f>
        <v>9.0036952107923174E-2</v>
      </c>
      <c r="F63" s="9">
        <f>F38/$H$38</f>
        <v>5.1591271279878143E-2</v>
      </c>
      <c r="G63" s="9">
        <f>G38/$H$38</f>
        <v>2.8374566227002105E-2</v>
      </c>
      <c r="H63" s="9">
        <f t="shared" si="13"/>
        <v>1.0000000000000002</v>
      </c>
      <c r="I63" s="82"/>
    </row>
    <row r="64" spans="1:9" x14ac:dyDescent="0.2">
      <c r="A64" s="1" t="s">
        <v>83</v>
      </c>
      <c r="B64" s="6">
        <f>B15</f>
        <v>5306</v>
      </c>
      <c r="C64" s="9">
        <f>C39/$H$39</f>
        <v>0.67977506267543464</v>
      </c>
      <c r="D64" s="9">
        <f>D39/$H$39</f>
        <v>0.12384070882023561</v>
      </c>
      <c r="E64" s="9">
        <f>E39/$H$39</f>
        <v>9.1931215552359252E-2</v>
      </c>
      <c r="F64" s="9">
        <f>F39/$H$39</f>
        <v>6.8909595415387548E-2</v>
      </c>
      <c r="G64" s="9">
        <f>G39/$H$39</f>
        <v>3.5543417536582848E-2</v>
      </c>
      <c r="H64" s="9">
        <f t="shared" si="13"/>
        <v>0.99999999999999989</v>
      </c>
      <c r="I64" s="82"/>
    </row>
    <row r="65" spans="1:9" x14ac:dyDescent="0.2">
      <c r="A65" s="1" t="s">
        <v>84</v>
      </c>
      <c r="B65" s="6">
        <f>B16</f>
        <v>5862</v>
      </c>
      <c r="C65" s="9">
        <f>C40/$H$40</f>
        <v>0.65051723028706288</v>
      </c>
      <c r="D65" s="9">
        <f>D40/$H$40</f>
        <v>0.1353642333947391</v>
      </c>
      <c r="E65" s="9">
        <f>E40/$H$40</f>
        <v>0.10436208691823512</v>
      </c>
      <c r="F65" s="9">
        <f>F40/$H$40</f>
        <v>5.461843913361069E-2</v>
      </c>
      <c r="G65" s="9">
        <f>G40/$H$40</f>
        <v>5.5138010266352115E-2</v>
      </c>
      <c r="H65" s="9">
        <f t="shared" si="13"/>
        <v>0.99999999999999989</v>
      </c>
      <c r="I65" s="82"/>
    </row>
    <row r="66" spans="1:9" x14ac:dyDescent="0.2">
      <c r="A66" s="14" t="s">
        <v>85</v>
      </c>
      <c r="B66" s="7">
        <f>B17</f>
        <v>2330</v>
      </c>
      <c r="C66" s="10">
        <f>C41/$H$41</f>
        <v>0.65217677013967756</v>
      </c>
      <c r="D66" s="10">
        <f>D41/$H$41</f>
        <v>0.13884316086809581</v>
      </c>
      <c r="E66" s="10">
        <f>E41/$H$41</f>
        <v>0.11222919026890647</v>
      </c>
      <c r="F66" s="10">
        <f>F41/$H$41</f>
        <v>6.9336779174802216E-2</v>
      </c>
      <c r="G66" s="10">
        <f>G41/$H$41</f>
        <v>2.7414099548518023E-2</v>
      </c>
      <c r="H66" s="10">
        <f t="shared" si="13"/>
        <v>1</v>
      </c>
      <c r="I66" s="82"/>
    </row>
    <row r="67" spans="1:9" x14ac:dyDescent="0.2">
      <c r="A67" s="1" t="s">
        <v>109</v>
      </c>
      <c r="B67" s="6">
        <f>SUM(B62:B66)</f>
        <v>40219</v>
      </c>
      <c r="C67" s="9">
        <f>C42/$H$42</f>
        <v>0.70582455737150229</v>
      </c>
      <c r="D67" s="9">
        <f>D42/$H$42</f>
        <v>0.11622954781035599</v>
      </c>
      <c r="E67" s="9">
        <f>E42/$H$42</f>
        <v>8.6001797193934387E-2</v>
      </c>
      <c r="F67" s="9">
        <f>F42/$H$42</f>
        <v>4.5522561677030136E-2</v>
      </c>
      <c r="G67" s="9">
        <f>G42/$H$42</f>
        <v>4.642153594717717E-2</v>
      </c>
      <c r="H67" s="9">
        <f t="shared" si="13"/>
        <v>1</v>
      </c>
      <c r="I67" s="82"/>
    </row>
    <row r="68" spans="1:9" x14ac:dyDescent="0.2">
      <c r="A68" s="1"/>
      <c r="B68" s="6"/>
      <c r="C68" s="9"/>
      <c r="D68" s="9"/>
      <c r="E68" s="9"/>
      <c r="F68" s="9"/>
      <c r="G68" s="9"/>
      <c r="H68" s="9"/>
      <c r="I68" s="82"/>
    </row>
    <row r="69" spans="1:9" x14ac:dyDescent="0.2">
      <c r="A69" s="1" t="s">
        <v>86</v>
      </c>
      <c r="B69" s="6">
        <f>B20</f>
        <v>6151</v>
      </c>
      <c r="C69" s="9">
        <f>C44/$H$44</f>
        <v>0.70946965175684695</v>
      </c>
      <c r="D69" s="9">
        <f>D44/$H$44</f>
        <v>0.11761758084365567</v>
      </c>
      <c r="E69" s="9">
        <f>E44/$H$44</f>
        <v>7.2702797411721018E-2</v>
      </c>
      <c r="F69" s="9">
        <f>F44/$H$44</f>
        <v>8.0692080173459066E-2</v>
      </c>
      <c r="G69" s="9">
        <f>G44/$H$44</f>
        <v>1.9517889814317284E-2</v>
      </c>
      <c r="H69" s="9">
        <f t="shared" si="13"/>
        <v>1</v>
      </c>
      <c r="I69" s="82"/>
    </row>
    <row r="70" spans="1:9" x14ac:dyDescent="0.2">
      <c r="A70" s="14" t="s">
        <v>87</v>
      </c>
      <c r="B70" s="7">
        <f>B21</f>
        <v>1679</v>
      </c>
      <c r="C70" s="10">
        <f>C45/$H$45</f>
        <v>0.68276918615901661</v>
      </c>
      <c r="D70" s="10">
        <f>D45/$H$45</f>
        <v>0.11181908470044062</v>
      </c>
      <c r="E70" s="10">
        <f>E45/$H$45</f>
        <v>0.11655263106534292</v>
      </c>
      <c r="F70" s="10">
        <f>F45/$H$45</f>
        <v>6.2372312901973911E-2</v>
      </c>
      <c r="G70" s="10">
        <f>G45/$H$45</f>
        <v>2.6486785173225846E-2</v>
      </c>
      <c r="H70" s="10">
        <f t="shared" si="13"/>
        <v>1</v>
      </c>
      <c r="I70" s="82"/>
    </row>
    <row r="71" spans="1:9" x14ac:dyDescent="0.2">
      <c r="A71" s="1" t="s">
        <v>110</v>
      </c>
      <c r="B71" s="6">
        <f>SUM(B69:B70)</f>
        <v>7830</v>
      </c>
      <c r="C71" s="9">
        <f t="shared" ref="C71:H71" si="15">C46/$H$46</f>
        <v>0.70126245713701219</v>
      </c>
      <c r="D71" s="9">
        <f t="shared" si="15"/>
        <v>0.11583523790377846</v>
      </c>
      <c r="E71" s="9">
        <f t="shared" si="15"/>
        <v>8.6181368319934074E-2</v>
      </c>
      <c r="F71" s="9">
        <f t="shared" si="15"/>
        <v>7.5060946332880005E-2</v>
      </c>
      <c r="G71" s="9">
        <f t="shared" si="15"/>
        <v>2.1659990306395378E-2</v>
      </c>
      <c r="H71" s="9">
        <f t="shared" si="15"/>
        <v>1</v>
      </c>
      <c r="I71" s="82"/>
    </row>
    <row r="72" spans="1:9" x14ac:dyDescent="0.2">
      <c r="A72" s="1"/>
      <c r="B72" s="6"/>
      <c r="C72" s="9"/>
      <c r="D72" s="9"/>
      <c r="E72" s="9"/>
      <c r="F72" s="9"/>
      <c r="G72" s="9"/>
      <c r="H72" s="9"/>
      <c r="I72" s="82"/>
    </row>
    <row r="73" spans="1:9" ht="13.5" thickBot="1" x14ac:dyDescent="0.25">
      <c r="A73" s="15" t="s">
        <v>111</v>
      </c>
      <c r="B73" s="8">
        <f>B60+B67+B71</f>
        <v>151071</v>
      </c>
      <c r="C73" s="11">
        <f t="shared" ref="C73:H73" si="16">C48/$H$48</f>
        <v>0.74388283654015719</v>
      </c>
      <c r="D73" s="11">
        <f t="shared" si="16"/>
        <v>0.10276056556481077</v>
      </c>
      <c r="E73" s="11">
        <f t="shared" si="16"/>
        <v>7.7793217673246609E-2</v>
      </c>
      <c r="F73" s="11">
        <f t="shared" si="16"/>
        <v>4.0085806773026839E-2</v>
      </c>
      <c r="G73" s="11">
        <f t="shared" si="16"/>
        <v>3.5477573448758806E-2</v>
      </c>
      <c r="H73" s="11">
        <f t="shared" si="16"/>
        <v>1</v>
      </c>
      <c r="I73" s="82"/>
    </row>
    <row r="74" spans="1:9" ht="13.5" thickTop="1" x14ac:dyDescent="0.2">
      <c r="A74" s="1"/>
      <c r="B74" s="6"/>
      <c r="C74" s="6"/>
      <c r="D74" s="6"/>
      <c r="E74" s="6"/>
      <c r="F74" s="6"/>
      <c r="G74" s="6"/>
      <c r="H74" s="9"/>
      <c r="I74" s="82"/>
    </row>
    <row r="75" spans="1:9" x14ac:dyDescent="0.2">
      <c r="I75" s="82"/>
    </row>
    <row r="76" spans="1:9" x14ac:dyDescent="0.2">
      <c r="I76" s="82"/>
    </row>
    <row r="77" spans="1:9" x14ac:dyDescent="0.2">
      <c r="I77" s="82"/>
    </row>
    <row r="78" spans="1:9"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7"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84"/>
  <dimension ref="A1:I84"/>
  <sheetViews>
    <sheetView workbookViewId="0"/>
  </sheetViews>
  <sheetFormatPr defaultRowHeight="12.75" x14ac:dyDescent="0.2"/>
  <cols>
    <col min="1" max="1" width="19.7109375" customWidth="1"/>
    <col min="3" max="3" width="10.85546875" customWidth="1"/>
    <col min="8" max="8" width="12.28515625" customWidth="1"/>
  </cols>
  <sheetData>
    <row r="1" spans="1:9" x14ac:dyDescent="0.2">
      <c r="A1" s="36" t="s">
        <v>247</v>
      </c>
    </row>
    <row r="2" spans="1:9" x14ac:dyDescent="0.2">
      <c r="A2" s="22" t="s">
        <v>329</v>
      </c>
    </row>
    <row r="3" spans="1:9" x14ac:dyDescent="0.2">
      <c r="B3" s="36"/>
      <c r="C3" s="35" t="s">
        <v>139</v>
      </c>
      <c r="D3" s="35" t="s">
        <v>140</v>
      </c>
      <c r="E3" s="35"/>
      <c r="F3" s="35" t="s">
        <v>141</v>
      </c>
      <c r="G3" s="35"/>
      <c r="H3" s="35"/>
      <c r="I3" s="181" t="s">
        <v>453</v>
      </c>
    </row>
    <row r="4" spans="1:9" x14ac:dyDescent="0.2">
      <c r="A4" s="155" t="s">
        <v>245</v>
      </c>
      <c r="B4" s="165" t="s">
        <v>330</v>
      </c>
      <c r="C4" s="166" t="s">
        <v>159</v>
      </c>
      <c r="D4" s="166" t="s">
        <v>129</v>
      </c>
      <c r="E4" s="166" t="s">
        <v>91</v>
      </c>
      <c r="F4" s="166" t="s">
        <v>145</v>
      </c>
      <c r="G4" s="166" t="s">
        <v>93</v>
      </c>
      <c r="H4" s="166" t="s">
        <v>106</v>
      </c>
      <c r="I4" s="141" t="s">
        <v>396</v>
      </c>
    </row>
    <row r="5" spans="1:9" x14ac:dyDescent="0.2">
      <c r="A5" s="1" t="s">
        <v>102</v>
      </c>
      <c r="B5" s="6">
        <v>38593</v>
      </c>
      <c r="C5" s="6">
        <v>136523137.03999999</v>
      </c>
      <c r="D5" s="6">
        <v>16460834.279999999</v>
      </c>
      <c r="E5" s="6">
        <v>8041623.9000000004</v>
      </c>
      <c r="F5" s="6">
        <v>3237527.09</v>
      </c>
      <c r="G5" s="6">
        <v>4549086.53</v>
      </c>
      <c r="H5" s="6">
        <f t="shared" ref="H5:H10" si="0">SUM(C5:G5)</f>
        <v>168812208.84</v>
      </c>
      <c r="I5" s="6">
        <f>H5/B5</f>
        <v>4374.1665286450916</v>
      </c>
    </row>
    <row r="6" spans="1:9" x14ac:dyDescent="0.2">
      <c r="A6" s="1" t="s">
        <v>76</v>
      </c>
      <c r="B6" s="6">
        <v>25666</v>
      </c>
      <c r="C6" s="6">
        <v>87933017.829999998</v>
      </c>
      <c r="D6" s="6">
        <v>9829549.4700000007</v>
      </c>
      <c r="E6" s="6">
        <v>8419346.8900000006</v>
      </c>
      <c r="F6" s="6">
        <v>6805985.3499999996</v>
      </c>
      <c r="G6" s="6">
        <v>4009839.57</v>
      </c>
      <c r="H6" s="6">
        <f t="shared" si="0"/>
        <v>116997739.10999998</v>
      </c>
      <c r="I6" s="6">
        <f t="shared" ref="I6:I24" si="1">H6/B6</f>
        <v>4558.47187368503</v>
      </c>
    </row>
    <row r="7" spans="1:9" x14ac:dyDescent="0.2">
      <c r="A7" s="1" t="s">
        <v>77</v>
      </c>
      <c r="B7" s="6">
        <v>16248</v>
      </c>
      <c r="C7" s="6">
        <v>56509173.200000003</v>
      </c>
      <c r="D7" s="6">
        <v>6717118.5800000001</v>
      </c>
      <c r="E7" s="6">
        <v>7055518.6799999997</v>
      </c>
      <c r="F7" s="6">
        <v>3145852.05</v>
      </c>
      <c r="G7" s="6">
        <v>1706840.91</v>
      </c>
      <c r="H7" s="6">
        <f t="shared" si="0"/>
        <v>75134503.420000002</v>
      </c>
      <c r="I7" s="6">
        <f t="shared" si="1"/>
        <v>4624.2308850320042</v>
      </c>
    </row>
    <row r="8" spans="1:9" x14ac:dyDescent="0.2">
      <c r="A8" s="1" t="s">
        <v>78</v>
      </c>
      <c r="B8" s="6">
        <v>15588</v>
      </c>
      <c r="C8" s="6">
        <v>54130260.189999998</v>
      </c>
      <c r="D8" s="6">
        <v>7612406.4400000004</v>
      </c>
      <c r="E8" s="6">
        <v>7266375.5899999999</v>
      </c>
      <c r="F8" s="6">
        <v>3081083.18</v>
      </c>
      <c r="G8" s="6">
        <v>1818061.59</v>
      </c>
      <c r="H8" s="6">
        <f t="shared" si="0"/>
        <v>73908186.99000001</v>
      </c>
      <c r="I8" s="6">
        <f t="shared" si="1"/>
        <v>4741.351487682834</v>
      </c>
    </row>
    <row r="9" spans="1:9" x14ac:dyDescent="0.2">
      <c r="A9" s="1" t="s">
        <v>79</v>
      </c>
      <c r="B9" s="6">
        <v>8372</v>
      </c>
      <c r="C9" s="6">
        <v>33321929.859999999</v>
      </c>
      <c r="D9" s="6">
        <v>6020212.5300000003</v>
      </c>
      <c r="E9" s="6">
        <v>5233245.66</v>
      </c>
      <c r="F9" s="6">
        <v>2628206.81</v>
      </c>
      <c r="G9" s="6">
        <v>1485710.84</v>
      </c>
      <c r="H9" s="6">
        <f t="shared" si="0"/>
        <v>48689305.700000003</v>
      </c>
      <c r="I9" s="6">
        <f t="shared" si="1"/>
        <v>5815.7316889632111</v>
      </c>
    </row>
    <row r="10" spans="1:9" x14ac:dyDescent="0.2">
      <c r="A10" s="14" t="s">
        <v>80</v>
      </c>
      <c r="B10" s="7">
        <v>2111</v>
      </c>
      <c r="C10" s="7">
        <v>6164128.8899999997</v>
      </c>
      <c r="D10" s="7">
        <v>1830230.19</v>
      </c>
      <c r="E10" s="7">
        <v>1221139.83</v>
      </c>
      <c r="F10" s="7">
        <v>524299.96</v>
      </c>
      <c r="G10" s="7">
        <v>36647.22</v>
      </c>
      <c r="H10" s="7">
        <f t="shared" si="0"/>
        <v>9776446.0900000017</v>
      </c>
      <c r="I10" s="7">
        <f t="shared" si="1"/>
        <v>4631.191894836571</v>
      </c>
    </row>
    <row r="11" spans="1:9" x14ac:dyDescent="0.2">
      <c r="A11" s="1" t="s">
        <v>103</v>
      </c>
      <c r="B11" s="6">
        <f>SUM(B5:B10)</f>
        <v>106578</v>
      </c>
      <c r="C11" s="6">
        <f t="shared" ref="C11:H11" si="2">SUM(C5:C10)</f>
        <v>374581647.00999999</v>
      </c>
      <c r="D11" s="6">
        <f t="shared" si="2"/>
        <v>48470351.489999995</v>
      </c>
      <c r="E11" s="6">
        <f t="shared" si="2"/>
        <v>37237250.549999997</v>
      </c>
      <c r="F11" s="6">
        <f t="shared" si="2"/>
        <v>19422954.439999998</v>
      </c>
      <c r="G11" s="6">
        <f t="shared" si="2"/>
        <v>13606186.66</v>
      </c>
      <c r="H11" s="6">
        <f t="shared" si="2"/>
        <v>493318390.14999998</v>
      </c>
      <c r="I11" s="6">
        <f t="shared" si="1"/>
        <v>4628.7075207829002</v>
      </c>
    </row>
    <row r="12" spans="1:9" x14ac:dyDescent="0.2">
      <c r="B12" s="1"/>
      <c r="C12" s="6"/>
      <c r="D12" s="6"/>
      <c r="E12" s="6"/>
      <c r="F12" s="6"/>
      <c r="G12" s="6"/>
      <c r="H12" s="6"/>
      <c r="I12" s="82"/>
    </row>
    <row r="13" spans="1:9" x14ac:dyDescent="0.2">
      <c r="A13" s="1" t="s">
        <v>81</v>
      </c>
      <c r="B13" s="6">
        <v>18182</v>
      </c>
      <c r="C13" s="6">
        <v>80272426.079999998</v>
      </c>
      <c r="D13" s="6">
        <v>11039126.68</v>
      </c>
      <c r="E13" s="6">
        <v>8074906.5899999999</v>
      </c>
      <c r="F13" s="6">
        <v>3878441.06</v>
      </c>
      <c r="G13" s="6">
        <v>6795537.7199999997</v>
      </c>
      <c r="H13" s="6">
        <f>SUM(C13:G13)</f>
        <v>110060438.13</v>
      </c>
      <c r="I13" s="6">
        <f t="shared" si="1"/>
        <v>6053.2635645143546</v>
      </c>
    </row>
    <row r="14" spans="1:9" x14ac:dyDescent="0.2">
      <c r="A14" s="1" t="s">
        <v>82</v>
      </c>
      <c r="B14" s="6">
        <v>8311</v>
      </c>
      <c r="C14" s="6">
        <v>33011142.550000001</v>
      </c>
      <c r="D14" s="6">
        <v>5250925.78</v>
      </c>
      <c r="E14" s="6">
        <v>4274865.72</v>
      </c>
      <c r="F14" s="6">
        <v>2796932.04</v>
      </c>
      <c r="G14" s="6">
        <v>1563197.12</v>
      </c>
      <c r="H14" s="6">
        <f>SUM(C14:G14)</f>
        <v>46897063.209999993</v>
      </c>
      <c r="I14" s="6">
        <f t="shared" si="1"/>
        <v>5642.7702093610869</v>
      </c>
    </row>
    <row r="15" spans="1:9" x14ac:dyDescent="0.2">
      <c r="A15" s="1" t="s">
        <v>83</v>
      </c>
      <c r="B15" s="6">
        <v>5201</v>
      </c>
      <c r="C15" s="6">
        <v>23139356.010000002</v>
      </c>
      <c r="D15" s="6">
        <v>4262375.8</v>
      </c>
      <c r="E15" s="6">
        <v>3625647.04</v>
      </c>
      <c r="F15" s="6">
        <v>2353404.36</v>
      </c>
      <c r="G15" s="6">
        <v>1317796.47</v>
      </c>
      <c r="H15" s="6">
        <f>SUM(C15:G15)</f>
        <v>34698579.68</v>
      </c>
      <c r="I15" s="6">
        <f t="shared" si="1"/>
        <v>6671.5207998461838</v>
      </c>
    </row>
    <row r="16" spans="1:9" x14ac:dyDescent="0.2">
      <c r="A16" s="1" t="s">
        <v>84</v>
      </c>
      <c r="B16" s="6">
        <v>7332</v>
      </c>
      <c r="C16" s="6">
        <v>37132310.630000003</v>
      </c>
      <c r="D16" s="6">
        <v>7877978.4299999997</v>
      </c>
      <c r="E16" s="6">
        <v>5957874.4000000004</v>
      </c>
      <c r="F16" s="6">
        <v>3498441.68</v>
      </c>
      <c r="G16" s="6">
        <v>1406187.1</v>
      </c>
      <c r="H16" s="6">
        <f>SUM(C16:G16)</f>
        <v>55872792.240000002</v>
      </c>
      <c r="I16" s="6">
        <f t="shared" si="1"/>
        <v>7620.4026513911622</v>
      </c>
    </row>
    <row r="17" spans="1:9" x14ac:dyDescent="0.2">
      <c r="A17" s="14" t="s">
        <v>85</v>
      </c>
      <c r="B17" s="7">
        <v>2864</v>
      </c>
      <c r="C17" s="7">
        <v>21000944.140000001</v>
      </c>
      <c r="D17" s="7">
        <v>4434642.59</v>
      </c>
      <c r="E17" s="7">
        <v>3575985.29</v>
      </c>
      <c r="F17" s="7">
        <v>2064531.08</v>
      </c>
      <c r="G17" s="7">
        <v>735957.2</v>
      </c>
      <c r="H17" s="7">
        <f>SUM(C17:G17)</f>
        <v>31812060.300000001</v>
      </c>
      <c r="I17" s="7">
        <f t="shared" si="1"/>
        <v>11107.562953910614</v>
      </c>
    </row>
    <row r="18" spans="1:9" x14ac:dyDescent="0.2">
      <c r="A18" s="1" t="s">
        <v>104</v>
      </c>
      <c r="B18" s="6">
        <f>SUM(B13:B17)</f>
        <v>41890</v>
      </c>
      <c r="C18" s="6">
        <f t="shared" ref="C18:H18" si="3">SUM(C13:C17)</f>
        <v>194556179.40999997</v>
      </c>
      <c r="D18" s="6">
        <f t="shared" si="3"/>
        <v>32865049.280000001</v>
      </c>
      <c r="E18" s="6">
        <f t="shared" si="3"/>
        <v>25509279.039999999</v>
      </c>
      <c r="F18" s="6">
        <f t="shared" si="3"/>
        <v>14591750.219999999</v>
      </c>
      <c r="G18" s="6">
        <f t="shared" si="3"/>
        <v>11818675.609999999</v>
      </c>
      <c r="H18" s="6">
        <f t="shared" si="3"/>
        <v>279340933.56</v>
      </c>
      <c r="I18" s="6">
        <f t="shared" si="1"/>
        <v>6668.4395693482929</v>
      </c>
    </row>
    <row r="19" spans="1:9" x14ac:dyDescent="0.2">
      <c r="B19" s="1"/>
      <c r="C19" s="6"/>
      <c r="D19" s="6"/>
      <c r="E19" s="6"/>
      <c r="F19" s="6"/>
      <c r="G19" s="6"/>
      <c r="H19" s="6"/>
      <c r="I19" s="6"/>
    </row>
    <row r="20" spans="1:9" x14ac:dyDescent="0.2">
      <c r="A20" s="1" t="s">
        <v>365</v>
      </c>
      <c r="B20" s="6"/>
      <c r="C20" s="6"/>
      <c r="D20" s="6"/>
      <c r="E20" s="6"/>
      <c r="F20" s="6"/>
      <c r="G20" s="6"/>
      <c r="H20" s="6"/>
      <c r="I20" s="6"/>
    </row>
    <row r="21" spans="1:9" x14ac:dyDescent="0.2">
      <c r="A21" s="14" t="s">
        <v>366</v>
      </c>
      <c r="B21" s="7"/>
      <c r="C21" s="7"/>
      <c r="D21" s="7"/>
      <c r="E21" s="7"/>
      <c r="F21" s="7"/>
      <c r="G21" s="7"/>
      <c r="H21" s="7"/>
      <c r="I21" s="7"/>
    </row>
    <row r="22" spans="1:9" x14ac:dyDescent="0.2">
      <c r="A22" s="1" t="s">
        <v>105</v>
      </c>
      <c r="B22" s="6"/>
      <c r="C22" s="6"/>
      <c r="D22" s="6"/>
      <c r="E22" s="6"/>
      <c r="F22" s="6"/>
      <c r="G22" s="6"/>
      <c r="H22" s="6"/>
      <c r="I22" s="6"/>
    </row>
    <row r="23" spans="1:9" x14ac:dyDescent="0.2">
      <c r="B23" s="1"/>
      <c r="C23" s="6"/>
      <c r="D23" s="6"/>
      <c r="E23" s="6"/>
      <c r="F23" s="6"/>
      <c r="G23" s="6"/>
      <c r="H23" s="6"/>
      <c r="I23" s="6"/>
    </row>
    <row r="24" spans="1:9" ht="13.5" thickBot="1" x14ac:dyDescent="0.25">
      <c r="A24" s="15" t="s">
        <v>107</v>
      </c>
      <c r="B24" s="8">
        <f>B11+B18+B22</f>
        <v>148468</v>
      </c>
      <c r="C24" s="8">
        <f t="shared" ref="C24:H24" si="4">C11+C18+C22</f>
        <v>569137826.41999996</v>
      </c>
      <c r="D24" s="8">
        <f t="shared" si="4"/>
        <v>81335400.769999996</v>
      </c>
      <c r="E24" s="8">
        <f t="shared" si="4"/>
        <v>62746529.589999996</v>
      </c>
      <c r="F24" s="8">
        <f t="shared" si="4"/>
        <v>34014704.659999996</v>
      </c>
      <c r="G24" s="8">
        <f t="shared" si="4"/>
        <v>25424862.27</v>
      </c>
      <c r="H24" s="8">
        <f t="shared" si="4"/>
        <v>772659323.71000004</v>
      </c>
      <c r="I24" s="8">
        <f t="shared" si="1"/>
        <v>5204.214535859579</v>
      </c>
    </row>
    <row r="25" spans="1:9" ht="13.5" thickTop="1" x14ac:dyDescent="0.2">
      <c r="A25" s="1"/>
      <c r="B25" s="6"/>
      <c r="C25" s="6"/>
      <c r="D25" s="6"/>
      <c r="E25" s="6"/>
      <c r="F25" s="6"/>
      <c r="G25" s="6"/>
      <c r="H25" s="6"/>
      <c r="I25" s="83"/>
    </row>
    <row r="26" spans="1:9" x14ac:dyDescent="0.2">
      <c r="A26" s="36" t="s">
        <v>247</v>
      </c>
      <c r="B26" s="1"/>
      <c r="C26" s="6"/>
      <c r="D26" s="6"/>
      <c r="E26" s="6"/>
      <c r="F26" s="6"/>
      <c r="G26" s="6"/>
      <c r="H26" s="6"/>
      <c r="I26" s="82"/>
    </row>
    <row r="27" spans="1:9" x14ac:dyDescent="0.2">
      <c r="A27" s="36" t="s">
        <v>331</v>
      </c>
      <c r="B27" s="6"/>
      <c r="C27" s="6"/>
      <c r="D27" s="6"/>
      <c r="E27" s="6"/>
      <c r="F27" s="6"/>
      <c r="G27" s="6"/>
      <c r="H27" s="6"/>
      <c r="I27" s="82"/>
    </row>
    <row r="28" spans="1:9" ht="33.75" x14ac:dyDescent="0.2">
      <c r="A28" s="155" t="s">
        <v>245</v>
      </c>
      <c r="B28" s="165" t="s">
        <v>330</v>
      </c>
      <c r="C28" s="141" t="s">
        <v>89</v>
      </c>
      <c r="D28" s="141" t="s">
        <v>90</v>
      </c>
      <c r="E28" s="141" t="s">
        <v>91</v>
      </c>
      <c r="F28" s="141" t="s">
        <v>92</v>
      </c>
      <c r="G28" s="141" t="s">
        <v>93</v>
      </c>
      <c r="H28" s="141" t="s">
        <v>106</v>
      </c>
      <c r="I28" s="82"/>
    </row>
    <row r="29" spans="1:9" x14ac:dyDescent="0.2">
      <c r="A29" s="1" t="s">
        <v>102</v>
      </c>
      <c r="B29" s="1">
        <f t="shared" ref="B29:B34" si="5">B5</f>
        <v>38593</v>
      </c>
      <c r="C29" s="6">
        <f>C5/$B$5</f>
        <v>3537.5103526546263</v>
      </c>
      <c r="D29" s="6">
        <f>D5/$B$5</f>
        <v>426.52383281942321</v>
      </c>
      <c r="E29" s="6">
        <f>E5/$B$5</f>
        <v>208.37001269660303</v>
      </c>
      <c r="F29" s="6">
        <f>F5/$B$5</f>
        <v>83.888971834270464</v>
      </c>
      <c r="G29" s="6">
        <f>G5/$B$5</f>
        <v>117.87335864016791</v>
      </c>
      <c r="H29" s="6">
        <f t="shared" ref="H29:H34" si="6">SUM(C29:G29)</f>
        <v>4374.1665286450907</v>
      </c>
      <c r="I29" s="82"/>
    </row>
    <row r="30" spans="1:9" x14ac:dyDescent="0.2">
      <c r="A30" s="1" t="s">
        <v>76</v>
      </c>
      <c r="B30" s="1">
        <f t="shared" si="5"/>
        <v>25666</v>
      </c>
      <c r="C30" s="6">
        <f>C6/$B$6</f>
        <v>3426.0507219668043</v>
      </c>
      <c r="D30" s="6">
        <f>D6/$B$6</f>
        <v>382.9794073872049</v>
      </c>
      <c r="E30" s="6">
        <f>E6/$B$6</f>
        <v>328.03502259798961</v>
      </c>
      <c r="F30" s="6">
        <f>F6/$B$6</f>
        <v>265.17514805579367</v>
      </c>
      <c r="G30" s="6">
        <f>G6/$B$6</f>
        <v>156.23157367723837</v>
      </c>
      <c r="H30" s="6">
        <f t="shared" si="6"/>
        <v>4558.47187368503</v>
      </c>
      <c r="I30" s="82"/>
    </row>
    <row r="31" spans="1:9" x14ac:dyDescent="0.2">
      <c r="A31" s="1" t="s">
        <v>77</v>
      </c>
      <c r="B31" s="1">
        <f t="shared" si="5"/>
        <v>16248</v>
      </c>
      <c r="C31" s="6">
        <f>C7/$B$7</f>
        <v>3477.9156326932548</v>
      </c>
      <c r="D31" s="6">
        <f>D7/$B$7</f>
        <v>413.41202486459872</v>
      </c>
      <c r="E31" s="6">
        <f>E7/$B$7</f>
        <v>434.23920974889216</v>
      </c>
      <c r="F31" s="6">
        <f>F7/$B$7</f>
        <v>193.61472488921711</v>
      </c>
      <c r="G31" s="6">
        <f>G7/$B$7</f>
        <v>105.04929283604136</v>
      </c>
      <c r="H31" s="6">
        <f t="shared" si="6"/>
        <v>4624.2308850320051</v>
      </c>
      <c r="I31" s="82"/>
    </row>
    <row r="32" spans="1:9" x14ac:dyDescent="0.2">
      <c r="A32" s="1" t="s">
        <v>78</v>
      </c>
      <c r="B32" s="1">
        <f t="shared" si="5"/>
        <v>15588</v>
      </c>
      <c r="C32" s="6">
        <f>C8/$B$8</f>
        <v>3472.5596734667693</v>
      </c>
      <c r="D32" s="6">
        <f>D8/$B$8</f>
        <v>488.35042596869391</v>
      </c>
      <c r="E32" s="6">
        <f>E8/$B$8</f>
        <v>466.15188542468564</v>
      </c>
      <c r="F32" s="6">
        <f>F8/$B$8</f>
        <v>197.65737618681038</v>
      </c>
      <c r="G32" s="6">
        <f>G8/$B$8</f>
        <v>116.63212663587376</v>
      </c>
      <c r="H32" s="6">
        <f t="shared" si="6"/>
        <v>4741.3514876828331</v>
      </c>
      <c r="I32" s="82"/>
    </row>
    <row r="33" spans="1:9" x14ac:dyDescent="0.2">
      <c r="A33" s="1" t="s">
        <v>79</v>
      </c>
      <c r="B33" s="1">
        <f t="shared" si="5"/>
        <v>8372</v>
      </c>
      <c r="C33" s="6">
        <f>C9/$B$9</f>
        <v>3980.1636239847107</v>
      </c>
      <c r="D33" s="6">
        <f>D9/$B$9</f>
        <v>719.08893096034399</v>
      </c>
      <c r="E33" s="6">
        <f>E9/$B$9</f>
        <v>625.08906593406596</v>
      </c>
      <c r="F33" s="6">
        <f>F9/$B$9</f>
        <v>313.92819039655996</v>
      </c>
      <c r="G33" s="6">
        <f>G9/$B$9</f>
        <v>177.46187768752986</v>
      </c>
      <c r="H33" s="6">
        <f t="shared" si="6"/>
        <v>5815.7316889632102</v>
      </c>
      <c r="I33" s="83"/>
    </row>
    <row r="34" spans="1:9" x14ac:dyDescent="0.2">
      <c r="A34" s="14" t="s">
        <v>80</v>
      </c>
      <c r="B34" s="14">
        <f t="shared" si="5"/>
        <v>2111</v>
      </c>
      <c r="C34" s="7">
        <f>C10/$B$10</f>
        <v>2920.0042112742776</v>
      </c>
      <c r="D34" s="7">
        <f>D10/$B$10</f>
        <v>866.99677404073896</v>
      </c>
      <c r="E34" s="7">
        <f>E10/$B$10</f>
        <v>578.46510184746569</v>
      </c>
      <c r="F34" s="7">
        <f>F10/$B$10</f>
        <v>248.36568450971103</v>
      </c>
      <c r="G34" s="7">
        <f>G10/$B$10</f>
        <v>17.360123164377072</v>
      </c>
      <c r="H34" s="7">
        <f t="shared" si="6"/>
        <v>4631.191894836571</v>
      </c>
      <c r="I34" s="83"/>
    </row>
    <row r="35" spans="1:9" x14ac:dyDescent="0.2">
      <c r="A35" s="1" t="s">
        <v>103</v>
      </c>
      <c r="B35" s="6">
        <f>SUM(B29:B34)</f>
        <v>106578</v>
      </c>
      <c r="C35" s="6">
        <f t="shared" ref="C35:H35" si="7">C11/$B$35</f>
        <v>3514.6244723113587</v>
      </c>
      <c r="D35" s="6">
        <f t="shared" si="7"/>
        <v>454.78758740077683</v>
      </c>
      <c r="E35" s="6">
        <f t="shared" si="7"/>
        <v>349.38965405618416</v>
      </c>
      <c r="F35" s="6">
        <f t="shared" si="7"/>
        <v>182.2416862767175</v>
      </c>
      <c r="G35" s="6">
        <f t="shared" si="7"/>
        <v>127.66412073786336</v>
      </c>
      <c r="H35" s="6">
        <f t="shared" si="7"/>
        <v>4628.7075207829002</v>
      </c>
      <c r="I35" s="83"/>
    </row>
    <row r="36" spans="1:9" x14ac:dyDescent="0.2">
      <c r="A36" s="1"/>
      <c r="B36" s="1"/>
      <c r="C36" s="6"/>
      <c r="D36" s="6"/>
      <c r="E36" s="6"/>
      <c r="F36" s="6"/>
      <c r="G36" s="6"/>
      <c r="H36" s="6"/>
      <c r="I36" s="83"/>
    </row>
    <row r="37" spans="1:9" x14ac:dyDescent="0.2">
      <c r="A37" s="1" t="s">
        <v>81</v>
      </c>
      <c r="B37" s="1">
        <f>B13</f>
        <v>18182</v>
      </c>
      <c r="C37" s="6">
        <f>C13/$B$13</f>
        <v>4414.9392850071499</v>
      </c>
      <c r="D37" s="6">
        <f>D13/$B$13</f>
        <v>607.14589594104052</v>
      </c>
      <c r="E37" s="6">
        <f>E13/$B$13</f>
        <v>444.11542129578703</v>
      </c>
      <c r="F37" s="6">
        <f>F13/$B$13</f>
        <v>213.3121251787482</v>
      </c>
      <c r="G37" s="6">
        <f>G13/$B$13</f>
        <v>373.75083709162908</v>
      </c>
      <c r="H37" s="6">
        <f>SUM(C37:G37)</f>
        <v>6053.2635645143546</v>
      </c>
      <c r="I37" s="83"/>
    </row>
    <row r="38" spans="1:9" x14ac:dyDescent="0.2">
      <c r="A38" s="1" t="s">
        <v>82</v>
      </c>
      <c r="B38" s="1">
        <f>B14</f>
        <v>8311</v>
      </c>
      <c r="C38" s="6">
        <f>C14/$B$14</f>
        <v>3971.9820178077248</v>
      </c>
      <c r="D38" s="6">
        <f>D14/$B$14</f>
        <v>631.80432920226212</v>
      </c>
      <c r="E38" s="6">
        <f>E14/$B$14</f>
        <v>514.36237757189269</v>
      </c>
      <c r="F38" s="6">
        <f>F14/$B$14</f>
        <v>336.53375526410781</v>
      </c>
      <c r="G38" s="6">
        <f>G14/$B$14</f>
        <v>188.08772951510048</v>
      </c>
      <c r="H38" s="6">
        <f>SUM(C38:G38)</f>
        <v>5642.7702093610878</v>
      </c>
      <c r="I38" s="83"/>
    </row>
    <row r="39" spans="1:9" x14ac:dyDescent="0.2">
      <c r="A39" s="1" t="s">
        <v>83</v>
      </c>
      <c r="B39" s="1">
        <f>B15</f>
        <v>5201</v>
      </c>
      <c r="C39" s="6">
        <f>C15/$B$15</f>
        <v>4449.020574889445</v>
      </c>
      <c r="D39" s="6">
        <f>D15/$B$15</f>
        <v>819.53005191309364</v>
      </c>
      <c r="E39" s="6">
        <f>E15/$B$15</f>
        <v>697.10575658527205</v>
      </c>
      <c r="F39" s="6">
        <f>F15/$B$15</f>
        <v>452.49074408767541</v>
      </c>
      <c r="G39" s="6">
        <f>G15/$B$15</f>
        <v>253.37367237069793</v>
      </c>
      <c r="H39" s="6">
        <f>SUM(C39:G39)</f>
        <v>6671.5207998461829</v>
      </c>
      <c r="I39" s="83"/>
    </row>
    <row r="40" spans="1:9" x14ac:dyDescent="0.2">
      <c r="A40" s="1" t="s">
        <v>84</v>
      </c>
      <c r="B40" s="1">
        <f>B16</f>
        <v>7332</v>
      </c>
      <c r="C40" s="6">
        <f>C16/$B$16</f>
        <v>5064.4177073104202</v>
      </c>
      <c r="D40" s="6">
        <f>D16/$B$16</f>
        <v>1074.465143207856</v>
      </c>
      <c r="E40" s="6">
        <f>E16/$B$16</f>
        <v>812.58516093835249</v>
      </c>
      <c r="F40" s="6">
        <f>F16/$B$16</f>
        <v>477.1469830878342</v>
      </c>
      <c r="G40" s="6">
        <f>G16/$B$16</f>
        <v>191.78765684669941</v>
      </c>
      <c r="H40" s="6">
        <f>SUM(C40:G40)</f>
        <v>7620.4026513911622</v>
      </c>
      <c r="I40" s="83"/>
    </row>
    <row r="41" spans="1:9" x14ac:dyDescent="0.2">
      <c r="A41" s="14" t="s">
        <v>85</v>
      </c>
      <c r="B41" s="14">
        <f>B17</f>
        <v>2864</v>
      </c>
      <c r="C41" s="7">
        <f>C17/$B$17</f>
        <v>7332.7318924581004</v>
      </c>
      <c r="D41" s="7">
        <f>D17/$B$17</f>
        <v>1548.4087255586592</v>
      </c>
      <c r="E41" s="7">
        <f>E17/$B$17</f>
        <v>1248.5982157821229</v>
      </c>
      <c r="F41" s="7">
        <f>F17/$B$17</f>
        <v>720.85582402234638</v>
      </c>
      <c r="G41" s="7">
        <f>G17/$B$17</f>
        <v>256.96829608938543</v>
      </c>
      <c r="H41" s="7">
        <f>SUM(C41:G41)</f>
        <v>11107.562953910616</v>
      </c>
      <c r="I41" s="83"/>
    </row>
    <row r="42" spans="1:9" x14ac:dyDescent="0.2">
      <c r="A42" s="1" t="s">
        <v>104</v>
      </c>
      <c r="B42" s="6">
        <f>SUM(B37:B41)</f>
        <v>41890</v>
      </c>
      <c r="C42" s="6">
        <f t="shared" ref="C42:H42" si="8">C18/$B$42</f>
        <v>4644.4540322272615</v>
      </c>
      <c r="D42" s="6">
        <f t="shared" si="8"/>
        <v>784.55596275960852</v>
      </c>
      <c r="E42" s="6">
        <f t="shared" si="8"/>
        <v>608.95867844354257</v>
      </c>
      <c r="F42" s="6">
        <f t="shared" si="8"/>
        <v>348.33493005490567</v>
      </c>
      <c r="G42" s="6">
        <f t="shared" si="8"/>
        <v>282.13596586297444</v>
      </c>
      <c r="H42" s="6">
        <f t="shared" si="8"/>
        <v>6668.4395693482929</v>
      </c>
      <c r="I42" s="83"/>
    </row>
    <row r="43" spans="1:9" x14ac:dyDescent="0.2">
      <c r="A43" s="1"/>
      <c r="B43" s="1"/>
      <c r="C43" s="6"/>
      <c r="D43" s="6"/>
      <c r="E43" s="6"/>
      <c r="F43" s="6"/>
      <c r="G43" s="6"/>
      <c r="H43" s="6"/>
      <c r="I43" s="83"/>
    </row>
    <row r="44" spans="1:9" x14ac:dyDescent="0.2">
      <c r="A44" s="1" t="s">
        <v>365</v>
      </c>
      <c r="B44" s="1"/>
      <c r="C44" s="6"/>
      <c r="D44" s="6"/>
      <c r="E44" s="6"/>
      <c r="F44" s="6"/>
      <c r="G44" s="6"/>
      <c r="H44" s="6"/>
      <c r="I44" s="83"/>
    </row>
    <row r="45" spans="1:9" x14ac:dyDescent="0.2">
      <c r="A45" s="14" t="s">
        <v>366</v>
      </c>
      <c r="B45" s="14"/>
      <c r="C45" s="7"/>
      <c r="D45" s="7"/>
      <c r="E45" s="7"/>
      <c r="F45" s="7"/>
      <c r="G45" s="7"/>
      <c r="H45" s="7"/>
      <c r="I45" s="83"/>
    </row>
    <row r="46" spans="1:9" x14ac:dyDescent="0.2">
      <c r="A46" s="1" t="s">
        <v>105</v>
      </c>
      <c r="B46" s="6"/>
      <c r="C46" s="6"/>
      <c r="D46" s="6"/>
      <c r="E46" s="6"/>
      <c r="F46" s="6"/>
      <c r="G46" s="6"/>
      <c r="H46" s="6"/>
      <c r="I46" s="83"/>
    </row>
    <row r="47" spans="1:9" x14ac:dyDescent="0.2">
      <c r="A47" s="1"/>
      <c r="B47" s="1"/>
      <c r="C47" s="6"/>
      <c r="D47" s="6"/>
      <c r="E47" s="6"/>
      <c r="F47" s="6"/>
      <c r="G47" s="6"/>
      <c r="H47" s="6"/>
      <c r="I47" s="83"/>
    </row>
    <row r="48" spans="1:9" ht="13.5" thickBot="1" x14ac:dyDescent="0.25">
      <c r="A48" s="15" t="s">
        <v>112</v>
      </c>
      <c r="B48" s="8">
        <f>B35+B42+B46</f>
        <v>148468</v>
      </c>
      <c r="C48" s="8">
        <f t="shared" ref="C48:H48" si="9">C24/$B$48</f>
        <v>3833.4040090793974</v>
      </c>
      <c r="D48" s="8">
        <f t="shared" si="9"/>
        <v>547.83118766333484</v>
      </c>
      <c r="E48" s="8">
        <f t="shared" si="9"/>
        <v>422.62662385160434</v>
      </c>
      <c r="F48" s="8">
        <f t="shared" si="9"/>
        <v>229.1046195813239</v>
      </c>
      <c r="G48" s="8">
        <f t="shared" si="9"/>
        <v>171.24809568391842</v>
      </c>
      <c r="H48" s="8">
        <f t="shared" si="9"/>
        <v>5204.214535859579</v>
      </c>
      <c r="I48" s="83"/>
    </row>
    <row r="49" spans="1:9" ht="13.5" thickTop="1" x14ac:dyDescent="0.2">
      <c r="A49" s="1"/>
      <c r="B49" s="6"/>
      <c r="C49" s="6"/>
      <c r="D49" s="6"/>
      <c r="E49" s="6"/>
      <c r="F49" s="6"/>
      <c r="G49" s="6"/>
      <c r="H49" s="6"/>
      <c r="I49" s="83"/>
    </row>
    <row r="50" spans="1:9" x14ac:dyDescent="0.2">
      <c r="A50" s="1"/>
      <c r="B50" s="6"/>
      <c r="C50" s="6"/>
      <c r="D50" s="6"/>
      <c r="E50" s="6"/>
      <c r="F50" s="6"/>
      <c r="G50" s="6"/>
      <c r="H50" s="6"/>
      <c r="I50" s="83"/>
    </row>
    <row r="51" spans="1:9" x14ac:dyDescent="0.2">
      <c r="A51" s="36" t="s">
        <v>247</v>
      </c>
      <c r="B51" s="1"/>
      <c r="C51" s="1"/>
      <c r="D51" s="1"/>
      <c r="E51" s="1"/>
      <c r="F51" s="1"/>
      <c r="G51" s="1"/>
      <c r="H51" s="1"/>
      <c r="I51" s="82"/>
    </row>
    <row r="52" spans="1:9" x14ac:dyDescent="0.2">
      <c r="A52" s="22" t="s">
        <v>332</v>
      </c>
      <c r="B52" s="6"/>
      <c r="C52" s="6"/>
      <c r="D52" s="6"/>
      <c r="E52" s="6"/>
      <c r="F52" s="6"/>
      <c r="G52" s="6"/>
      <c r="H52" s="1"/>
      <c r="I52" s="83"/>
    </row>
    <row r="53" spans="1:9" ht="33.75" x14ac:dyDescent="0.2">
      <c r="A53" s="155" t="s">
        <v>245</v>
      </c>
      <c r="B53" s="165" t="s">
        <v>330</v>
      </c>
      <c r="C53" s="141" t="s">
        <v>89</v>
      </c>
      <c r="D53" s="141" t="s">
        <v>90</v>
      </c>
      <c r="E53" s="141" t="s">
        <v>91</v>
      </c>
      <c r="F53" s="141" t="s">
        <v>92</v>
      </c>
      <c r="G53" s="141" t="s">
        <v>93</v>
      </c>
      <c r="H53" s="160" t="s">
        <v>113</v>
      </c>
      <c r="I53" s="82"/>
    </row>
    <row r="54" spans="1:9" x14ac:dyDescent="0.2">
      <c r="A54" s="1" t="s">
        <v>102</v>
      </c>
      <c r="B54" s="6">
        <f t="shared" ref="B54:B59" si="10">B5</f>
        <v>38593</v>
      </c>
      <c r="C54" s="9">
        <f>C29/$H$29</f>
        <v>0.8087278638086921</v>
      </c>
      <c r="D54" s="9">
        <f>D29/$H$29</f>
        <v>9.7509738146969921E-2</v>
      </c>
      <c r="E54" s="9">
        <f>E29/$H$29</f>
        <v>4.7636506596639837E-2</v>
      </c>
      <c r="F54" s="9">
        <f>F29/$H$29</f>
        <v>1.9178275743483249E-2</v>
      </c>
      <c r="G54" s="9">
        <f>G29/$H$29</f>
        <v>2.6947615704214965E-2</v>
      </c>
      <c r="H54" s="9">
        <f>SUM(C54:G54)</f>
        <v>1.0000000000000002</v>
      </c>
      <c r="I54" s="82"/>
    </row>
    <row r="55" spans="1:9" x14ac:dyDescent="0.2">
      <c r="A55" s="1" t="s">
        <v>76</v>
      </c>
      <c r="B55" s="6">
        <f t="shared" si="10"/>
        <v>25666</v>
      </c>
      <c r="C55" s="9">
        <f>C30/$H$30</f>
        <v>0.75157877834995046</v>
      </c>
      <c r="D55" s="9">
        <f>D30/$H$30</f>
        <v>8.4014866823694495E-2</v>
      </c>
      <c r="E55" s="9">
        <f>E30/$H$30</f>
        <v>7.1961620404341523E-2</v>
      </c>
      <c r="F55" s="9">
        <f>F30/$H$30</f>
        <v>5.8171939062865892E-2</v>
      </c>
      <c r="G55" s="9">
        <f>G30/$H$30</f>
        <v>3.4272795359147866E-2</v>
      </c>
      <c r="H55" s="9">
        <f t="shared" ref="H55:H67" si="11">SUM(C55:G55)</f>
        <v>1.0000000000000002</v>
      </c>
      <c r="I55" s="82"/>
    </row>
    <row r="56" spans="1:9" x14ac:dyDescent="0.2">
      <c r="A56" s="1" t="s">
        <v>77</v>
      </c>
      <c r="B56" s="6">
        <f t="shared" si="10"/>
        <v>16248</v>
      </c>
      <c r="C56" s="9">
        <f>C31/$H$31</f>
        <v>0.75210683012190982</v>
      </c>
      <c r="D56" s="9">
        <f>D31/$H$31</f>
        <v>8.9401250746963395E-2</v>
      </c>
      <c r="E56" s="9">
        <f>E31/$H$31</f>
        <v>9.390517483771503E-2</v>
      </c>
      <c r="F56" s="9">
        <f>F31/$H$31</f>
        <v>4.1869605930776765E-2</v>
      </c>
      <c r="G56" s="9">
        <f>G31/$H$31</f>
        <v>2.2717138362634826E-2</v>
      </c>
      <c r="H56" s="9">
        <f t="shared" si="11"/>
        <v>0.99999999999999978</v>
      </c>
      <c r="I56" s="82"/>
    </row>
    <row r="57" spans="1:9" x14ac:dyDescent="0.2">
      <c r="A57" s="1" t="s">
        <v>78</v>
      </c>
      <c r="B57" s="6">
        <f t="shared" si="10"/>
        <v>15588</v>
      </c>
      <c r="C57" s="9">
        <f>C32/$H$32</f>
        <v>0.73239870161236653</v>
      </c>
      <c r="D57" s="9">
        <f>D32/$H$32</f>
        <v>0.10299814878465334</v>
      </c>
      <c r="E57" s="9">
        <f>E32/$H$32</f>
        <v>9.8316247305364993E-2</v>
      </c>
      <c r="F57" s="9">
        <f>F32/$H$32</f>
        <v>4.1687982150297911E-2</v>
      </c>
      <c r="G57" s="9">
        <f>G32/$H$32</f>
        <v>2.4598920147317228E-2</v>
      </c>
      <c r="H57" s="9">
        <f t="shared" si="11"/>
        <v>1</v>
      </c>
      <c r="I57" s="82"/>
    </row>
    <row r="58" spans="1:9" x14ac:dyDescent="0.2">
      <c r="A58" s="1" t="s">
        <v>79</v>
      </c>
      <c r="B58" s="6">
        <f t="shared" si="10"/>
        <v>8372</v>
      </c>
      <c r="C58" s="9">
        <f>C33/$H$33</f>
        <v>0.68437882571819053</v>
      </c>
      <c r="D58" s="9">
        <f>D33/$H$33</f>
        <v>0.12364547909336897</v>
      </c>
      <c r="E58" s="9">
        <f>E33/$H$33</f>
        <v>0.10748244578069636</v>
      </c>
      <c r="F58" s="9">
        <f>F33/$H$33</f>
        <v>5.3979139201403729E-2</v>
      </c>
      <c r="G58" s="9">
        <f>G33/$H$33</f>
        <v>3.0514110206340449E-2</v>
      </c>
      <c r="H58" s="9">
        <f t="shared" si="11"/>
        <v>1</v>
      </c>
      <c r="I58" s="82"/>
    </row>
    <row r="59" spans="1:9" x14ac:dyDescent="0.2">
      <c r="A59" s="14" t="s">
        <v>80</v>
      </c>
      <c r="B59" s="7">
        <f t="shared" si="10"/>
        <v>2111</v>
      </c>
      <c r="C59" s="10">
        <f>C34/$H$34</f>
        <v>0.63050814511267861</v>
      </c>
      <c r="D59" s="10">
        <f>D34/$H$34</f>
        <v>0.18720812994326036</v>
      </c>
      <c r="E59" s="10">
        <f>E34/$H$34</f>
        <v>0.12490631245326081</v>
      </c>
      <c r="F59" s="10">
        <f>F34/$H$34</f>
        <v>5.3628890823250057E-2</v>
      </c>
      <c r="G59" s="10">
        <f>G34/$H$34</f>
        <v>3.7485216675500529E-3</v>
      </c>
      <c r="H59" s="10">
        <f t="shared" si="11"/>
        <v>0.99999999999999989</v>
      </c>
      <c r="I59" s="82"/>
    </row>
    <row r="60" spans="1:9" x14ac:dyDescent="0.2">
      <c r="A60" s="1" t="s">
        <v>108</v>
      </c>
      <c r="B60" s="6">
        <f>SUM(B54:B59)</f>
        <v>106578</v>
      </c>
      <c r="C60" s="9">
        <f t="shared" ref="C60:H60" si="12">C35/$H$35</f>
        <v>0.75931012200072956</v>
      </c>
      <c r="D60" s="9">
        <f t="shared" si="12"/>
        <v>9.8253688607193301E-2</v>
      </c>
      <c r="E60" s="9">
        <f t="shared" si="12"/>
        <v>7.5483199680996121E-2</v>
      </c>
      <c r="F60" s="9">
        <f t="shared" si="12"/>
        <v>3.9372046183184441E-2</v>
      </c>
      <c r="G60" s="9">
        <f t="shared" si="12"/>
        <v>2.7580943527896581E-2</v>
      </c>
      <c r="H60" s="9">
        <f t="shared" si="12"/>
        <v>1</v>
      </c>
      <c r="I60" s="82"/>
    </row>
    <row r="61" spans="1:9" x14ac:dyDescent="0.2">
      <c r="A61" s="1"/>
      <c r="B61" s="6"/>
      <c r="C61" s="9"/>
      <c r="D61" s="9"/>
      <c r="E61" s="9"/>
      <c r="F61" s="9"/>
      <c r="G61" s="9"/>
      <c r="H61" s="9"/>
      <c r="I61" s="82"/>
    </row>
    <row r="62" spans="1:9" x14ac:dyDescent="0.2">
      <c r="A62" s="1" t="s">
        <v>81</v>
      </c>
      <c r="B62" s="6">
        <f>B13</f>
        <v>18182</v>
      </c>
      <c r="C62" s="9">
        <f>C37/$H$37</f>
        <v>0.72934859649735984</v>
      </c>
      <c r="D62" s="9">
        <f>D37/$H$37</f>
        <v>0.10030058818193076</v>
      </c>
      <c r="E62" s="9">
        <f>E37/$H$37</f>
        <v>7.3367930631551448E-2</v>
      </c>
      <c r="F62" s="9">
        <f>F37/$H$37</f>
        <v>3.5239193355008316E-2</v>
      </c>
      <c r="G62" s="9">
        <f>G37/$H$37</f>
        <v>6.1743691334149697E-2</v>
      </c>
      <c r="H62" s="9">
        <f t="shared" si="11"/>
        <v>1</v>
      </c>
      <c r="I62" s="82"/>
    </row>
    <row r="63" spans="1:9" x14ac:dyDescent="0.2">
      <c r="A63" s="1" t="s">
        <v>82</v>
      </c>
      <c r="B63" s="6">
        <f>B14</f>
        <v>8311</v>
      </c>
      <c r="C63" s="9">
        <f>C38/$H$38</f>
        <v>0.70390639179642567</v>
      </c>
      <c r="D63" s="9">
        <f>D38/$H$38</f>
        <v>0.11196704911962013</v>
      </c>
      <c r="E63" s="9">
        <f>E38/$H$38</f>
        <v>9.1154230721391047E-2</v>
      </c>
      <c r="F63" s="9">
        <f>F38/$H$38</f>
        <v>5.9639812145072697E-2</v>
      </c>
      <c r="G63" s="9">
        <f>G38/$H$38</f>
        <v>3.3332516217490456E-2</v>
      </c>
      <c r="H63" s="9">
        <f t="shared" si="11"/>
        <v>1</v>
      </c>
      <c r="I63" s="82"/>
    </row>
    <row r="64" spans="1:9" x14ac:dyDescent="0.2">
      <c r="A64" s="1" t="s">
        <v>83</v>
      </c>
      <c r="B64" s="6">
        <f>B15</f>
        <v>5201</v>
      </c>
      <c r="C64" s="9">
        <f>C39/$H$39</f>
        <v>0.66686752666528759</v>
      </c>
      <c r="D64" s="9">
        <f>D39/$H$39</f>
        <v>0.12284006548132002</v>
      </c>
      <c r="E64" s="9">
        <f>E39/$H$39</f>
        <v>0.10448978238984796</v>
      </c>
      <c r="F64" s="9">
        <f>F39/$H$39</f>
        <v>6.7824227438233867E-2</v>
      </c>
      <c r="G64" s="9">
        <f>G39/$H$39</f>
        <v>3.7978398025310757E-2</v>
      </c>
      <c r="H64" s="9">
        <f t="shared" si="11"/>
        <v>1.0000000000000002</v>
      </c>
      <c r="I64" s="82"/>
    </row>
    <row r="65" spans="1:9" x14ac:dyDescent="0.2">
      <c r="A65" s="1" t="s">
        <v>84</v>
      </c>
      <c r="B65" s="6">
        <f>B16</f>
        <v>7332</v>
      </c>
      <c r="C65" s="9">
        <f>C40/$H$40</f>
        <v>0.66458662868501739</v>
      </c>
      <c r="D65" s="9">
        <f>D40/$H$40</f>
        <v>0.14099847375016389</v>
      </c>
      <c r="E65" s="9">
        <f>E40/$H$40</f>
        <v>0.10663283793672096</v>
      </c>
      <c r="F65" s="9">
        <f>F40/$H$40</f>
        <v>6.2614405683763627E-2</v>
      </c>
      <c r="G65" s="9">
        <f>G40/$H$40</f>
        <v>2.5167653944334178E-2</v>
      </c>
      <c r="H65" s="9">
        <f t="shared" si="11"/>
        <v>1</v>
      </c>
      <c r="I65" s="82"/>
    </row>
    <row r="66" spans="1:9" x14ac:dyDescent="0.2">
      <c r="A66" s="14" t="s">
        <v>85</v>
      </c>
      <c r="B66" s="7">
        <f>B17</f>
        <v>2864</v>
      </c>
      <c r="C66" s="10">
        <f>C41/$H$41</f>
        <v>0.66015668089249779</v>
      </c>
      <c r="D66" s="10">
        <f>D41/$H$41</f>
        <v>0.13940130089593725</v>
      </c>
      <c r="E66" s="10">
        <f>E41/$H$41</f>
        <v>0.11240973568756876</v>
      </c>
      <c r="F66" s="10">
        <f>F41/$H$41</f>
        <v>6.4897748229151939E-2</v>
      </c>
      <c r="G66" s="10">
        <f>G41/$H$41</f>
        <v>2.313453429484414E-2</v>
      </c>
      <c r="H66" s="10">
        <f t="shared" si="11"/>
        <v>0.99999999999999989</v>
      </c>
      <c r="I66" s="82"/>
    </row>
    <row r="67" spans="1:9" x14ac:dyDescent="0.2">
      <c r="A67" s="1" t="s">
        <v>109</v>
      </c>
      <c r="B67" s="6">
        <f>SUM(B62:B66)</f>
        <v>41890</v>
      </c>
      <c r="C67" s="9">
        <f>C42/$H$42</f>
        <v>0.69648288537781022</v>
      </c>
      <c r="D67" s="9">
        <f>D42/$H$42</f>
        <v>0.11765210655366008</v>
      </c>
      <c r="E67" s="9">
        <f>E42/$H$42</f>
        <v>9.1319516674131934E-2</v>
      </c>
      <c r="F67" s="9">
        <f>F42/$H$42</f>
        <v>5.2236348014014986E-2</v>
      </c>
      <c r="G67" s="9">
        <f>G42/$H$42</f>
        <v>4.2309143380382705E-2</v>
      </c>
      <c r="H67" s="9">
        <f t="shared" si="11"/>
        <v>1</v>
      </c>
      <c r="I67" s="82"/>
    </row>
    <row r="68" spans="1:9" x14ac:dyDescent="0.2">
      <c r="A68" s="1"/>
      <c r="B68" s="6"/>
      <c r="C68" s="9"/>
      <c r="D68" s="9"/>
      <c r="E68" s="9"/>
      <c r="F68" s="9"/>
      <c r="G68" s="9"/>
      <c r="H68" s="9"/>
      <c r="I68" s="82"/>
    </row>
    <row r="69" spans="1:9" x14ac:dyDescent="0.2">
      <c r="A69" s="1" t="s">
        <v>365</v>
      </c>
      <c r="B69" s="6"/>
      <c r="C69" s="9"/>
      <c r="D69" s="9"/>
      <c r="E69" s="9"/>
      <c r="F69" s="9"/>
      <c r="G69" s="9"/>
      <c r="H69" s="9"/>
      <c r="I69" s="82"/>
    </row>
    <row r="70" spans="1:9" x14ac:dyDescent="0.2">
      <c r="A70" s="14" t="s">
        <v>366</v>
      </c>
      <c r="B70" s="7"/>
      <c r="C70" s="10"/>
      <c r="D70" s="10"/>
      <c r="E70" s="10"/>
      <c r="F70" s="10"/>
      <c r="G70" s="10"/>
      <c r="H70" s="10"/>
      <c r="I70" s="82"/>
    </row>
    <row r="71" spans="1:9" x14ac:dyDescent="0.2">
      <c r="A71" s="1" t="s">
        <v>110</v>
      </c>
      <c r="B71" s="6"/>
      <c r="C71" s="9"/>
      <c r="D71" s="9"/>
      <c r="E71" s="9"/>
      <c r="F71" s="9"/>
      <c r="G71" s="9"/>
      <c r="H71" s="9"/>
      <c r="I71" s="82"/>
    </row>
    <row r="72" spans="1:9" x14ac:dyDescent="0.2">
      <c r="A72" s="1"/>
      <c r="B72" s="6"/>
      <c r="C72" s="9"/>
      <c r="D72" s="9"/>
      <c r="E72" s="9"/>
      <c r="F72" s="9"/>
      <c r="G72" s="9"/>
      <c r="H72" s="9"/>
      <c r="I72" s="82"/>
    </row>
    <row r="73" spans="1:9" ht="13.5" thickBot="1" x14ac:dyDescent="0.25">
      <c r="A73" s="15" t="s">
        <v>111</v>
      </c>
      <c r="B73" s="8">
        <f>B60+B67+B71</f>
        <v>148468</v>
      </c>
      <c r="C73" s="11">
        <f t="shared" ref="C73:H73" si="13">C48/$H$48</f>
        <v>0.7365960766346914</v>
      </c>
      <c r="D73" s="11">
        <f t="shared" si="13"/>
        <v>0.10526683400319309</v>
      </c>
      <c r="E73" s="11">
        <f t="shared" si="13"/>
        <v>8.1208532227005734E-2</v>
      </c>
      <c r="F73" s="11">
        <f t="shared" si="13"/>
        <v>4.402290067073162E-2</v>
      </c>
      <c r="G73" s="11">
        <f t="shared" si="13"/>
        <v>3.2905656464378139E-2</v>
      </c>
      <c r="H73" s="11">
        <f t="shared" si="13"/>
        <v>1</v>
      </c>
      <c r="I73" s="82"/>
    </row>
    <row r="74" spans="1:9" ht="13.5" thickTop="1" x14ac:dyDescent="0.2">
      <c r="A74" s="1"/>
      <c r="B74" s="6"/>
      <c r="C74" s="6"/>
      <c r="D74" s="6"/>
      <c r="E74" s="6"/>
      <c r="F74" s="6"/>
      <c r="G74" s="6"/>
      <c r="H74" s="9"/>
      <c r="I74" s="82"/>
    </row>
    <row r="75" spans="1:9" x14ac:dyDescent="0.2">
      <c r="I75" s="82"/>
    </row>
    <row r="76" spans="1:9" x14ac:dyDescent="0.2">
      <c r="I76" s="82"/>
    </row>
    <row r="77" spans="1:9" x14ac:dyDescent="0.2">
      <c r="I77" s="82"/>
    </row>
    <row r="78" spans="1:9"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7"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85"/>
  <dimension ref="A1:I84"/>
  <sheetViews>
    <sheetView workbookViewId="0"/>
  </sheetViews>
  <sheetFormatPr defaultRowHeight="12.75" x14ac:dyDescent="0.2"/>
  <cols>
    <col min="1" max="1" width="26.85546875" customWidth="1"/>
    <col min="3" max="3" width="12" customWidth="1"/>
    <col min="8" max="8" width="10.140625" customWidth="1"/>
  </cols>
  <sheetData>
    <row r="1" spans="1:9" x14ac:dyDescent="0.2">
      <c r="A1" s="36" t="s">
        <v>247</v>
      </c>
    </row>
    <row r="2" spans="1:9" x14ac:dyDescent="0.2">
      <c r="A2" s="22" t="s">
        <v>313</v>
      </c>
    </row>
    <row r="3" spans="1:9" x14ac:dyDescent="0.2">
      <c r="B3" s="36"/>
      <c r="C3" s="35" t="s">
        <v>139</v>
      </c>
      <c r="D3" s="35" t="s">
        <v>140</v>
      </c>
      <c r="E3" s="35"/>
      <c r="F3" s="35" t="s">
        <v>141</v>
      </c>
      <c r="G3" s="35"/>
      <c r="H3" s="35"/>
      <c r="I3" s="181" t="s">
        <v>453</v>
      </c>
    </row>
    <row r="4" spans="1:9" x14ac:dyDescent="0.2">
      <c r="A4" s="155" t="s">
        <v>245</v>
      </c>
      <c r="B4" s="165" t="s">
        <v>314</v>
      </c>
      <c r="C4" s="166" t="s">
        <v>159</v>
      </c>
      <c r="D4" s="166" t="s">
        <v>129</v>
      </c>
      <c r="E4" s="166" t="s">
        <v>91</v>
      </c>
      <c r="F4" s="166" t="s">
        <v>145</v>
      </c>
      <c r="G4" s="166" t="s">
        <v>93</v>
      </c>
      <c r="H4" s="166" t="s">
        <v>106</v>
      </c>
      <c r="I4" s="141" t="s">
        <v>396</v>
      </c>
    </row>
    <row r="5" spans="1:9" x14ac:dyDescent="0.2">
      <c r="A5" s="1" t="s">
        <v>102</v>
      </c>
      <c r="B5" s="6">
        <v>38043</v>
      </c>
      <c r="C5" s="6">
        <v>127964689.77</v>
      </c>
      <c r="D5" s="6">
        <v>14545190.18</v>
      </c>
      <c r="E5" s="6">
        <v>8313325.0300000003</v>
      </c>
      <c r="F5" s="6">
        <v>3088295.66</v>
      </c>
      <c r="G5" s="6">
        <v>3789127.99</v>
      </c>
      <c r="H5" s="6">
        <f t="shared" ref="H5:H10" si="0">SUM(C5:G5)</f>
        <v>157700628.63</v>
      </c>
      <c r="I5" s="6">
        <f>H5/B5</f>
        <v>4145.3257795126565</v>
      </c>
    </row>
    <row r="6" spans="1:9" x14ac:dyDescent="0.2">
      <c r="A6" s="1" t="s">
        <v>76</v>
      </c>
      <c r="B6" s="6">
        <v>25370</v>
      </c>
      <c r="C6" s="6">
        <v>81464938.200000003</v>
      </c>
      <c r="D6" s="6">
        <v>9312545.0999999996</v>
      </c>
      <c r="E6" s="6">
        <v>7773347.0599999996</v>
      </c>
      <c r="F6" s="6">
        <v>10346849.67</v>
      </c>
      <c r="G6" s="6">
        <v>3402532.28</v>
      </c>
      <c r="H6" s="6">
        <f t="shared" si="0"/>
        <v>112300212.31</v>
      </c>
      <c r="I6" s="6">
        <f t="shared" ref="I6:I24" si="1">H6/B6</f>
        <v>4426.4963464722114</v>
      </c>
    </row>
    <row r="7" spans="1:9" x14ac:dyDescent="0.2">
      <c r="A7" s="1" t="s">
        <v>77</v>
      </c>
      <c r="B7" s="6">
        <v>14951</v>
      </c>
      <c r="C7" s="6">
        <v>48499355.960000001</v>
      </c>
      <c r="D7" s="6">
        <v>6235408.1500000004</v>
      </c>
      <c r="E7" s="6">
        <v>5624354.9699999997</v>
      </c>
      <c r="F7" s="6">
        <v>4382634.91</v>
      </c>
      <c r="G7" s="6">
        <v>2141671.44</v>
      </c>
      <c r="H7" s="6">
        <f t="shared" si="0"/>
        <v>66883425.429999992</v>
      </c>
      <c r="I7" s="6">
        <f t="shared" si="1"/>
        <v>4473.508489733128</v>
      </c>
    </row>
    <row r="8" spans="1:9" x14ac:dyDescent="0.2">
      <c r="A8" s="1" t="s">
        <v>78</v>
      </c>
      <c r="B8" s="6">
        <v>16667</v>
      </c>
      <c r="C8" s="6">
        <v>56308906.490000002</v>
      </c>
      <c r="D8" s="6">
        <v>8508567.3800000008</v>
      </c>
      <c r="E8" s="6">
        <v>8155296.9699999997</v>
      </c>
      <c r="F8" s="6">
        <v>3404905.3</v>
      </c>
      <c r="G8" s="6">
        <v>3110180.32</v>
      </c>
      <c r="H8" s="6">
        <f t="shared" si="0"/>
        <v>79487856.459999993</v>
      </c>
      <c r="I8" s="6">
        <f t="shared" si="1"/>
        <v>4769.1760040799181</v>
      </c>
    </row>
    <row r="9" spans="1:9" x14ac:dyDescent="0.2">
      <c r="A9" s="1" t="s">
        <v>79</v>
      </c>
      <c r="B9" s="6">
        <v>8429</v>
      </c>
      <c r="C9" s="6">
        <v>31234484.91</v>
      </c>
      <c r="D9" s="6">
        <v>6045021.3099999996</v>
      </c>
      <c r="E9" s="6">
        <v>4761617.7300000004</v>
      </c>
      <c r="F9" s="6">
        <v>2750507.73</v>
      </c>
      <c r="G9" s="6">
        <v>1506843.79</v>
      </c>
      <c r="H9" s="6">
        <f t="shared" si="0"/>
        <v>46298475.469999999</v>
      </c>
      <c r="I9" s="6">
        <f t="shared" si="1"/>
        <v>5492.7601696523907</v>
      </c>
    </row>
    <row r="10" spans="1:9" x14ac:dyDescent="0.2">
      <c r="A10" s="14" t="s">
        <v>80</v>
      </c>
      <c r="B10" s="7">
        <v>2116</v>
      </c>
      <c r="C10" s="7">
        <v>5569107.7300000004</v>
      </c>
      <c r="D10" s="7">
        <v>1656452.75</v>
      </c>
      <c r="E10" s="7">
        <v>1053101.8600000001</v>
      </c>
      <c r="F10" s="7">
        <v>406828.01</v>
      </c>
      <c r="G10" s="7">
        <v>22279.51</v>
      </c>
      <c r="H10" s="7">
        <f t="shared" si="0"/>
        <v>8707769.8600000013</v>
      </c>
      <c r="I10" s="7">
        <f t="shared" si="1"/>
        <v>4115.2031474480154</v>
      </c>
    </row>
    <row r="11" spans="1:9" x14ac:dyDescent="0.2">
      <c r="A11" s="1" t="s">
        <v>103</v>
      </c>
      <c r="B11" s="6">
        <f>SUM(B5:B10)</f>
        <v>105576</v>
      </c>
      <c r="C11" s="6">
        <f t="shared" ref="C11:H11" si="2">SUM(C5:C10)</f>
        <v>351041483.06000006</v>
      </c>
      <c r="D11" s="6">
        <f t="shared" si="2"/>
        <v>46303184.870000005</v>
      </c>
      <c r="E11" s="6">
        <f t="shared" si="2"/>
        <v>35681043.619999997</v>
      </c>
      <c r="F11" s="6">
        <f t="shared" si="2"/>
        <v>24380021.280000005</v>
      </c>
      <c r="G11" s="6">
        <f t="shared" si="2"/>
        <v>13972635.33</v>
      </c>
      <c r="H11" s="6">
        <f t="shared" si="2"/>
        <v>471378368.15999997</v>
      </c>
      <c r="I11" s="6">
        <f t="shared" si="1"/>
        <v>4464.8250375085245</v>
      </c>
    </row>
    <row r="12" spans="1:9" x14ac:dyDescent="0.2">
      <c r="B12" s="1"/>
      <c r="C12" s="6"/>
      <c r="D12" s="6"/>
      <c r="E12" s="6"/>
      <c r="F12" s="6"/>
      <c r="G12" s="6"/>
      <c r="H12" s="6"/>
      <c r="I12" s="82"/>
    </row>
    <row r="13" spans="1:9" x14ac:dyDescent="0.2">
      <c r="A13" s="1" t="s">
        <v>81</v>
      </c>
      <c r="B13" s="6">
        <v>18590</v>
      </c>
      <c r="C13" s="6">
        <v>76758926.379999995</v>
      </c>
      <c r="D13" s="6">
        <v>11116220.75</v>
      </c>
      <c r="E13" s="6">
        <v>7519102.0099999998</v>
      </c>
      <c r="F13" s="6">
        <v>2606149.38</v>
      </c>
      <c r="G13" s="6">
        <v>6602745.2400000002</v>
      </c>
      <c r="H13" s="6">
        <f>SUM(C13:G13)</f>
        <v>104603143.75999999</v>
      </c>
      <c r="I13" s="6">
        <f t="shared" si="1"/>
        <v>5626.8501215707365</v>
      </c>
    </row>
    <row r="14" spans="1:9" x14ac:dyDescent="0.2">
      <c r="A14" s="1" t="s">
        <v>82</v>
      </c>
      <c r="B14" s="6">
        <v>8329</v>
      </c>
      <c r="C14" s="6">
        <v>31221087.09</v>
      </c>
      <c r="D14" s="6">
        <v>4989210.5999999996</v>
      </c>
      <c r="E14" s="6">
        <v>4163353.92</v>
      </c>
      <c r="F14" s="6">
        <v>4459513.09</v>
      </c>
      <c r="G14" s="6">
        <v>1465584.34</v>
      </c>
      <c r="H14" s="6">
        <f>SUM(C14:G14)</f>
        <v>46298749.040000007</v>
      </c>
      <c r="I14" s="6">
        <f t="shared" si="1"/>
        <v>5558.7404298235087</v>
      </c>
    </row>
    <row r="15" spans="1:9" x14ac:dyDescent="0.2">
      <c r="A15" s="1" t="s">
        <v>83</v>
      </c>
      <c r="B15" s="6">
        <v>5258</v>
      </c>
      <c r="C15" s="6">
        <v>21449040.550000001</v>
      </c>
      <c r="D15" s="6">
        <v>3965127.15</v>
      </c>
      <c r="E15" s="6">
        <v>3318653.29</v>
      </c>
      <c r="F15" s="6">
        <v>4029506.32</v>
      </c>
      <c r="G15" s="6">
        <v>1383367.43</v>
      </c>
      <c r="H15" s="6">
        <f>SUM(C15:G15)</f>
        <v>34145694.740000002</v>
      </c>
      <c r="I15" s="6">
        <f t="shared" si="1"/>
        <v>6494.0461658425256</v>
      </c>
    </row>
    <row r="16" spans="1:9" x14ac:dyDescent="0.2">
      <c r="A16" s="1" t="s">
        <v>84</v>
      </c>
      <c r="B16" s="6">
        <v>7072</v>
      </c>
      <c r="C16" s="6">
        <v>32761993.989999998</v>
      </c>
      <c r="D16" s="6">
        <v>7354770.6200000001</v>
      </c>
      <c r="E16" s="6">
        <v>5440474.8600000003</v>
      </c>
      <c r="F16" s="6">
        <v>2838593.66</v>
      </c>
      <c r="G16" s="6">
        <v>1587182.09</v>
      </c>
      <c r="H16" s="6">
        <f>SUM(C16:G16)</f>
        <v>49983015.219999999</v>
      </c>
      <c r="I16" s="6">
        <f t="shared" si="1"/>
        <v>7067.7340526018097</v>
      </c>
    </row>
    <row r="17" spans="1:9" x14ac:dyDescent="0.2">
      <c r="A17" s="14" t="s">
        <v>85</v>
      </c>
      <c r="B17" s="7">
        <v>3145</v>
      </c>
      <c r="C17" s="7">
        <v>21588492.129999999</v>
      </c>
      <c r="D17" s="7">
        <v>4805623.76</v>
      </c>
      <c r="E17" s="7">
        <v>3724838.73</v>
      </c>
      <c r="F17" s="7">
        <v>2619943.16</v>
      </c>
      <c r="G17" s="7">
        <v>651851.96</v>
      </c>
      <c r="H17" s="7">
        <f>SUM(C17:G17)</f>
        <v>33390749.740000002</v>
      </c>
      <c r="I17" s="7">
        <f t="shared" si="1"/>
        <v>10617.090537360891</v>
      </c>
    </row>
    <row r="18" spans="1:9" x14ac:dyDescent="0.2">
      <c r="A18" s="1" t="s">
        <v>104</v>
      </c>
      <c r="B18" s="6">
        <f>SUM(B13:B17)</f>
        <v>42394</v>
      </c>
      <c r="C18" s="6">
        <f t="shared" ref="C18:H18" si="3">SUM(C13:C17)</f>
        <v>183779540.13999999</v>
      </c>
      <c r="D18" s="6">
        <f t="shared" si="3"/>
        <v>32230952.880000003</v>
      </c>
      <c r="E18" s="6">
        <f t="shared" si="3"/>
        <v>24166422.809999999</v>
      </c>
      <c r="F18" s="6">
        <f t="shared" si="3"/>
        <v>16553705.609999999</v>
      </c>
      <c r="G18" s="6">
        <f t="shared" si="3"/>
        <v>11690731.059999999</v>
      </c>
      <c r="H18" s="6">
        <f t="shared" si="3"/>
        <v>268421352.50000003</v>
      </c>
      <c r="I18" s="6">
        <f t="shared" si="1"/>
        <v>6331.5882554135023</v>
      </c>
    </row>
    <row r="19" spans="1:9" x14ac:dyDescent="0.2">
      <c r="B19" s="1"/>
      <c r="C19" s="6"/>
      <c r="D19" s="6"/>
      <c r="E19" s="6"/>
      <c r="F19" s="6"/>
      <c r="G19" s="6"/>
      <c r="H19" s="6"/>
      <c r="I19" s="6"/>
    </row>
    <row r="20" spans="1:9" x14ac:dyDescent="0.2">
      <c r="A20" s="1" t="s">
        <v>365</v>
      </c>
      <c r="B20" s="6"/>
      <c r="C20" s="6"/>
      <c r="D20" s="6"/>
      <c r="E20" s="6"/>
      <c r="F20" s="6"/>
      <c r="G20" s="6"/>
      <c r="H20" s="6"/>
      <c r="I20" s="6"/>
    </row>
    <row r="21" spans="1:9" x14ac:dyDescent="0.2">
      <c r="A21" s="14" t="s">
        <v>366</v>
      </c>
      <c r="B21" s="7"/>
      <c r="C21" s="7"/>
      <c r="D21" s="7"/>
      <c r="E21" s="7"/>
      <c r="F21" s="7"/>
      <c r="G21" s="7"/>
      <c r="H21" s="7"/>
      <c r="I21" s="7"/>
    </row>
    <row r="22" spans="1:9" x14ac:dyDescent="0.2">
      <c r="A22" s="1" t="s">
        <v>105</v>
      </c>
      <c r="B22" s="6">
        <f>SUM(B20:B21)</f>
        <v>0</v>
      </c>
      <c r="C22" s="6">
        <f t="shared" ref="C22:H22" si="4">SUM(C20:C21)</f>
        <v>0</v>
      </c>
      <c r="D22" s="6">
        <f t="shared" si="4"/>
        <v>0</v>
      </c>
      <c r="E22" s="6">
        <f t="shared" si="4"/>
        <v>0</v>
      </c>
      <c r="F22" s="6">
        <f t="shared" si="4"/>
        <v>0</v>
      </c>
      <c r="G22" s="6">
        <f t="shared" si="4"/>
        <v>0</v>
      </c>
      <c r="H22" s="6">
        <f t="shared" si="4"/>
        <v>0</v>
      </c>
      <c r="I22" s="6">
        <v>0</v>
      </c>
    </row>
    <row r="23" spans="1:9" x14ac:dyDescent="0.2">
      <c r="B23" s="1"/>
      <c r="C23" s="6"/>
      <c r="D23" s="6"/>
      <c r="E23" s="6"/>
      <c r="F23" s="6"/>
      <c r="G23" s="6"/>
      <c r="H23" s="6"/>
      <c r="I23" s="6"/>
    </row>
    <row r="24" spans="1:9" ht="13.5" thickBot="1" x14ac:dyDescent="0.25">
      <c r="A24" s="15" t="s">
        <v>107</v>
      </c>
      <c r="B24" s="8">
        <f>B11+B18+B22</f>
        <v>147970</v>
      </c>
      <c r="C24" s="8">
        <f t="shared" ref="C24:H24" si="5">C11+C18+C22</f>
        <v>534821023.20000005</v>
      </c>
      <c r="D24" s="8">
        <f t="shared" si="5"/>
        <v>78534137.75</v>
      </c>
      <c r="E24" s="8">
        <f t="shared" si="5"/>
        <v>59847466.429999992</v>
      </c>
      <c r="F24" s="8">
        <f t="shared" si="5"/>
        <v>40933726.890000001</v>
      </c>
      <c r="G24" s="8">
        <f t="shared" si="5"/>
        <v>25663366.390000001</v>
      </c>
      <c r="H24" s="8">
        <f t="shared" si="5"/>
        <v>739799720.65999997</v>
      </c>
      <c r="I24" s="8">
        <f t="shared" si="1"/>
        <v>4999.6602058525377</v>
      </c>
    </row>
    <row r="25" spans="1:9" ht="13.5" thickTop="1" x14ac:dyDescent="0.2">
      <c r="A25" s="1"/>
      <c r="B25" s="6"/>
      <c r="C25" s="6"/>
      <c r="D25" s="6"/>
      <c r="E25" s="6"/>
      <c r="F25" s="6"/>
      <c r="G25" s="6"/>
      <c r="H25" s="6"/>
      <c r="I25" s="83"/>
    </row>
    <row r="26" spans="1:9" x14ac:dyDescent="0.2">
      <c r="A26" s="36" t="s">
        <v>247</v>
      </c>
      <c r="B26" s="1"/>
      <c r="C26" s="6"/>
      <c r="D26" s="6"/>
      <c r="E26" s="6"/>
      <c r="F26" s="6"/>
      <c r="G26" s="6"/>
      <c r="H26" s="6"/>
      <c r="I26" s="82"/>
    </row>
    <row r="27" spans="1:9" x14ac:dyDescent="0.2">
      <c r="A27" s="36" t="s">
        <v>315</v>
      </c>
      <c r="B27" s="6"/>
      <c r="C27" s="6"/>
      <c r="D27" s="6"/>
      <c r="E27" s="6"/>
      <c r="F27" s="6"/>
      <c r="G27" s="6"/>
      <c r="H27" s="6"/>
      <c r="I27" s="82"/>
    </row>
    <row r="28" spans="1:9" ht="33.75" x14ac:dyDescent="0.2">
      <c r="A28" s="155" t="s">
        <v>245</v>
      </c>
      <c r="B28" s="165" t="s">
        <v>314</v>
      </c>
      <c r="C28" s="141" t="s">
        <v>89</v>
      </c>
      <c r="D28" s="141" t="s">
        <v>90</v>
      </c>
      <c r="E28" s="141" t="s">
        <v>91</v>
      </c>
      <c r="F28" s="141" t="s">
        <v>92</v>
      </c>
      <c r="G28" s="141" t="s">
        <v>93</v>
      </c>
      <c r="H28" s="141" t="s">
        <v>106</v>
      </c>
      <c r="I28" s="82"/>
    </row>
    <row r="29" spans="1:9" x14ac:dyDescent="0.2">
      <c r="A29" s="1" t="s">
        <v>102</v>
      </c>
      <c r="B29" s="1">
        <f t="shared" ref="B29:B34" si="6">B5</f>
        <v>38043</v>
      </c>
      <c r="C29" s="6">
        <f>C5/$B$5</f>
        <v>3363.6855602870437</v>
      </c>
      <c r="D29" s="6">
        <f>D5/$B$5</f>
        <v>382.33551980653471</v>
      </c>
      <c r="E29" s="6">
        <f>E5/$B$5</f>
        <v>218.52443366716611</v>
      </c>
      <c r="F29" s="6">
        <f>F5/$B$5</f>
        <v>81.179077885550569</v>
      </c>
      <c r="G29" s="6">
        <f>G5/$B$5</f>
        <v>99.601187866361755</v>
      </c>
      <c r="H29" s="6">
        <f t="shared" ref="H29:H34" si="7">SUM(C29:G29)</f>
        <v>4145.3257795126574</v>
      </c>
      <c r="I29" s="82"/>
    </row>
    <row r="30" spans="1:9" x14ac:dyDescent="0.2">
      <c r="A30" s="1" t="s">
        <v>76</v>
      </c>
      <c r="B30" s="1">
        <f t="shared" si="6"/>
        <v>25370</v>
      </c>
      <c r="C30" s="6">
        <f>C6/$B$6</f>
        <v>3211.0736381553015</v>
      </c>
      <c r="D30" s="6">
        <f>D6/$B$6</f>
        <v>367.06918013401656</v>
      </c>
      <c r="E30" s="6">
        <f>E6/$B$6</f>
        <v>306.3991746156878</v>
      </c>
      <c r="F30" s="6">
        <f>F6/$B$6</f>
        <v>407.83798462751281</v>
      </c>
      <c r="G30" s="6">
        <f>G6/$B$6</f>
        <v>134.11636893969253</v>
      </c>
      <c r="H30" s="6">
        <f t="shared" si="7"/>
        <v>4426.4963464722114</v>
      </c>
      <c r="I30" s="82"/>
    </row>
    <row r="31" spans="1:9" x14ac:dyDescent="0.2">
      <c r="A31" s="1" t="s">
        <v>77</v>
      </c>
      <c r="B31" s="1">
        <f t="shared" si="6"/>
        <v>14951</v>
      </c>
      <c r="C31" s="6">
        <f>C7/$B$7</f>
        <v>3243.8870951775802</v>
      </c>
      <c r="D31" s="6">
        <f>D7/$B$7</f>
        <v>417.05626045080601</v>
      </c>
      <c r="E31" s="6">
        <f>E7/$B$7</f>
        <v>376.18587184803692</v>
      </c>
      <c r="F31" s="6">
        <f>F7/$B$7</f>
        <v>293.1332292154371</v>
      </c>
      <c r="G31" s="6">
        <f>G7/$B$7</f>
        <v>143.24603304126813</v>
      </c>
      <c r="H31" s="6">
        <f t="shared" si="7"/>
        <v>4473.508489733128</v>
      </c>
      <c r="I31" s="82"/>
    </row>
    <row r="32" spans="1:9" x14ac:dyDescent="0.2">
      <c r="A32" s="1" t="s">
        <v>78</v>
      </c>
      <c r="B32" s="1">
        <f t="shared" si="6"/>
        <v>16667</v>
      </c>
      <c r="C32" s="6">
        <f>C8/$B$8</f>
        <v>3378.4668200635988</v>
      </c>
      <c r="D32" s="6">
        <f>D8/$B$8</f>
        <v>510.50383272334557</v>
      </c>
      <c r="E32" s="6">
        <f>E8/$B$8</f>
        <v>489.3080320393592</v>
      </c>
      <c r="F32" s="6">
        <f>F8/$B$8</f>
        <v>204.29023219535608</v>
      </c>
      <c r="G32" s="6">
        <f>G8/$B$8</f>
        <v>186.60708705825883</v>
      </c>
      <c r="H32" s="6">
        <f t="shared" si="7"/>
        <v>4769.176004079919</v>
      </c>
      <c r="I32" s="82"/>
    </row>
    <row r="33" spans="1:9" x14ac:dyDescent="0.2">
      <c r="A33" s="1" t="s">
        <v>79</v>
      </c>
      <c r="B33" s="1">
        <f t="shared" si="6"/>
        <v>8429</v>
      </c>
      <c r="C33" s="6">
        <f>C9/$B$9</f>
        <v>3705.5979250207615</v>
      </c>
      <c r="D33" s="6">
        <f>D9/$B$9</f>
        <v>717.16945189227658</v>
      </c>
      <c r="E33" s="6">
        <f>E9/$B$9</f>
        <v>564.90897259461394</v>
      </c>
      <c r="F33" s="6">
        <f>F9/$B$9</f>
        <v>326.31483331356031</v>
      </c>
      <c r="G33" s="6">
        <f>G9/$B$9</f>
        <v>178.76898683117807</v>
      </c>
      <c r="H33" s="6">
        <f t="shared" si="7"/>
        <v>5492.7601696523907</v>
      </c>
      <c r="I33" s="83"/>
    </row>
    <row r="34" spans="1:9" x14ac:dyDescent="0.2">
      <c r="A34" s="14" t="s">
        <v>80</v>
      </c>
      <c r="B34" s="14">
        <f t="shared" si="6"/>
        <v>2116</v>
      </c>
      <c r="C34" s="7">
        <f>C10/$B$10</f>
        <v>2631.903464083176</v>
      </c>
      <c r="D34" s="7">
        <f>D10/$B$10</f>
        <v>782.82266068052934</v>
      </c>
      <c r="E34" s="7">
        <f>E10/$B$10</f>
        <v>497.68518903591689</v>
      </c>
      <c r="F34" s="7">
        <f>F10/$B$10</f>
        <v>192.26276465028357</v>
      </c>
      <c r="G34" s="7">
        <f>G10/$B$10</f>
        <v>10.52906899810964</v>
      </c>
      <c r="H34" s="7">
        <f t="shared" si="7"/>
        <v>4115.2031474480145</v>
      </c>
      <c r="I34" s="83"/>
    </row>
    <row r="35" spans="1:9" x14ac:dyDescent="0.2">
      <c r="A35" s="1" t="s">
        <v>103</v>
      </c>
      <c r="B35" s="6">
        <f>SUM(B29:B34)</f>
        <v>105576</v>
      </c>
      <c r="C35" s="6">
        <f t="shared" ref="C35:H35" si="8">C11/$B$35</f>
        <v>3325.012152951429</v>
      </c>
      <c r="D35" s="6">
        <f t="shared" si="8"/>
        <v>438.57680599757526</v>
      </c>
      <c r="E35" s="6">
        <f t="shared" si="8"/>
        <v>337.96548098052585</v>
      </c>
      <c r="F35" s="6">
        <f t="shared" si="8"/>
        <v>230.92389634007733</v>
      </c>
      <c r="G35" s="6">
        <f t="shared" si="8"/>
        <v>132.34670123891794</v>
      </c>
      <c r="H35" s="6">
        <f t="shared" si="8"/>
        <v>4464.8250375085245</v>
      </c>
      <c r="I35" s="83"/>
    </row>
    <row r="36" spans="1:9" x14ac:dyDescent="0.2">
      <c r="A36" s="1"/>
      <c r="B36" s="1"/>
      <c r="C36" s="6"/>
      <c r="D36" s="6"/>
      <c r="E36" s="6"/>
      <c r="F36" s="6"/>
      <c r="G36" s="6"/>
      <c r="H36" s="6"/>
      <c r="I36" s="83"/>
    </row>
    <row r="37" spans="1:9" x14ac:dyDescent="0.2">
      <c r="A37" s="1" t="s">
        <v>81</v>
      </c>
      <c r="B37" s="1">
        <f>B13</f>
        <v>18590</v>
      </c>
      <c r="C37" s="6">
        <f>C13/$B$13</f>
        <v>4129.0439150080683</v>
      </c>
      <c r="D37" s="6">
        <f>D13/$B$13</f>
        <v>597.96776492738036</v>
      </c>
      <c r="E37" s="6">
        <f>E13/$B$13</f>
        <v>404.47025336202256</v>
      </c>
      <c r="F37" s="6">
        <f>F13/$B$13</f>
        <v>140.19092953200644</v>
      </c>
      <c r="G37" s="6">
        <f>G13/$B$13</f>
        <v>355.17725874125875</v>
      </c>
      <c r="H37" s="6">
        <f>SUM(C37:G37)</f>
        <v>5626.8501215707374</v>
      </c>
      <c r="I37" s="83"/>
    </row>
    <row r="38" spans="1:9" x14ac:dyDescent="0.2">
      <c r="A38" s="1" t="s">
        <v>82</v>
      </c>
      <c r="B38" s="1">
        <f>B14</f>
        <v>8329</v>
      </c>
      <c r="C38" s="6">
        <f>C14/$B$14</f>
        <v>3748.4796602233159</v>
      </c>
      <c r="D38" s="6">
        <f>D14/$B$14</f>
        <v>599.0167607155721</v>
      </c>
      <c r="E38" s="6">
        <f>E14/$B$14</f>
        <v>499.86239884740064</v>
      </c>
      <c r="F38" s="6">
        <f>F14/$B$14</f>
        <v>535.41998919438106</v>
      </c>
      <c r="G38" s="6">
        <f>G14/$B$14</f>
        <v>175.96162084283827</v>
      </c>
      <c r="H38" s="6">
        <f>SUM(C38:G38)</f>
        <v>5558.7404298235078</v>
      </c>
      <c r="I38" s="83"/>
    </row>
    <row r="39" spans="1:9" x14ac:dyDescent="0.2">
      <c r="A39" s="1" t="s">
        <v>83</v>
      </c>
      <c r="B39" s="1">
        <f>B15</f>
        <v>5258</v>
      </c>
      <c r="C39" s="6">
        <f>C15/$B$15</f>
        <v>4079.3154336249527</v>
      </c>
      <c r="D39" s="6">
        <f>D15/$B$15</f>
        <v>754.11318942563707</v>
      </c>
      <c r="E39" s="6">
        <f>E15/$B$15</f>
        <v>631.16266451122101</v>
      </c>
      <c r="F39" s="6">
        <f>F15/$B$15</f>
        <v>766.35723088626855</v>
      </c>
      <c r="G39" s="6">
        <f>G15/$B$15</f>
        <v>263.09764739444654</v>
      </c>
      <c r="H39" s="6">
        <f>SUM(C39:G39)</f>
        <v>6494.0461658425256</v>
      </c>
      <c r="I39" s="83"/>
    </row>
    <row r="40" spans="1:9" x14ac:dyDescent="0.2">
      <c r="A40" s="1" t="s">
        <v>84</v>
      </c>
      <c r="B40" s="1">
        <f>B16</f>
        <v>7072</v>
      </c>
      <c r="C40" s="6">
        <f>C16/$B$16</f>
        <v>4632.6348967760177</v>
      </c>
      <c r="D40" s="6">
        <f>D16/$B$16</f>
        <v>1039.9845333710407</v>
      </c>
      <c r="E40" s="6">
        <f>E16/$B$16</f>
        <v>769.29791572398199</v>
      </c>
      <c r="F40" s="6">
        <f>F16/$B$16</f>
        <v>401.38485011312218</v>
      </c>
      <c r="G40" s="6">
        <f>G16/$B$16</f>
        <v>224.43185661764707</v>
      </c>
      <c r="H40" s="6">
        <f>SUM(C40:G40)</f>
        <v>7067.7340526018106</v>
      </c>
      <c r="I40" s="83"/>
    </row>
    <row r="41" spans="1:9" x14ac:dyDescent="0.2">
      <c r="A41" s="14" t="s">
        <v>85</v>
      </c>
      <c r="B41" s="14">
        <f>B17</f>
        <v>3145</v>
      </c>
      <c r="C41" s="7">
        <f>C17/$B$17</f>
        <v>6864.3854149443559</v>
      </c>
      <c r="D41" s="7">
        <f>D17/$B$17</f>
        <v>1528.0202734499205</v>
      </c>
      <c r="E41" s="7">
        <f>E17/$B$17</f>
        <v>1184.3684356120827</v>
      </c>
      <c r="F41" s="7">
        <f>F17/$B$17</f>
        <v>833.05028934817176</v>
      </c>
      <c r="G41" s="7">
        <f>G17/$B$17</f>
        <v>207.26612400635929</v>
      </c>
      <c r="H41" s="7">
        <f>SUM(C41:G41)</f>
        <v>10617.090537360889</v>
      </c>
      <c r="I41" s="83"/>
    </row>
    <row r="42" spans="1:9" x14ac:dyDescent="0.2">
      <c r="A42" s="1" t="s">
        <v>104</v>
      </c>
      <c r="B42" s="6">
        <f>SUM(B37:B41)</f>
        <v>42394</v>
      </c>
      <c r="C42" s="6">
        <f t="shared" ref="C42:H42" si="9">C18/$B$42</f>
        <v>4335.036565079964</v>
      </c>
      <c r="D42" s="6">
        <f t="shared" si="9"/>
        <v>760.27156861820072</v>
      </c>
      <c r="E42" s="6">
        <f t="shared" si="9"/>
        <v>570.0434686512242</v>
      </c>
      <c r="F42" s="6">
        <f t="shared" si="9"/>
        <v>390.47284073217907</v>
      </c>
      <c r="G42" s="6">
        <f t="shared" si="9"/>
        <v>275.76381233193371</v>
      </c>
      <c r="H42" s="6">
        <f t="shared" si="9"/>
        <v>6331.5882554135023</v>
      </c>
      <c r="I42" s="83"/>
    </row>
    <row r="43" spans="1:9" x14ac:dyDescent="0.2">
      <c r="A43" s="1"/>
      <c r="B43" s="1"/>
      <c r="C43" s="6"/>
      <c r="D43" s="6"/>
      <c r="E43" s="6"/>
      <c r="F43" s="6"/>
      <c r="G43" s="6"/>
      <c r="H43" s="6"/>
      <c r="I43" s="83"/>
    </row>
    <row r="44" spans="1:9" x14ac:dyDescent="0.2">
      <c r="A44" s="1" t="s">
        <v>86</v>
      </c>
      <c r="B44" s="1"/>
      <c r="C44" s="6"/>
      <c r="D44" s="6"/>
      <c r="E44" s="6"/>
      <c r="F44" s="6"/>
      <c r="G44" s="6"/>
      <c r="H44" s="6"/>
      <c r="I44" s="83"/>
    </row>
    <row r="45" spans="1:9" x14ac:dyDescent="0.2">
      <c r="A45" s="14" t="s">
        <v>87</v>
      </c>
      <c r="B45" s="14"/>
      <c r="C45" s="7"/>
      <c r="D45" s="7"/>
      <c r="E45" s="7"/>
      <c r="F45" s="7"/>
      <c r="G45" s="7"/>
      <c r="H45" s="7"/>
      <c r="I45" s="83"/>
    </row>
    <row r="46" spans="1:9" x14ac:dyDescent="0.2">
      <c r="A46" s="1" t="s">
        <v>105</v>
      </c>
      <c r="B46" s="6"/>
      <c r="C46" s="6"/>
      <c r="D46" s="6"/>
      <c r="E46" s="6"/>
      <c r="F46" s="6"/>
      <c r="G46" s="6"/>
      <c r="H46" s="6"/>
      <c r="I46" s="83"/>
    </row>
    <row r="47" spans="1:9" x14ac:dyDescent="0.2">
      <c r="A47" s="1"/>
      <c r="B47" s="1"/>
      <c r="C47" s="6"/>
      <c r="D47" s="6"/>
      <c r="E47" s="6"/>
      <c r="F47" s="6"/>
      <c r="G47" s="6"/>
      <c r="H47" s="6"/>
      <c r="I47" s="83"/>
    </row>
    <row r="48" spans="1:9" ht="13.5" thickBot="1" x14ac:dyDescent="0.25">
      <c r="A48" s="15" t="s">
        <v>112</v>
      </c>
      <c r="B48" s="8">
        <f>B35+B42+B46</f>
        <v>147970</v>
      </c>
      <c r="C48" s="8">
        <f t="shared" ref="C48:H48" si="10">C24/$B$48</f>
        <v>3614.3882084206261</v>
      </c>
      <c r="D48" s="8">
        <f t="shared" si="10"/>
        <v>530.74364905048321</v>
      </c>
      <c r="E48" s="8">
        <f t="shared" si="10"/>
        <v>404.45675765357839</v>
      </c>
      <c r="F48" s="8">
        <f t="shared" si="10"/>
        <v>276.63531046833816</v>
      </c>
      <c r="G48" s="8">
        <f t="shared" si="10"/>
        <v>173.43628025951207</v>
      </c>
      <c r="H48" s="8">
        <f t="shared" si="10"/>
        <v>4999.6602058525377</v>
      </c>
      <c r="I48" s="83"/>
    </row>
    <row r="49" spans="1:9" ht="13.5" thickTop="1" x14ac:dyDescent="0.2">
      <c r="A49" s="1"/>
      <c r="B49" s="6"/>
      <c r="C49" s="6"/>
      <c r="D49" s="6"/>
      <c r="E49" s="6"/>
      <c r="F49" s="6"/>
      <c r="G49" s="6"/>
      <c r="H49" s="6"/>
      <c r="I49" s="83"/>
    </row>
    <row r="50" spans="1:9" x14ac:dyDescent="0.2">
      <c r="A50" s="1"/>
      <c r="B50" s="6"/>
      <c r="C50" s="6"/>
      <c r="D50" s="6"/>
      <c r="E50" s="6"/>
      <c r="F50" s="6"/>
      <c r="G50" s="6"/>
      <c r="H50" s="6"/>
      <c r="I50" s="83"/>
    </row>
    <row r="51" spans="1:9" x14ac:dyDescent="0.2">
      <c r="A51" s="36" t="s">
        <v>247</v>
      </c>
      <c r="B51" s="1"/>
      <c r="C51" s="1"/>
      <c r="D51" s="1"/>
      <c r="E51" s="1"/>
      <c r="F51" s="1"/>
      <c r="G51" s="1"/>
      <c r="H51" s="1"/>
      <c r="I51" s="82"/>
    </row>
    <row r="52" spans="1:9" x14ac:dyDescent="0.2">
      <c r="A52" s="22" t="s">
        <v>316</v>
      </c>
      <c r="B52" s="6"/>
      <c r="C52" s="6"/>
      <c r="D52" s="6"/>
      <c r="E52" s="6"/>
      <c r="F52" s="6"/>
      <c r="G52" s="6"/>
      <c r="H52" s="1"/>
      <c r="I52" s="83"/>
    </row>
    <row r="53" spans="1:9" ht="33.75" x14ac:dyDescent="0.2">
      <c r="A53" s="155" t="s">
        <v>245</v>
      </c>
      <c r="B53" s="165" t="s">
        <v>314</v>
      </c>
      <c r="C53" s="141" t="s">
        <v>89</v>
      </c>
      <c r="D53" s="141" t="s">
        <v>90</v>
      </c>
      <c r="E53" s="141" t="s">
        <v>91</v>
      </c>
      <c r="F53" s="141" t="s">
        <v>92</v>
      </c>
      <c r="G53" s="141" t="s">
        <v>93</v>
      </c>
      <c r="H53" s="160" t="s">
        <v>113</v>
      </c>
      <c r="I53" s="82"/>
    </row>
    <row r="54" spans="1:9" x14ac:dyDescent="0.2">
      <c r="A54" s="1" t="s">
        <v>102</v>
      </c>
      <c r="B54" s="6">
        <f t="shared" ref="B54:B59" si="11">B5</f>
        <v>38043</v>
      </c>
      <c r="C54" s="9">
        <f>C29/$H$29</f>
        <v>0.81144058131964081</v>
      </c>
      <c r="D54" s="9">
        <f>D29/$H$29</f>
        <v>9.2232924537835423E-2</v>
      </c>
      <c r="E54" s="9">
        <f>E29/$H$29</f>
        <v>5.2715864877779711E-2</v>
      </c>
      <c r="F54" s="9">
        <f>F29/$H$29</f>
        <v>1.9583280592024865E-2</v>
      </c>
      <c r="G54" s="9">
        <f>G29/$H$29</f>
        <v>2.402734867271911E-2</v>
      </c>
      <c r="H54" s="9">
        <f>SUM(C54:G54)</f>
        <v>0.99999999999999989</v>
      </c>
      <c r="I54" s="82"/>
    </row>
    <row r="55" spans="1:9" x14ac:dyDescent="0.2">
      <c r="A55" s="1" t="s">
        <v>76</v>
      </c>
      <c r="B55" s="6">
        <f t="shared" si="11"/>
        <v>25370</v>
      </c>
      <c r="C55" s="9">
        <f>C30/$H$30</f>
        <v>0.72542105241189991</v>
      </c>
      <c r="D55" s="9">
        <f>D30/$H$30</f>
        <v>8.2925445183425942E-2</v>
      </c>
      <c r="E55" s="9">
        <f>E30/$H$30</f>
        <v>6.9219344292440005E-2</v>
      </c>
      <c r="F55" s="9">
        <f>F30/$H$30</f>
        <v>9.213561984582859E-2</v>
      </c>
      <c r="G55" s="9">
        <f>G30/$H$30</f>
        <v>3.0298538266405523E-2</v>
      </c>
      <c r="H55" s="9">
        <f t="shared" ref="H55:H67" si="12">SUM(C55:G55)</f>
        <v>1</v>
      </c>
      <c r="I55" s="82"/>
    </row>
    <row r="56" spans="1:9" x14ac:dyDescent="0.2">
      <c r="A56" s="1" t="s">
        <v>77</v>
      </c>
      <c r="B56" s="6">
        <f t="shared" si="11"/>
        <v>14951</v>
      </c>
      <c r="C56" s="9">
        <f>C31/$H$31</f>
        <v>0.72513265653176351</v>
      </c>
      <c r="D56" s="9">
        <f>D31/$H$31</f>
        <v>9.322800245220636E-2</v>
      </c>
      <c r="E56" s="9">
        <f>E31/$H$31</f>
        <v>8.4091909674788329E-2</v>
      </c>
      <c r="F56" s="9">
        <f>F31/$H$31</f>
        <v>6.5526472094149149E-2</v>
      </c>
      <c r="G56" s="9">
        <f>G31/$H$31</f>
        <v>3.2020959247092799E-2</v>
      </c>
      <c r="H56" s="9">
        <f t="shared" si="12"/>
        <v>1</v>
      </c>
      <c r="I56" s="82"/>
    </row>
    <row r="57" spans="1:9" x14ac:dyDescent="0.2">
      <c r="A57" s="1" t="s">
        <v>78</v>
      </c>
      <c r="B57" s="6">
        <f t="shared" si="11"/>
        <v>16667</v>
      </c>
      <c r="C57" s="9">
        <f>C32/$H$32</f>
        <v>0.70839633873302199</v>
      </c>
      <c r="D57" s="9">
        <f>D32/$H$32</f>
        <v>0.10704235538521149</v>
      </c>
      <c r="E57" s="9">
        <f>E32/$H$32</f>
        <v>0.10259802356230249</v>
      </c>
      <c r="F57" s="9">
        <f>F32/$H$32</f>
        <v>4.2835540567299372E-2</v>
      </c>
      <c r="G57" s="9">
        <f>G32/$H$32</f>
        <v>3.9127741752164484E-2</v>
      </c>
      <c r="H57" s="9">
        <f t="shared" si="12"/>
        <v>0.99999999999999978</v>
      </c>
      <c r="I57" s="82"/>
    </row>
    <row r="58" spans="1:9" x14ac:dyDescent="0.2">
      <c r="A58" s="1" t="s">
        <v>79</v>
      </c>
      <c r="B58" s="6">
        <f t="shared" si="11"/>
        <v>8429</v>
      </c>
      <c r="C58" s="9">
        <f>C33/$H$33</f>
        <v>0.67463311897254574</v>
      </c>
      <c r="D58" s="9">
        <f>D33/$H$33</f>
        <v>0.13056631451972947</v>
      </c>
      <c r="E58" s="9">
        <f>E33/$H$33</f>
        <v>0.10284610198634692</v>
      </c>
      <c r="F58" s="9">
        <f>F33/$H$33</f>
        <v>5.9408170616379041E-2</v>
      </c>
      <c r="G58" s="9">
        <f>G33/$H$33</f>
        <v>3.2546293904998851E-2</v>
      </c>
      <c r="H58" s="9">
        <f t="shared" si="12"/>
        <v>1</v>
      </c>
      <c r="I58" s="82"/>
    </row>
    <row r="59" spans="1:9" x14ac:dyDescent="0.2">
      <c r="A59" s="14" t="s">
        <v>80</v>
      </c>
      <c r="B59" s="7">
        <f t="shared" si="11"/>
        <v>2116</v>
      </c>
      <c r="C59" s="10">
        <f>C34/$H$34</f>
        <v>0.6395561457799025</v>
      </c>
      <c r="D59" s="10">
        <f>D34/$H$34</f>
        <v>0.19022697850675629</v>
      </c>
      <c r="E59" s="10">
        <f>E34/$H$34</f>
        <v>0.12093818244296138</v>
      </c>
      <c r="F59" s="10">
        <f>F34/$H$34</f>
        <v>4.6720115085816027E-2</v>
      </c>
      <c r="G59" s="10">
        <f>G34/$H$34</f>
        <v>2.5585781845640096E-3</v>
      </c>
      <c r="H59" s="10">
        <f t="shared" si="12"/>
        <v>1.0000000000000002</v>
      </c>
      <c r="I59" s="82"/>
    </row>
    <row r="60" spans="1:9" x14ac:dyDescent="0.2">
      <c r="A60" s="1" t="s">
        <v>108</v>
      </c>
      <c r="B60" s="6">
        <f>SUM(B54:B59)</f>
        <v>105576</v>
      </c>
      <c r="C60" s="9">
        <f t="shared" ref="C60:H60" si="13">C35/$H$35</f>
        <v>0.74471275470334275</v>
      </c>
      <c r="D60" s="9">
        <f t="shared" si="13"/>
        <v>9.8229337614159071E-2</v>
      </c>
      <c r="E60" s="9">
        <f t="shared" si="13"/>
        <v>7.5695123132779776E-2</v>
      </c>
      <c r="F60" s="9">
        <f t="shared" si="13"/>
        <v>5.1720704484522914E-2</v>
      </c>
      <c r="G60" s="9">
        <f t="shared" si="13"/>
        <v>2.964208006519567E-2</v>
      </c>
      <c r="H60" s="9">
        <f t="shared" si="13"/>
        <v>1</v>
      </c>
      <c r="I60" s="82"/>
    </row>
    <row r="61" spans="1:9" x14ac:dyDescent="0.2">
      <c r="A61" s="1"/>
      <c r="B61" s="6"/>
      <c r="C61" s="9"/>
      <c r="D61" s="9"/>
      <c r="E61" s="9"/>
      <c r="F61" s="9"/>
      <c r="G61" s="9"/>
      <c r="H61" s="9"/>
      <c r="I61" s="82"/>
    </row>
    <row r="62" spans="1:9" x14ac:dyDescent="0.2">
      <c r="A62" s="1" t="s">
        <v>81</v>
      </c>
      <c r="B62" s="6">
        <f>B13</f>
        <v>18590</v>
      </c>
      <c r="C62" s="9">
        <f>C37/$H$37</f>
        <v>0.73381089344804584</v>
      </c>
      <c r="D62" s="9">
        <f>D37/$H$37</f>
        <v>0.10627042697210805</v>
      </c>
      <c r="E62" s="9">
        <f>E37/$H$37</f>
        <v>7.1882180016039687E-2</v>
      </c>
      <c r="F62" s="9">
        <f>F37/$H$37</f>
        <v>2.49146372309757E-2</v>
      </c>
      <c r="G62" s="9">
        <f>G37/$H$37</f>
        <v>6.3121862332830514E-2</v>
      </c>
      <c r="H62" s="9">
        <f t="shared" si="12"/>
        <v>0.99999999999999978</v>
      </c>
      <c r="I62" s="82"/>
    </row>
    <row r="63" spans="1:9" x14ac:dyDescent="0.2">
      <c r="A63" s="1" t="s">
        <v>82</v>
      </c>
      <c r="B63" s="6">
        <f>B14</f>
        <v>8329</v>
      </c>
      <c r="C63" s="9">
        <f>C38/$H$38</f>
        <v>0.67433975512008781</v>
      </c>
      <c r="D63" s="9">
        <f>D38/$H$38</f>
        <v>0.10776123984882509</v>
      </c>
      <c r="E63" s="9">
        <f>E38/$H$38</f>
        <v>8.9923680581586618E-2</v>
      </c>
      <c r="F63" s="9">
        <f>F38/$H$38</f>
        <v>9.6320379761172054E-2</v>
      </c>
      <c r="G63" s="9">
        <f>G38/$H$38</f>
        <v>3.1654944688328454E-2</v>
      </c>
      <c r="H63" s="9">
        <f t="shared" si="12"/>
        <v>1</v>
      </c>
      <c r="I63" s="82"/>
    </row>
    <row r="64" spans="1:9" x14ac:dyDescent="0.2">
      <c r="A64" s="1" t="s">
        <v>83</v>
      </c>
      <c r="B64" s="6">
        <f>B15</f>
        <v>5258</v>
      </c>
      <c r="C64" s="9">
        <f>C39/$H$39</f>
        <v>0.62816237049274348</v>
      </c>
      <c r="D64" s="9">
        <f>D39/$H$39</f>
        <v>0.11612378017762363</v>
      </c>
      <c r="E64" s="9">
        <f>E39/$H$39</f>
        <v>9.7190972837707737E-2</v>
      </c>
      <c r="F64" s="9">
        <f>F39/$H$39</f>
        <v>0.11800920586569973</v>
      </c>
      <c r="G64" s="9">
        <f>G39/$H$39</f>
        <v>4.0513670626225483E-2</v>
      </c>
      <c r="H64" s="9">
        <f t="shared" si="12"/>
        <v>1</v>
      </c>
      <c r="I64" s="82"/>
    </row>
    <row r="65" spans="1:9" x14ac:dyDescent="0.2">
      <c r="A65" s="1" t="s">
        <v>84</v>
      </c>
      <c r="B65" s="6">
        <f>B16</f>
        <v>7072</v>
      </c>
      <c r="C65" s="9">
        <f>C40/$H$40</f>
        <v>0.65546253753996708</v>
      </c>
      <c r="D65" s="9">
        <f>D40/$H$40</f>
        <v>0.14714539704393606</v>
      </c>
      <c r="E65" s="9">
        <f>E40/$H$40</f>
        <v>0.10884647186756893</v>
      </c>
      <c r="F65" s="9">
        <f>F40/$H$40</f>
        <v>5.6791164908838405E-2</v>
      </c>
      <c r="G65" s="9">
        <f>G40/$H$40</f>
        <v>3.1754428639689414E-2</v>
      </c>
      <c r="H65" s="9">
        <f t="shared" si="12"/>
        <v>0.99999999999999978</v>
      </c>
      <c r="I65" s="82"/>
    </row>
    <row r="66" spans="1:9" x14ac:dyDescent="0.2">
      <c r="A66" s="14" t="s">
        <v>85</v>
      </c>
      <c r="B66" s="7">
        <f>B17</f>
        <v>3145</v>
      </c>
      <c r="C66" s="10">
        <f>C41/$H$41</f>
        <v>0.64654110189500646</v>
      </c>
      <c r="D66" s="10">
        <f>D41/$H$41</f>
        <v>0.14392081032679443</v>
      </c>
      <c r="E66" s="10">
        <f>E41/$H$41</f>
        <v>0.1115530127057279</v>
      </c>
      <c r="F66" s="10">
        <f>F41/$H$41</f>
        <v>7.8463142648799972E-2</v>
      </c>
      <c r="G66" s="10">
        <f>G41/$H$41</f>
        <v>1.9521932423671302E-2</v>
      </c>
      <c r="H66" s="10">
        <f t="shared" si="12"/>
        <v>1</v>
      </c>
      <c r="I66" s="82"/>
    </row>
    <row r="67" spans="1:9" x14ac:dyDescent="0.2">
      <c r="A67" s="1" t="s">
        <v>109</v>
      </c>
      <c r="B67" s="6">
        <f>SUM(B62:B66)</f>
        <v>42394</v>
      </c>
      <c r="C67" s="9">
        <f>C42/$H$42</f>
        <v>0.68466811014969453</v>
      </c>
      <c r="D67" s="9">
        <f>D42/$H$42</f>
        <v>0.12007596482101773</v>
      </c>
      <c r="E67" s="9">
        <f>E42/$H$42</f>
        <v>9.0031670673442407E-2</v>
      </c>
      <c r="F67" s="9">
        <f>F42/$H$42</f>
        <v>6.1670599063090553E-2</v>
      </c>
      <c r="G67" s="9">
        <f>G42/$H$42</f>
        <v>4.3553655292754685E-2</v>
      </c>
      <c r="H67" s="9">
        <f t="shared" si="12"/>
        <v>0.99999999999999989</v>
      </c>
      <c r="I67" s="82"/>
    </row>
    <row r="68" spans="1:9" x14ac:dyDescent="0.2">
      <c r="A68" s="1"/>
      <c r="B68" s="6"/>
      <c r="C68" s="9"/>
      <c r="D68" s="9"/>
      <c r="E68" s="9"/>
      <c r="F68" s="9"/>
      <c r="G68" s="9"/>
      <c r="H68" s="9"/>
      <c r="I68" s="82"/>
    </row>
    <row r="69" spans="1:9" x14ac:dyDescent="0.2">
      <c r="A69" s="1" t="s">
        <v>86</v>
      </c>
      <c r="B69" s="6"/>
      <c r="C69" s="9"/>
      <c r="D69" s="9"/>
      <c r="E69" s="9"/>
      <c r="F69" s="9"/>
      <c r="G69" s="9"/>
      <c r="H69" s="9"/>
      <c r="I69" s="82"/>
    </row>
    <row r="70" spans="1:9" x14ac:dyDescent="0.2">
      <c r="A70" s="14" t="s">
        <v>87</v>
      </c>
      <c r="B70" s="7"/>
      <c r="C70" s="10"/>
      <c r="D70" s="10"/>
      <c r="E70" s="10"/>
      <c r="F70" s="10"/>
      <c r="G70" s="10"/>
      <c r="H70" s="10"/>
      <c r="I70" s="82"/>
    </row>
    <row r="71" spans="1:9" x14ac:dyDescent="0.2">
      <c r="A71" s="1" t="s">
        <v>110</v>
      </c>
      <c r="B71" s="6"/>
      <c r="C71" s="9"/>
      <c r="D71" s="9"/>
      <c r="E71" s="9"/>
      <c r="F71" s="9"/>
      <c r="G71" s="9"/>
      <c r="H71" s="9"/>
      <c r="I71" s="82"/>
    </row>
    <row r="72" spans="1:9" x14ac:dyDescent="0.2">
      <c r="A72" s="1"/>
      <c r="B72" s="6"/>
      <c r="C72" s="9"/>
      <c r="D72" s="9"/>
      <c r="E72" s="9"/>
      <c r="F72" s="9"/>
      <c r="G72" s="9"/>
      <c r="H72" s="9"/>
      <c r="I72" s="82"/>
    </row>
    <row r="73" spans="1:9" ht="13.5" thickBot="1" x14ac:dyDescent="0.25">
      <c r="A73" s="15" t="s">
        <v>111</v>
      </c>
      <c r="B73" s="8">
        <f>B60+B67+B71</f>
        <v>147970</v>
      </c>
      <c r="C73" s="11">
        <f t="shared" ref="C73:H73" si="14">C48/$H$48</f>
        <v>0.72292677094128721</v>
      </c>
      <c r="D73" s="11">
        <f t="shared" si="14"/>
        <v>0.10615594404379752</v>
      </c>
      <c r="E73" s="11">
        <f t="shared" si="14"/>
        <v>8.0896849185895986E-2</v>
      </c>
      <c r="F73" s="11">
        <f t="shared" si="14"/>
        <v>5.5330822311586786E-2</v>
      </c>
      <c r="G73" s="11">
        <f t="shared" si="14"/>
        <v>3.4689613517432605E-2</v>
      </c>
      <c r="H73" s="11">
        <f t="shared" si="14"/>
        <v>1</v>
      </c>
      <c r="I73" s="82"/>
    </row>
    <row r="74" spans="1:9" ht="13.5" thickTop="1" x14ac:dyDescent="0.2">
      <c r="A74" s="1"/>
      <c r="B74" s="6"/>
      <c r="C74" s="6"/>
      <c r="D74" s="6"/>
      <c r="E74" s="6"/>
      <c r="F74" s="6"/>
      <c r="G74" s="6"/>
      <c r="H74" s="9"/>
      <c r="I74" s="82"/>
    </row>
    <row r="75" spans="1:9" x14ac:dyDescent="0.2">
      <c r="I75" s="82"/>
    </row>
    <row r="76" spans="1:9" x14ac:dyDescent="0.2">
      <c r="I76" s="82"/>
    </row>
    <row r="77" spans="1:9" x14ac:dyDescent="0.2">
      <c r="I77" s="82"/>
    </row>
    <row r="78" spans="1:9" x14ac:dyDescent="0.2">
      <c r="I78" s="82"/>
    </row>
    <row r="79" spans="1:9" x14ac:dyDescent="0.2">
      <c r="I79" s="82"/>
    </row>
    <row r="80" spans="1:9" x14ac:dyDescent="0.2">
      <c r="I80" s="82"/>
    </row>
    <row r="81" spans="9:9" x14ac:dyDescent="0.2">
      <c r="I81" s="82"/>
    </row>
    <row r="82" spans="9:9" x14ac:dyDescent="0.2">
      <c r="I82" s="82"/>
    </row>
    <row r="83" spans="9:9" x14ac:dyDescent="0.2">
      <c r="I83" s="82"/>
    </row>
    <row r="84" spans="9:9" x14ac:dyDescent="0.2">
      <c r="I84" s="82"/>
    </row>
  </sheetData>
  <phoneticPr fontId="7"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1233</v>
      </c>
      <c r="D2" s="22"/>
      <c r="E2" s="22"/>
      <c r="F2" s="22"/>
      <c r="G2" s="22"/>
      <c r="H2" s="22"/>
      <c r="I2" s="22"/>
    </row>
    <row r="3" spans="1:26" ht="33.75" x14ac:dyDescent="0.2">
      <c r="A3" s="20" t="s">
        <v>245</v>
      </c>
      <c r="B3" s="21" t="s">
        <v>1241</v>
      </c>
      <c r="C3" s="202" t="s">
        <v>1234</v>
      </c>
      <c r="D3" s="202" t="s">
        <v>1235</v>
      </c>
      <c r="E3" s="202" t="s">
        <v>1236</v>
      </c>
      <c r="F3" s="202" t="s">
        <v>1237</v>
      </c>
      <c r="G3" s="202" t="s">
        <v>1238</v>
      </c>
      <c r="H3" s="202" t="s">
        <v>1239</v>
      </c>
      <c r="I3" s="202" t="s">
        <v>1240</v>
      </c>
      <c r="J3" s="202"/>
      <c r="L3" s="287"/>
      <c r="M3" s="278"/>
      <c r="N3" s="290"/>
      <c r="O3" s="290"/>
      <c r="P3" s="290"/>
      <c r="Q3" s="290"/>
      <c r="R3" s="290"/>
      <c r="S3" s="290"/>
      <c r="T3" s="290"/>
    </row>
    <row r="4" spans="1:26" ht="15" x14ac:dyDescent="0.25">
      <c r="A4" s="33" t="s">
        <v>102</v>
      </c>
      <c r="B4" s="214">
        <v>39709</v>
      </c>
      <c r="C4" s="214">
        <v>100092143.22999999</v>
      </c>
      <c r="D4" s="214">
        <v>17924229.080000002</v>
      </c>
      <c r="E4" s="214">
        <v>37336144.789999999</v>
      </c>
      <c r="F4" s="214">
        <v>171113552.29999998</v>
      </c>
      <c r="G4" s="214">
        <v>42739911.240000002</v>
      </c>
      <c r="H4" s="229">
        <f t="shared" ref="H4:H9" si="0">SUM(C4:G4)</f>
        <v>369205980.63999999</v>
      </c>
      <c r="I4" s="321">
        <f t="shared" ref="I4:I10" si="1">H4/B4</f>
        <v>9297.7909451257892</v>
      </c>
      <c r="J4" s="221"/>
      <c r="L4" s="283"/>
      <c r="M4" s="289"/>
      <c r="N4" s="289"/>
      <c r="O4" s="289"/>
      <c r="P4" s="289"/>
      <c r="Q4" s="289"/>
      <c r="R4" s="289"/>
      <c r="S4" s="289"/>
      <c r="T4" s="289"/>
      <c r="U4" s="268"/>
      <c r="V4" s="268"/>
      <c r="W4" s="268"/>
      <c r="X4" s="268"/>
      <c r="Y4" s="268"/>
      <c r="Z4" s="268"/>
    </row>
    <row r="5" spans="1:26" ht="15" x14ac:dyDescent="0.25">
      <c r="A5" s="33" t="s">
        <v>76</v>
      </c>
      <c r="B5" s="214">
        <v>20553</v>
      </c>
      <c r="C5" s="214">
        <v>48560595.919999994</v>
      </c>
      <c r="D5" s="214">
        <v>18837437.960000001</v>
      </c>
      <c r="E5" s="214">
        <v>18497868.710000001</v>
      </c>
      <c r="F5" s="214">
        <v>95413388.520000011</v>
      </c>
      <c r="G5" s="214">
        <v>34421498.870000005</v>
      </c>
      <c r="H5" s="229">
        <f t="shared" si="0"/>
        <v>215730789.98000002</v>
      </c>
      <c r="I5" s="321">
        <f t="shared" si="1"/>
        <v>10496.316351870773</v>
      </c>
      <c r="J5" s="221"/>
      <c r="L5" s="283"/>
      <c r="M5" s="289"/>
      <c r="N5" s="289"/>
      <c r="O5" s="289"/>
      <c r="P5" s="289"/>
      <c r="Q5" s="289"/>
      <c r="R5" s="289"/>
      <c r="S5" s="289"/>
      <c r="T5" s="289"/>
      <c r="U5" s="268"/>
      <c r="V5" s="268"/>
      <c r="W5" s="268"/>
      <c r="X5" s="268"/>
      <c r="Y5" s="268"/>
      <c r="Z5" s="268"/>
    </row>
    <row r="6" spans="1:26" ht="15" x14ac:dyDescent="0.25">
      <c r="A6" s="33" t="s">
        <v>77</v>
      </c>
      <c r="B6" s="214">
        <v>12931</v>
      </c>
      <c r="C6" s="214">
        <v>28496464.149999995</v>
      </c>
      <c r="D6" s="214">
        <v>11637023.709999999</v>
      </c>
      <c r="E6" s="214">
        <v>12306465.819999998</v>
      </c>
      <c r="F6" s="214">
        <v>61198801.590000018</v>
      </c>
      <c r="G6" s="214">
        <v>27235621.240000002</v>
      </c>
      <c r="H6" s="229">
        <f t="shared" si="0"/>
        <v>140874376.51000002</v>
      </c>
      <c r="I6" s="321">
        <f t="shared" si="1"/>
        <v>10894.314168277784</v>
      </c>
      <c r="J6" s="221"/>
      <c r="L6" s="283"/>
      <c r="M6" s="289"/>
      <c r="N6" s="289"/>
      <c r="O6" s="289"/>
      <c r="P6" s="289"/>
      <c r="Q6" s="289"/>
      <c r="R6" s="289"/>
      <c r="S6" s="289"/>
      <c r="T6" s="289"/>
      <c r="U6" s="268"/>
      <c r="V6" s="268"/>
      <c r="W6" s="268"/>
      <c r="X6" s="268"/>
      <c r="Y6" s="268"/>
      <c r="Z6" s="268"/>
    </row>
    <row r="7" spans="1:26" ht="15" x14ac:dyDescent="0.25">
      <c r="A7" s="33" t="s">
        <v>78</v>
      </c>
      <c r="B7" s="214">
        <v>12657</v>
      </c>
      <c r="C7" s="214">
        <v>31752040.960000005</v>
      </c>
      <c r="D7" s="214">
        <v>13511674.799999999</v>
      </c>
      <c r="E7" s="214">
        <v>11846029.209999999</v>
      </c>
      <c r="F7" s="214">
        <v>59025001.24000001</v>
      </c>
      <c r="G7" s="214">
        <v>19376791.120000008</v>
      </c>
      <c r="H7" s="229">
        <f t="shared" si="0"/>
        <v>135511537.33000001</v>
      </c>
      <c r="I7" s="321">
        <f t="shared" si="1"/>
        <v>10706.449974717549</v>
      </c>
      <c r="J7" s="221"/>
      <c r="L7" s="283"/>
      <c r="M7" s="289"/>
      <c r="N7" s="289"/>
      <c r="O7" s="289"/>
      <c r="P7" s="289"/>
      <c r="Q7" s="289"/>
      <c r="R7" s="289"/>
      <c r="S7" s="289"/>
      <c r="T7" s="289"/>
      <c r="U7" s="268"/>
      <c r="V7" s="268"/>
      <c r="W7" s="268"/>
      <c r="X7" s="268"/>
      <c r="Y7" s="268"/>
      <c r="Z7" s="268"/>
    </row>
    <row r="8" spans="1:26" ht="15" x14ac:dyDescent="0.25">
      <c r="A8" s="33" t="s">
        <v>79</v>
      </c>
      <c r="B8" s="214">
        <v>5090</v>
      </c>
      <c r="C8" s="214">
        <v>15662443.780000001</v>
      </c>
      <c r="D8" s="214">
        <v>8963104.1400000025</v>
      </c>
      <c r="E8" s="214">
        <v>5798481.3900000006</v>
      </c>
      <c r="F8" s="214">
        <v>24423239.699999988</v>
      </c>
      <c r="G8" s="214">
        <v>10397847.780000001</v>
      </c>
      <c r="H8" s="229">
        <f t="shared" si="0"/>
        <v>65245116.789999992</v>
      </c>
      <c r="I8" s="321">
        <f t="shared" si="1"/>
        <v>12818.294064833004</v>
      </c>
      <c r="J8" s="221"/>
      <c r="L8" s="283"/>
      <c r="M8" s="289"/>
      <c r="N8" s="289"/>
      <c r="O8" s="289"/>
      <c r="P8" s="289"/>
      <c r="Q8" s="289"/>
      <c r="R8" s="289"/>
      <c r="S8" s="289"/>
      <c r="T8" s="289"/>
      <c r="U8" s="268"/>
      <c r="V8" s="268"/>
      <c r="W8" s="268"/>
      <c r="X8" s="268"/>
      <c r="Y8" s="268"/>
      <c r="Z8" s="268"/>
    </row>
    <row r="9" spans="1:26" ht="15" x14ac:dyDescent="0.25">
      <c r="A9" s="33" t="s">
        <v>80</v>
      </c>
      <c r="B9" s="220">
        <v>1747</v>
      </c>
      <c r="C9" s="220">
        <v>6303309.2599999979</v>
      </c>
      <c r="D9" s="220">
        <v>4031728.3299999991</v>
      </c>
      <c r="E9" s="220">
        <v>2137235.3500000006</v>
      </c>
      <c r="F9" s="220">
        <v>8462970.0399999991</v>
      </c>
      <c r="G9" s="220">
        <v>2851992.56</v>
      </c>
      <c r="H9" s="238">
        <f t="shared" si="0"/>
        <v>23787235.539999995</v>
      </c>
      <c r="I9" s="322">
        <f t="shared" si="1"/>
        <v>13616.047819118487</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92687</v>
      </c>
      <c r="C10" s="229">
        <f t="shared" si="2"/>
        <v>230866997.29999998</v>
      </c>
      <c r="D10" s="229">
        <f t="shared" si="2"/>
        <v>74905198.020000011</v>
      </c>
      <c r="E10" s="229">
        <f t="shared" si="2"/>
        <v>87922225.269999981</v>
      </c>
      <c r="F10" s="229">
        <f t="shared" si="2"/>
        <v>419636953.39000005</v>
      </c>
      <c r="G10" s="229">
        <f t="shared" si="2"/>
        <v>137023662.81000003</v>
      </c>
      <c r="H10" s="229">
        <f t="shared" si="2"/>
        <v>950355036.78999996</v>
      </c>
      <c r="I10" s="321">
        <f t="shared" si="1"/>
        <v>10253.380051031967</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21393</v>
      </c>
      <c r="C13" s="214">
        <v>70700691.930000007</v>
      </c>
      <c r="D13" s="214">
        <v>17596780.350000001</v>
      </c>
      <c r="E13" s="214">
        <v>23162185.560000002</v>
      </c>
      <c r="F13" s="214">
        <v>101727290.96000002</v>
      </c>
      <c r="G13" s="214">
        <v>12438392.800000001</v>
      </c>
      <c r="H13" s="229">
        <f>SUM(C13:G13)</f>
        <v>225625341.60000002</v>
      </c>
      <c r="I13" s="321">
        <f t="shared" ref="I13:I18" si="3">H13/B13</f>
        <v>10546.690113588558</v>
      </c>
      <c r="J13" s="221"/>
      <c r="L13" s="283"/>
      <c r="M13" s="289"/>
      <c r="N13" s="289"/>
      <c r="O13" s="289"/>
      <c r="P13" s="289"/>
      <c r="Q13" s="289"/>
      <c r="R13" s="289"/>
      <c r="S13" s="289"/>
      <c r="T13" s="289"/>
      <c r="U13" s="268"/>
      <c r="V13" s="268"/>
      <c r="W13" s="268"/>
      <c r="X13" s="268"/>
      <c r="Y13" s="268"/>
      <c r="Z13" s="268"/>
    </row>
    <row r="14" spans="1:26" ht="15" x14ac:dyDescent="0.25">
      <c r="A14" s="33" t="s">
        <v>82</v>
      </c>
      <c r="B14" s="214">
        <v>5870</v>
      </c>
      <c r="C14" s="214">
        <v>21116381.640000001</v>
      </c>
      <c r="D14" s="214">
        <v>5455180.5200000005</v>
      </c>
      <c r="E14" s="214">
        <v>6296282.0800000001</v>
      </c>
      <c r="F14" s="214">
        <v>28762164.669999998</v>
      </c>
      <c r="G14" s="214">
        <v>6293580.4299999997</v>
      </c>
      <c r="H14" s="229">
        <f>SUM(C14:G14)</f>
        <v>67923589.340000004</v>
      </c>
      <c r="I14" s="321">
        <f t="shared" si="3"/>
        <v>11571.309938671211</v>
      </c>
      <c r="J14" s="221"/>
      <c r="L14" s="283"/>
      <c r="M14" s="289"/>
      <c r="N14" s="289"/>
      <c r="O14" s="289"/>
      <c r="P14" s="289"/>
      <c r="Q14" s="289"/>
      <c r="R14" s="289"/>
      <c r="S14" s="289"/>
      <c r="T14" s="289"/>
      <c r="U14" s="268"/>
      <c r="V14" s="268"/>
      <c r="W14" s="268"/>
      <c r="X14" s="268"/>
      <c r="Y14" s="268"/>
      <c r="Z14" s="268"/>
    </row>
    <row r="15" spans="1:26" ht="15" x14ac:dyDescent="0.25">
      <c r="A15" s="33" t="s">
        <v>83</v>
      </c>
      <c r="B15" s="214">
        <v>4769</v>
      </c>
      <c r="C15" s="214">
        <v>14964558.41</v>
      </c>
      <c r="D15" s="214">
        <v>11386451.330000002</v>
      </c>
      <c r="E15" s="214">
        <v>5879703.7800000003</v>
      </c>
      <c r="F15" s="214">
        <v>25712561.689999998</v>
      </c>
      <c r="G15" s="214">
        <v>4196977.2299999995</v>
      </c>
      <c r="H15" s="229">
        <f>SUM(C15:G15)</f>
        <v>62140252.439999998</v>
      </c>
      <c r="I15" s="321">
        <f t="shared" si="3"/>
        <v>13030.038255399455</v>
      </c>
      <c r="J15" s="221"/>
      <c r="L15" s="283"/>
      <c r="M15" s="289"/>
      <c r="N15" s="289"/>
      <c r="O15" s="289"/>
      <c r="P15" s="289"/>
      <c r="Q15" s="289"/>
      <c r="R15" s="289"/>
      <c r="S15" s="289"/>
      <c r="T15" s="289"/>
      <c r="U15" s="268"/>
      <c r="V15" s="268"/>
      <c r="W15" s="268"/>
      <c r="X15" s="268"/>
      <c r="Y15" s="268"/>
      <c r="Z15" s="268"/>
    </row>
    <row r="16" spans="1:26" ht="15" x14ac:dyDescent="0.25">
      <c r="A16" s="33" t="s">
        <v>84</v>
      </c>
      <c r="B16" s="214">
        <v>5040</v>
      </c>
      <c r="C16" s="214">
        <v>20275222.400000006</v>
      </c>
      <c r="D16" s="214">
        <v>9246452.7800000012</v>
      </c>
      <c r="E16" s="214">
        <v>7564667.2100000018</v>
      </c>
      <c r="F16" s="214">
        <v>32147036.069999997</v>
      </c>
      <c r="G16" s="214">
        <v>8191735.2500000009</v>
      </c>
      <c r="H16" s="229">
        <f>SUM(C16:G16)</f>
        <v>77425113.710000008</v>
      </c>
      <c r="I16" s="321">
        <f t="shared" si="3"/>
        <v>15362.125736111113</v>
      </c>
      <c r="J16" s="221"/>
      <c r="L16" s="283"/>
      <c r="M16" s="289"/>
      <c r="N16" s="289"/>
      <c r="O16" s="289"/>
      <c r="P16" s="289"/>
      <c r="Q16" s="289"/>
      <c r="R16" s="289"/>
      <c r="S16" s="289"/>
      <c r="T16" s="289"/>
      <c r="U16" s="268"/>
      <c r="V16" s="268"/>
      <c r="W16" s="268"/>
      <c r="X16" s="268"/>
      <c r="Y16" s="268"/>
      <c r="Z16" s="268"/>
    </row>
    <row r="17" spans="1:26" ht="15" x14ac:dyDescent="0.25">
      <c r="A17" s="33" t="s">
        <v>85</v>
      </c>
      <c r="B17" s="220">
        <v>1381</v>
      </c>
      <c r="C17" s="220">
        <v>9102458.2300000023</v>
      </c>
      <c r="D17" s="220">
        <v>6036970.0699999994</v>
      </c>
      <c r="E17" s="220">
        <v>2979393.959999999</v>
      </c>
      <c r="F17" s="220">
        <v>12504902.020000001</v>
      </c>
      <c r="G17" s="220">
        <v>2206852.2999999998</v>
      </c>
      <c r="H17" s="238">
        <f>SUM(C17:G17)</f>
        <v>32830576.580000002</v>
      </c>
      <c r="I17" s="322">
        <f t="shared" si="3"/>
        <v>23773.046039102101</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38453</v>
      </c>
      <c r="C18" s="229">
        <f t="shared" si="4"/>
        <v>136159312.61000001</v>
      </c>
      <c r="D18" s="229">
        <f t="shared" si="4"/>
        <v>49721835.050000004</v>
      </c>
      <c r="E18" s="229">
        <f t="shared" si="4"/>
        <v>45882232.590000004</v>
      </c>
      <c r="F18" s="229">
        <f t="shared" si="4"/>
        <v>200853955.41000003</v>
      </c>
      <c r="G18" s="229">
        <f t="shared" si="4"/>
        <v>33327538.010000002</v>
      </c>
      <c r="H18" s="229">
        <f t="shared" si="4"/>
        <v>465944873.67000002</v>
      </c>
      <c r="I18" s="321">
        <f t="shared" si="3"/>
        <v>12117.256746417705</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10095</v>
      </c>
      <c r="C21" s="214">
        <v>23244545.660000004</v>
      </c>
      <c r="D21" s="214">
        <v>12718662.530000001</v>
      </c>
      <c r="E21" s="214">
        <v>10344380.610000001</v>
      </c>
      <c r="F21" s="214">
        <v>49049272.380000003</v>
      </c>
      <c r="G21" s="214">
        <v>9274853.9700000007</v>
      </c>
      <c r="H21" s="221">
        <f>SUM(C21:G21)</f>
        <v>104631715.15000001</v>
      </c>
      <c r="I21" s="321">
        <f>H21/B21</f>
        <v>10364.706800396236</v>
      </c>
      <c r="J21" s="221"/>
      <c r="L21" s="283"/>
      <c r="M21" s="289"/>
      <c r="N21" s="289"/>
      <c r="O21" s="289"/>
      <c r="P21" s="289"/>
      <c r="Q21" s="289"/>
      <c r="R21" s="289"/>
      <c r="S21" s="289"/>
      <c r="T21" s="289"/>
      <c r="U21" s="268"/>
      <c r="V21" s="268"/>
      <c r="W21" s="268"/>
      <c r="X21" s="268"/>
      <c r="Y21" s="268"/>
      <c r="Z21" s="268"/>
    </row>
    <row r="22" spans="1:26" ht="15" x14ac:dyDescent="0.25">
      <c r="A22" s="33" t="s">
        <v>87</v>
      </c>
      <c r="B22" s="220">
        <v>7332</v>
      </c>
      <c r="C22" s="220">
        <v>31470456.220000006</v>
      </c>
      <c r="D22" s="220">
        <v>19856373.780000001</v>
      </c>
      <c r="E22" s="220">
        <v>10488253.6</v>
      </c>
      <c r="F22" s="220">
        <v>42105826.860000007</v>
      </c>
      <c r="G22" s="220">
        <v>9045366.4799999986</v>
      </c>
      <c r="H22" s="220">
        <f>SUM(C22:G22)</f>
        <v>112966276.94000001</v>
      </c>
      <c r="I22" s="322">
        <f>H22/B22</f>
        <v>15407.293636115659</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17427</v>
      </c>
      <c r="C23" s="221">
        <f t="shared" si="5"/>
        <v>54715001.88000001</v>
      </c>
      <c r="D23" s="221">
        <f t="shared" si="5"/>
        <v>32575036.310000002</v>
      </c>
      <c r="E23" s="221">
        <f t="shared" si="5"/>
        <v>20832634.210000001</v>
      </c>
      <c r="F23" s="221">
        <f t="shared" si="5"/>
        <v>91155099.24000001</v>
      </c>
      <c r="G23" s="221">
        <f t="shared" si="5"/>
        <v>18320220.449999999</v>
      </c>
      <c r="H23" s="221">
        <f t="shared" si="5"/>
        <v>217597992.09000003</v>
      </c>
      <c r="I23" s="323">
        <f>H23/B23</f>
        <v>12486.256503701155</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148567</v>
      </c>
      <c r="C25" s="192">
        <f t="shared" ref="C25:H25" si="6">C10+C18+C23</f>
        <v>421741311.78999996</v>
      </c>
      <c r="D25" s="192">
        <f t="shared" si="6"/>
        <v>157202069.38000003</v>
      </c>
      <c r="E25" s="192">
        <f t="shared" si="6"/>
        <v>154637092.06999999</v>
      </c>
      <c r="F25" s="192">
        <f t="shared" si="6"/>
        <v>711646008.04000008</v>
      </c>
      <c r="G25" s="192">
        <f t="shared" si="6"/>
        <v>188671421.27000001</v>
      </c>
      <c r="H25" s="192">
        <f t="shared" si="6"/>
        <v>1633897902.5500002</v>
      </c>
      <c r="I25" s="222">
        <f>H25/B25</f>
        <v>10997.717545282601</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FY14</v>
      </c>
      <c r="C29" s="223"/>
      <c r="D29" s="223"/>
      <c r="E29" s="223"/>
      <c r="F29" s="223"/>
      <c r="G29" s="223"/>
      <c r="H29" s="223"/>
      <c r="I29" s="182"/>
    </row>
    <row r="30" spans="1:26" ht="22.5" x14ac:dyDescent="0.2">
      <c r="A30" s="20" t="s">
        <v>245</v>
      </c>
      <c r="B30" s="202" t="str">
        <f>B3</f>
        <v>ANB14</v>
      </c>
      <c r="C30" s="202" t="str">
        <f t="shared" ref="C30:G30" si="7">C3</f>
        <v>14/Pupil Property Tax</v>
      </c>
      <c r="D30" s="202" t="str">
        <f t="shared" si="7"/>
        <v>14/Pupil Non Levy Revenue</v>
      </c>
      <c r="E30" s="202" t="str">
        <f t="shared" si="7"/>
        <v>14/Pupil County Revenue</v>
      </c>
      <c r="F30" s="202" t="str">
        <f t="shared" si="7"/>
        <v>14/Pupil State Revenue</v>
      </c>
      <c r="G30" s="202" t="str">
        <f t="shared" si="7"/>
        <v>14/Pupil Federal Revenue</v>
      </c>
      <c r="H30" s="202" t="str">
        <f>I3</f>
        <v>14/Rev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39709</v>
      </c>
      <c r="C32" s="182">
        <f t="shared" ref="C32:H38" si="9">C4/$B32</f>
        <v>2520.6412458132913</v>
      </c>
      <c r="D32" s="182">
        <f t="shared" si="9"/>
        <v>451.38958623989527</v>
      </c>
      <c r="E32" s="182">
        <f t="shared" si="9"/>
        <v>940.24389407942783</v>
      </c>
      <c r="F32" s="182">
        <f t="shared" si="9"/>
        <v>4309.188151300712</v>
      </c>
      <c r="G32" s="182">
        <f t="shared" si="9"/>
        <v>1076.3280676924628</v>
      </c>
      <c r="H32" s="182">
        <f t="shared" si="9"/>
        <v>9297.7909451257892</v>
      </c>
      <c r="I32" s="182"/>
      <c r="J32" s="182"/>
    </row>
    <row r="33" spans="1:10" x14ac:dyDescent="0.2">
      <c r="A33" s="33" t="s">
        <v>76</v>
      </c>
      <c r="B33" s="221">
        <f t="shared" si="8"/>
        <v>20553</v>
      </c>
      <c r="C33" s="182">
        <f t="shared" si="9"/>
        <v>2362.7011103001992</v>
      </c>
      <c r="D33" s="182">
        <f t="shared" si="9"/>
        <v>916.5298477107965</v>
      </c>
      <c r="E33" s="182">
        <f t="shared" si="9"/>
        <v>900.008208534034</v>
      </c>
      <c r="F33" s="182">
        <f t="shared" si="9"/>
        <v>4642.3095664866451</v>
      </c>
      <c r="G33" s="182">
        <f t="shared" si="9"/>
        <v>1674.7676188390992</v>
      </c>
      <c r="H33" s="182">
        <f t="shared" si="9"/>
        <v>10496.316351870773</v>
      </c>
      <c r="I33" s="182"/>
      <c r="J33" s="182"/>
    </row>
    <row r="34" spans="1:10" x14ac:dyDescent="0.2">
      <c r="A34" s="33" t="s">
        <v>77</v>
      </c>
      <c r="B34" s="221">
        <f t="shared" si="8"/>
        <v>12931</v>
      </c>
      <c r="C34" s="182">
        <f t="shared" si="9"/>
        <v>2203.7324375531666</v>
      </c>
      <c r="D34" s="182">
        <f t="shared" si="9"/>
        <v>899.93223339262227</v>
      </c>
      <c r="E34" s="182">
        <f t="shared" si="9"/>
        <v>951.70256128683002</v>
      </c>
      <c r="F34" s="182">
        <f t="shared" si="9"/>
        <v>4732.7199435465172</v>
      </c>
      <c r="G34" s="182">
        <f t="shared" si="9"/>
        <v>2106.2269924986467</v>
      </c>
      <c r="H34" s="182">
        <f t="shared" si="9"/>
        <v>10894.314168277784</v>
      </c>
      <c r="I34" s="182"/>
      <c r="J34" s="182"/>
    </row>
    <row r="35" spans="1:10" x14ac:dyDescent="0.2">
      <c r="A35" s="33" t="s">
        <v>78</v>
      </c>
      <c r="B35" s="221">
        <f t="shared" si="8"/>
        <v>12657</v>
      </c>
      <c r="C35" s="182">
        <f t="shared" si="9"/>
        <v>2508.6545753338078</v>
      </c>
      <c r="D35" s="182">
        <f t="shared" si="9"/>
        <v>1067.525859208343</v>
      </c>
      <c r="E35" s="182">
        <f t="shared" si="9"/>
        <v>935.92709251797419</v>
      </c>
      <c r="F35" s="182">
        <f t="shared" si="9"/>
        <v>4663.4274504226914</v>
      </c>
      <c r="G35" s="182">
        <f t="shared" si="9"/>
        <v>1530.9149972347325</v>
      </c>
      <c r="H35" s="182">
        <f t="shared" si="9"/>
        <v>10706.449974717549</v>
      </c>
      <c r="I35" s="182"/>
      <c r="J35" s="182"/>
    </row>
    <row r="36" spans="1:10" x14ac:dyDescent="0.2">
      <c r="A36" s="33" t="s">
        <v>79</v>
      </c>
      <c r="B36" s="221">
        <f t="shared" si="8"/>
        <v>5090</v>
      </c>
      <c r="C36" s="182">
        <f t="shared" si="9"/>
        <v>3077.1009390962672</v>
      </c>
      <c r="D36" s="182">
        <f t="shared" si="9"/>
        <v>1760.9241925343815</v>
      </c>
      <c r="E36" s="182">
        <f t="shared" si="9"/>
        <v>1139.1908428290767</v>
      </c>
      <c r="F36" s="182">
        <f t="shared" si="9"/>
        <v>4798.2789194498991</v>
      </c>
      <c r="G36" s="182">
        <f t="shared" si="9"/>
        <v>2042.7991709233795</v>
      </c>
      <c r="H36" s="182">
        <f t="shared" si="9"/>
        <v>12818.294064833004</v>
      </c>
      <c r="I36" s="182"/>
      <c r="J36" s="182"/>
    </row>
    <row r="37" spans="1:10" x14ac:dyDescent="0.2">
      <c r="A37" s="33" t="s">
        <v>80</v>
      </c>
      <c r="B37" s="220">
        <f t="shared" si="8"/>
        <v>1747</v>
      </c>
      <c r="C37" s="183">
        <f t="shared" si="9"/>
        <v>3608.0762793360036</v>
      </c>
      <c r="D37" s="183">
        <f t="shared" si="9"/>
        <v>2307.8009902690324</v>
      </c>
      <c r="E37" s="183">
        <f t="shared" si="9"/>
        <v>1223.3745563823702</v>
      </c>
      <c r="F37" s="183">
        <f t="shared" si="9"/>
        <v>4844.2873726388088</v>
      </c>
      <c r="G37" s="183">
        <f t="shared" si="9"/>
        <v>1632.5086204922725</v>
      </c>
      <c r="H37" s="183">
        <f t="shared" si="9"/>
        <v>13616.047819118487</v>
      </c>
      <c r="I37" s="182"/>
      <c r="J37" s="182"/>
    </row>
    <row r="38" spans="1:10" x14ac:dyDescent="0.2">
      <c r="A38" s="33" t="s">
        <v>171</v>
      </c>
      <c r="B38" s="221">
        <f>SUM(B32:B37)</f>
        <v>92687</v>
      </c>
      <c r="C38" s="182">
        <f t="shared" si="9"/>
        <v>2490.8239267642712</v>
      </c>
      <c r="D38" s="182">
        <f t="shared" si="9"/>
        <v>808.15214668723786</v>
      </c>
      <c r="E38" s="182">
        <f t="shared" si="9"/>
        <v>948.59284764853737</v>
      </c>
      <c r="F38" s="182">
        <f t="shared" si="9"/>
        <v>4527.4628954438058</v>
      </c>
      <c r="G38" s="182">
        <f t="shared" si="9"/>
        <v>1478.3482344881163</v>
      </c>
      <c r="H38" s="182">
        <f t="shared" si="9"/>
        <v>10253.380051031967</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21393</v>
      </c>
      <c r="C41" s="182">
        <f t="shared" ref="C41:H46" si="10">C13/$B41</f>
        <v>3304.8516771841259</v>
      </c>
      <c r="D41" s="182">
        <f t="shared" si="10"/>
        <v>822.54851353246397</v>
      </c>
      <c r="E41" s="182">
        <f t="shared" si="10"/>
        <v>1082.6992735941665</v>
      </c>
      <c r="F41" s="182">
        <f t="shared" si="10"/>
        <v>4755.1671556116498</v>
      </c>
      <c r="G41" s="182">
        <f t="shared" si="10"/>
        <v>581.42349366615247</v>
      </c>
      <c r="H41" s="182">
        <f t="shared" si="10"/>
        <v>10546.690113588558</v>
      </c>
      <c r="I41" s="182"/>
      <c r="J41" s="182"/>
    </row>
    <row r="42" spans="1:10" x14ac:dyDescent="0.2">
      <c r="A42" s="33" t="s">
        <v>82</v>
      </c>
      <c r="B42" s="221">
        <f>B14</f>
        <v>5870</v>
      </c>
      <c r="C42" s="182">
        <f t="shared" si="10"/>
        <v>3597.339291311755</v>
      </c>
      <c r="D42" s="182">
        <f t="shared" si="10"/>
        <v>929.33228620102227</v>
      </c>
      <c r="E42" s="182">
        <f t="shared" si="10"/>
        <v>1072.6204565587734</v>
      </c>
      <c r="F42" s="182">
        <f t="shared" si="10"/>
        <v>4899.8576950596253</v>
      </c>
      <c r="G42" s="182">
        <f t="shared" si="10"/>
        <v>1072.160209540034</v>
      </c>
      <c r="H42" s="182">
        <f t="shared" si="10"/>
        <v>11571.309938671211</v>
      </c>
      <c r="I42" s="182"/>
      <c r="J42" s="182"/>
    </row>
    <row r="43" spans="1:10" x14ac:dyDescent="0.2">
      <c r="A43" s="33" t="s">
        <v>83</v>
      </c>
      <c r="B43" s="221">
        <f>B15</f>
        <v>4769</v>
      </c>
      <c r="C43" s="182">
        <f t="shared" si="10"/>
        <v>3137.8818221849447</v>
      </c>
      <c r="D43" s="182">
        <f t="shared" si="10"/>
        <v>2387.597259383519</v>
      </c>
      <c r="E43" s="182">
        <f t="shared" si="10"/>
        <v>1232.9007716502413</v>
      </c>
      <c r="F43" s="182">
        <f t="shared" si="10"/>
        <v>5391.6044642482693</v>
      </c>
      <c r="G43" s="182">
        <f t="shared" si="10"/>
        <v>880.05393793248049</v>
      </c>
      <c r="H43" s="182">
        <f t="shared" si="10"/>
        <v>13030.038255399455</v>
      </c>
      <c r="I43" s="182"/>
      <c r="J43" s="182"/>
    </row>
    <row r="44" spans="1:10" x14ac:dyDescent="0.2">
      <c r="A44" s="33" t="s">
        <v>84</v>
      </c>
      <c r="B44" s="221">
        <f>B16</f>
        <v>5040</v>
      </c>
      <c r="C44" s="182">
        <f t="shared" si="10"/>
        <v>4022.8615873015883</v>
      </c>
      <c r="D44" s="182">
        <f t="shared" si="10"/>
        <v>1834.6136468253972</v>
      </c>
      <c r="E44" s="182">
        <f t="shared" si="10"/>
        <v>1500.9260337301591</v>
      </c>
      <c r="F44" s="182">
        <f t="shared" si="10"/>
        <v>6378.3801726190468</v>
      </c>
      <c r="G44" s="182">
        <f t="shared" si="10"/>
        <v>1625.3442956349209</v>
      </c>
      <c r="H44" s="182">
        <f t="shared" si="10"/>
        <v>15362.125736111113</v>
      </c>
      <c r="I44" s="182"/>
      <c r="J44" s="182"/>
    </row>
    <row r="45" spans="1:10" x14ac:dyDescent="0.2">
      <c r="A45" s="33" t="s">
        <v>85</v>
      </c>
      <c r="B45" s="220">
        <f>B17</f>
        <v>1381</v>
      </c>
      <c r="C45" s="183">
        <f t="shared" si="10"/>
        <v>6591.2079869659683</v>
      </c>
      <c r="D45" s="183">
        <f t="shared" si="10"/>
        <v>4371.4482766111505</v>
      </c>
      <c r="E45" s="183">
        <f t="shared" si="10"/>
        <v>2157.4177842143367</v>
      </c>
      <c r="F45" s="183">
        <f t="shared" si="10"/>
        <v>9054.9616364952944</v>
      </c>
      <c r="G45" s="183">
        <f t="shared" si="10"/>
        <v>1598.0103548153511</v>
      </c>
      <c r="H45" s="183">
        <f t="shared" si="10"/>
        <v>23773.046039102101</v>
      </c>
      <c r="I45" s="182"/>
      <c r="J45" s="182"/>
    </row>
    <row r="46" spans="1:10" x14ac:dyDescent="0.2">
      <c r="A46" s="33" t="s">
        <v>172</v>
      </c>
      <c r="B46" s="221">
        <f>SUM(B41:B45)</f>
        <v>38453</v>
      </c>
      <c r="C46" s="182">
        <f t="shared" si="10"/>
        <v>3540.9282139234915</v>
      </c>
      <c r="D46" s="182">
        <f t="shared" si="10"/>
        <v>1293.0547694588199</v>
      </c>
      <c r="E46" s="182">
        <f t="shared" si="10"/>
        <v>1193.2029383923232</v>
      </c>
      <c r="F46" s="182">
        <f t="shared" si="10"/>
        <v>5223.362427118821</v>
      </c>
      <c r="G46" s="182">
        <f t="shared" si="10"/>
        <v>866.70839752425047</v>
      </c>
      <c r="H46" s="182">
        <f t="shared" si="10"/>
        <v>12117.256746417705</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10095</v>
      </c>
      <c r="C49" s="182">
        <f t="shared" ref="C49:G51" si="11">C21/$B49</f>
        <v>2302.5800554730067</v>
      </c>
      <c r="D49" s="182">
        <f t="shared" si="11"/>
        <v>1259.8972293214463</v>
      </c>
      <c r="E49" s="182">
        <f t="shared" si="11"/>
        <v>1024.7033789004458</v>
      </c>
      <c r="F49" s="182">
        <f t="shared" si="11"/>
        <v>4858.7689331352158</v>
      </c>
      <c r="G49" s="182">
        <f t="shared" si="11"/>
        <v>918.75720356612192</v>
      </c>
      <c r="H49" s="182">
        <f>H21/$B49</f>
        <v>10364.706800396236</v>
      </c>
      <c r="I49" s="182"/>
      <c r="J49" s="182"/>
    </row>
    <row r="50" spans="1:10" x14ac:dyDescent="0.2">
      <c r="A50" s="33" t="s">
        <v>87</v>
      </c>
      <c r="B50" s="220">
        <f>B22</f>
        <v>7332</v>
      </c>
      <c r="C50" s="183">
        <f t="shared" si="11"/>
        <v>4292.2062493180583</v>
      </c>
      <c r="D50" s="183">
        <f t="shared" si="11"/>
        <v>2708.1797299509003</v>
      </c>
      <c r="E50" s="183">
        <f t="shared" si="11"/>
        <v>1430.4764866339333</v>
      </c>
      <c r="F50" s="183">
        <f t="shared" si="11"/>
        <v>5742.7477986906715</v>
      </c>
      <c r="G50" s="183">
        <f t="shared" si="11"/>
        <v>1233.6833715220948</v>
      </c>
      <c r="H50" s="183">
        <f>H22/$B50</f>
        <v>15407.293636115659</v>
      </c>
      <c r="I50" s="182"/>
      <c r="J50" s="182"/>
    </row>
    <row r="51" spans="1:10" x14ac:dyDescent="0.2">
      <c r="A51" s="33" t="s">
        <v>173</v>
      </c>
      <c r="B51" s="221">
        <f>SUM(B49:B50)</f>
        <v>17427</v>
      </c>
      <c r="C51" s="182">
        <f t="shared" si="11"/>
        <v>3139.6684386297129</v>
      </c>
      <c r="D51" s="182">
        <f t="shared" si="11"/>
        <v>1869.2279973604179</v>
      </c>
      <c r="E51" s="182">
        <f t="shared" si="11"/>
        <v>1195.4228616514604</v>
      </c>
      <c r="F51" s="182">
        <f t="shared" si="11"/>
        <v>5230.6822310208299</v>
      </c>
      <c r="G51" s="182">
        <f t="shared" si="11"/>
        <v>1051.2549750387329</v>
      </c>
      <c r="H51" s="182">
        <f>H23/$B51</f>
        <v>12486.256503701155</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148567</v>
      </c>
      <c r="C53" s="192">
        <f t="shared" ref="C53:G53" si="12">C25/$B53</f>
        <v>2838.7280606729623</v>
      </c>
      <c r="D53" s="192">
        <f t="shared" si="12"/>
        <v>1058.1223917828322</v>
      </c>
      <c r="E53" s="192">
        <f t="shared" si="12"/>
        <v>1040.8576068036643</v>
      </c>
      <c r="F53" s="192">
        <f t="shared" si="12"/>
        <v>4790.0678349835434</v>
      </c>
      <c r="G53" s="192">
        <f t="shared" si="12"/>
        <v>1269.9416510395984</v>
      </c>
      <c r="H53" s="192">
        <f>H25/$B53</f>
        <v>10997.717545282601</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FY14</v>
      </c>
      <c r="I57" s="202"/>
      <c r="J57" s="182"/>
    </row>
    <row r="58" spans="1:10" ht="22.5" x14ac:dyDescent="0.2">
      <c r="A58" s="20" t="s">
        <v>245</v>
      </c>
      <c r="B58" s="21"/>
      <c r="C58" s="202" t="str">
        <f t="shared" ref="C58:G58" si="13">C3</f>
        <v>14/Pupil Property Tax</v>
      </c>
      <c r="D58" s="202" t="str">
        <f t="shared" si="13"/>
        <v>14/Pupil Non Levy Revenue</v>
      </c>
      <c r="E58" s="202" t="str">
        <f t="shared" si="13"/>
        <v>14/Pupil County Revenue</v>
      </c>
      <c r="F58" s="202" t="str">
        <f t="shared" si="13"/>
        <v>14/Pupil State Revenue</v>
      </c>
      <c r="G58" s="202" t="str">
        <f t="shared" si="13"/>
        <v>14/Pupil Federal Revenue</v>
      </c>
      <c r="H58" s="202"/>
      <c r="I58" s="202"/>
    </row>
    <row r="59" spans="1:10" x14ac:dyDescent="0.2">
      <c r="A59" s="33" t="s">
        <v>102</v>
      </c>
      <c r="B59" s="221"/>
      <c r="C59" s="224">
        <f t="shared" ref="C59:G65" si="14">C32/$H32</f>
        <v>0.27110108849400355</v>
      </c>
      <c r="D59" s="224">
        <f t="shared" si="14"/>
        <v>4.8548046401982042E-2</v>
      </c>
      <c r="E59" s="224">
        <f t="shared" si="14"/>
        <v>0.10112551461186971</v>
      </c>
      <c r="F59" s="224">
        <f t="shared" si="14"/>
        <v>0.4634636524667971</v>
      </c>
      <c r="G59" s="224">
        <f t="shared" si="14"/>
        <v>0.1157616980253476</v>
      </c>
      <c r="H59" s="313"/>
      <c r="I59" s="182"/>
    </row>
    <row r="60" spans="1:10" x14ac:dyDescent="0.2">
      <c r="A60" s="33" t="s">
        <v>76</v>
      </c>
      <c r="B60" s="221"/>
      <c r="C60" s="224">
        <f t="shared" si="14"/>
        <v>0.22509812310288185</v>
      </c>
      <c r="D60" s="224">
        <f t="shared" si="14"/>
        <v>8.7319190560357113E-2</v>
      </c>
      <c r="E60" s="224">
        <f t="shared" si="14"/>
        <v>8.5745148903941359E-2</v>
      </c>
      <c r="F60" s="224">
        <f t="shared" si="14"/>
        <v>0.4422798828523532</v>
      </c>
      <c r="G60" s="224">
        <f t="shared" si="14"/>
        <v>0.1595576545804665</v>
      </c>
      <c r="H60" s="313"/>
      <c r="I60" s="182"/>
    </row>
    <row r="61" spans="1:10" x14ac:dyDescent="0.2">
      <c r="A61" s="33" t="s">
        <v>77</v>
      </c>
      <c r="B61" s="221"/>
      <c r="C61" s="224">
        <f t="shared" si="14"/>
        <v>0.20228280583003797</v>
      </c>
      <c r="D61" s="224">
        <f t="shared" si="14"/>
        <v>8.2605680311024762E-2</v>
      </c>
      <c r="E61" s="224">
        <f t="shared" si="14"/>
        <v>8.7357730517631918E-2</v>
      </c>
      <c r="F61" s="224">
        <f t="shared" si="14"/>
        <v>0.43442109989147526</v>
      </c>
      <c r="G61" s="224">
        <f t="shared" si="14"/>
        <v>0.19333268344982998</v>
      </c>
      <c r="H61" s="313"/>
      <c r="I61" s="182"/>
    </row>
    <row r="62" spans="1:10" x14ac:dyDescent="0.2">
      <c r="A62" s="33" t="s">
        <v>78</v>
      </c>
      <c r="B62" s="221"/>
      <c r="C62" s="224">
        <f t="shared" si="14"/>
        <v>0.23431245475930873</v>
      </c>
      <c r="D62" s="224">
        <f t="shared" si="14"/>
        <v>9.9708667366795026E-2</v>
      </c>
      <c r="E62" s="224">
        <f t="shared" si="14"/>
        <v>8.7417126566517706E-2</v>
      </c>
      <c r="F62" s="224">
        <f t="shared" si="14"/>
        <v>0.4355717778941679</v>
      </c>
      <c r="G62" s="224">
        <f t="shared" si="14"/>
        <v>0.14298997341321068</v>
      </c>
      <c r="H62" s="313"/>
      <c r="I62" s="182"/>
    </row>
    <row r="63" spans="1:10" x14ac:dyDescent="0.2">
      <c r="A63" s="33" t="s">
        <v>79</v>
      </c>
      <c r="B63" s="221"/>
      <c r="C63" s="224">
        <f t="shared" si="14"/>
        <v>0.24005541794662794</v>
      </c>
      <c r="D63" s="224">
        <f t="shared" si="14"/>
        <v>0.13737586168860627</v>
      </c>
      <c r="E63" s="224">
        <f t="shared" si="14"/>
        <v>8.887226623661626E-2</v>
      </c>
      <c r="F63" s="224">
        <f t="shared" si="14"/>
        <v>0.37433053846174269</v>
      </c>
      <c r="G63" s="224">
        <f t="shared" si="14"/>
        <v>0.15936591566640682</v>
      </c>
      <c r="H63" s="313"/>
      <c r="I63" s="182"/>
    </row>
    <row r="64" spans="1:10" x14ac:dyDescent="0.2">
      <c r="A64" s="33" t="s">
        <v>80</v>
      </c>
      <c r="B64" s="221"/>
      <c r="C64" s="225">
        <f t="shared" si="14"/>
        <v>0.26498704523274752</v>
      </c>
      <c r="D64" s="225">
        <f t="shared" si="14"/>
        <v>0.16949125186154357</v>
      </c>
      <c r="E64" s="225">
        <f t="shared" si="14"/>
        <v>8.9847992063057575E-2</v>
      </c>
      <c r="F64" s="225">
        <f t="shared" si="14"/>
        <v>0.35577778787151998</v>
      </c>
      <c r="G64" s="225">
        <f t="shared" si="14"/>
        <v>0.11989592297113146</v>
      </c>
      <c r="H64" s="313"/>
      <c r="I64" s="182"/>
    </row>
    <row r="65" spans="1:9" x14ac:dyDescent="0.2">
      <c r="A65" s="33" t="s">
        <v>171</v>
      </c>
      <c r="B65" s="221"/>
      <c r="C65" s="224">
        <f t="shared" si="14"/>
        <v>0.2429271044638181</v>
      </c>
      <c r="D65" s="224">
        <f t="shared" si="14"/>
        <v>7.8818120723604709E-2</v>
      </c>
      <c r="E65" s="224">
        <f t="shared" si="14"/>
        <v>9.2515135782279406E-2</v>
      </c>
      <c r="F65" s="224">
        <f t="shared" si="14"/>
        <v>0.4415580884459786</v>
      </c>
      <c r="G65" s="224">
        <f t="shared" si="14"/>
        <v>0.14418155058431933</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0.31335439285601951</v>
      </c>
      <c r="D68" s="224">
        <f t="shared" si="15"/>
        <v>7.7991152169406844E-2</v>
      </c>
      <c r="E68" s="224">
        <f t="shared" si="15"/>
        <v>0.10265773071299364</v>
      </c>
      <c r="F68" s="224">
        <f t="shared" si="15"/>
        <v>0.45086819697916419</v>
      </c>
      <c r="G68" s="224">
        <f t="shared" si="15"/>
        <v>5.5128527282415858E-2</v>
      </c>
      <c r="H68" s="313"/>
      <c r="I68" s="182"/>
    </row>
    <row r="69" spans="1:9" x14ac:dyDescent="0.2">
      <c r="A69" s="33" t="s">
        <v>82</v>
      </c>
      <c r="B69" s="221"/>
      <c r="C69" s="224">
        <f t="shared" si="15"/>
        <v>0.3108843605761073</v>
      </c>
      <c r="D69" s="224">
        <f t="shared" si="15"/>
        <v>8.0313490099785709E-2</v>
      </c>
      <c r="E69" s="224">
        <f t="shared" si="15"/>
        <v>9.2696545356034901E-2</v>
      </c>
      <c r="F69" s="224">
        <f t="shared" si="15"/>
        <v>0.42344883345353546</v>
      </c>
      <c r="G69" s="224">
        <f t="shared" si="15"/>
        <v>9.265677051453651E-2</v>
      </c>
      <c r="H69" s="313"/>
      <c r="I69" s="182"/>
    </row>
    <row r="70" spans="1:9" x14ac:dyDescent="0.2">
      <c r="A70" s="33" t="s">
        <v>83</v>
      </c>
      <c r="B70" s="221"/>
      <c r="C70" s="224">
        <f t="shared" si="15"/>
        <v>0.24081907978164629</v>
      </c>
      <c r="D70" s="224">
        <f t="shared" si="15"/>
        <v>0.18323793166103208</v>
      </c>
      <c r="E70" s="224">
        <f t="shared" si="15"/>
        <v>9.4619888866354279E-2</v>
      </c>
      <c r="F70" s="224">
        <f t="shared" si="15"/>
        <v>0.41378270413090062</v>
      </c>
      <c r="G70" s="224">
        <f t="shared" si="15"/>
        <v>6.7540395560066691E-2</v>
      </c>
      <c r="H70" s="313"/>
      <c r="I70" s="182"/>
    </row>
    <row r="71" spans="1:9" x14ac:dyDescent="0.2">
      <c r="A71" s="33" t="s">
        <v>84</v>
      </c>
      <c r="B71" s="221"/>
      <c r="C71" s="224">
        <f t="shared" si="15"/>
        <v>0.26186881011169011</v>
      </c>
      <c r="D71" s="224">
        <f t="shared" si="15"/>
        <v>0.11942446496924881</v>
      </c>
      <c r="E71" s="224">
        <f t="shared" si="15"/>
        <v>9.7703017115788507E-2</v>
      </c>
      <c r="F71" s="224">
        <f t="shared" si="15"/>
        <v>0.41520166428697119</v>
      </c>
      <c r="G71" s="224">
        <f t="shared" si="15"/>
        <v>0.10580204351630135</v>
      </c>
      <c r="H71" s="313"/>
      <c r="I71" s="182"/>
    </row>
    <row r="72" spans="1:9" x14ac:dyDescent="0.2">
      <c r="A72" s="33" t="s">
        <v>85</v>
      </c>
      <c r="B72" s="221"/>
      <c r="C72" s="225">
        <f t="shared" si="15"/>
        <v>0.27725550929084541</v>
      </c>
      <c r="D72" s="225">
        <f t="shared" si="15"/>
        <v>0.18388254788305028</v>
      </c>
      <c r="E72" s="225">
        <f t="shared" si="15"/>
        <v>9.0750582851932327E-2</v>
      </c>
      <c r="F72" s="225">
        <f t="shared" si="15"/>
        <v>0.38089194046070579</v>
      </c>
      <c r="G72" s="225">
        <f t="shared" si="15"/>
        <v>6.7219419513466244E-2</v>
      </c>
      <c r="H72" s="313"/>
      <c r="I72" s="182"/>
    </row>
    <row r="73" spans="1:9" x14ac:dyDescent="0.2">
      <c r="A73" s="33" t="s">
        <v>172</v>
      </c>
      <c r="B73" s="221"/>
      <c r="C73" s="224">
        <f t="shared" si="15"/>
        <v>0.2922219350489802</v>
      </c>
      <c r="D73" s="224">
        <f t="shared" si="15"/>
        <v>0.10671184051960385</v>
      </c>
      <c r="E73" s="224">
        <f t="shared" si="15"/>
        <v>9.8471375441068931E-2</v>
      </c>
      <c r="F73" s="224">
        <f t="shared" si="15"/>
        <v>0.43106806568764289</v>
      </c>
      <c r="G73" s="224">
        <f t="shared" si="15"/>
        <v>7.1526783302704261E-2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0.22215583130484506</v>
      </c>
      <c r="D76" s="224">
        <f t="shared" si="16"/>
        <v>0.12155647560365926</v>
      </c>
      <c r="E76" s="224">
        <f t="shared" si="16"/>
        <v>9.8864675927086726E-2</v>
      </c>
      <c r="F76" s="224">
        <f t="shared" si="16"/>
        <v>0.46878016201572326</v>
      </c>
      <c r="G76" s="224">
        <f t="shared" si="16"/>
        <v>8.8642855148685779E-2</v>
      </c>
      <c r="H76" s="313"/>
      <c r="I76" s="182"/>
    </row>
    <row r="77" spans="1:9" x14ac:dyDescent="0.2">
      <c r="A77" s="33" t="s">
        <v>87</v>
      </c>
      <c r="B77" s="221"/>
      <c r="C77" s="225">
        <f t="shared" si="16"/>
        <v>0.27858275117551201</v>
      </c>
      <c r="D77" s="225">
        <f t="shared" si="16"/>
        <v>0.17577257848859049</v>
      </c>
      <c r="E77" s="225">
        <f t="shared" si="16"/>
        <v>9.2844111394152121E-2</v>
      </c>
      <c r="F77" s="225">
        <f t="shared" si="16"/>
        <v>0.37272917193122818</v>
      </c>
      <c r="G77" s="225">
        <f t="shared" si="16"/>
        <v>8.007138701051715E-2</v>
      </c>
      <c r="H77" s="313"/>
      <c r="I77" s="182"/>
    </row>
    <row r="78" spans="1:9" x14ac:dyDescent="0.2">
      <c r="A78" s="33" t="s">
        <v>173</v>
      </c>
      <c r="B78" s="221"/>
      <c r="C78" s="224">
        <f t="shared" si="16"/>
        <v>0.2514499391950708</v>
      </c>
      <c r="D78" s="224">
        <f t="shared" si="16"/>
        <v>0.14970283501755266</v>
      </c>
      <c r="E78" s="224">
        <f t="shared" si="16"/>
        <v>9.5739092120774152E-2</v>
      </c>
      <c r="F78" s="224">
        <f t="shared" si="16"/>
        <v>0.41891516720566807</v>
      </c>
      <c r="G78" s="224">
        <f t="shared" si="16"/>
        <v>8.4192966460934202E-2</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0.25811974611864952</v>
      </c>
      <c r="D80" s="226">
        <f>D53/$H53</f>
        <v>9.6212908489971799E-2</v>
      </c>
      <c r="E80" s="226">
        <f>E53/$H53</f>
        <v>9.4643056845020848E-2</v>
      </c>
      <c r="F80" s="226">
        <f>F53/$H53</f>
        <v>0.43555108732886227</v>
      </c>
      <c r="G80" s="226">
        <f>G53/$H53</f>
        <v>0.11547320121749549</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1190</v>
      </c>
      <c r="D2" s="22"/>
      <c r="E2" s="22"/>
      <c r="F2" s="22"/>
      <c r="G2" s="22"/>
      <c r="H2" s="22"/>
      <c r="I2" s="22"/>
    </row>
    <row r="3" spans="1:26" ht="33.75" x14ac:dyDescent="0.2">
      <c r="A3" s="20" t="s">
        <v>245</v>
      </c>
      <c r="B3" s="21" t="s">
        <v>1197</v>
      </c>
      <c r="C3" s="202" t="s">
        <v>1191</v>
      </c>
      <c r="D3" s="202" t="s">
        <v>1192</v>
      </c>
      <c r="E3" s="202" t="s">
        <v>1193</v>
      </c>
      <c r="F3" s="202" t="s">
        <v>1228</v>
      </c>
      <c r="G3" s="202" t="s">
        <v>1194</v>
      </c>
      <c r="H3" s="202" t="s">
        <v>1195</v>
      </c>
      <c r="I3" s="202" t="s">
        <v>1227</v>
      </c>
      <c r="J3" s="202"/>
      <c r="L3" s="287"/>
      <c r="M3" s="278"/>
      <c r="N3" s="290"/>
      <c r="O3" s="290"/>
      <c r="P3" s="290"/>
      <c r="Q3" s="290"/>
      <c r="R3" s="290"/>
      <c r="S3" s="290"/>
      <c r="T3" s="290"/>
    </row>
    <row r="4" spans="1:26" ht="15" x14ac:dyDescent="0.25">
      <c r="A4" s="33" t="s">
        <v>102</v>
      </c>
      <c r="B4" s="214">
        <v>39033</v>
      </c>
      <c r="C4" s="214">
        <v>93826867</v>
      </c>
      <c r="D4" s="214">
        <v>21836067</v>
      </c>
      <c r="E4" s="214">
        <v>32473067</v>
      </c>
      <c r="F4" s="214">
        <v>164505178</v>
      </c>
      <c r="G4" s="214">
        <v>39311550</v>
      </c>
      <c r="H4" s="229">
        <f t="shared" ref="H4:H9" si="0">SUM(C4:G4)</f>
        <v>351952729</v>
      </c>
      <c r="I4" s="214">
        <f t="shared" ref="I4:I10" si="1">H4/B4</f>
        <v>9016.7993492685673</v>
      </c>
      <c r="J4" s="221"/>
      <c r="L4" s="283"/>
      <c r="M4" s="289"/>
      <c r="N4" s="289"/>
      <c r="O4" s="289"/>
      <c r="P4" s="289"/>
      <c r="Q4" s="289"/>
      <c r="R4" s="289"/>
      <c r="S4" s="289"/>
      <c r="T4" s="289"/>
      <c r="U4" s="268"/>
      <c r="V4" s="268"/>
      <c r="W4" s="268"/>
      <c r="X4" s="268"/>
      <c r="Y4" s="268"/>
      <c r="Z4" s="268"/>
    </row>
    <row r="5" spans="1:26" ht="15" x14ac:dyDescent="0.25">
      <c r="A5" s="33" t="s">
        <v>76</v>
      </c>
      <c r="B5" s="214">
        <v>20207</v>
      </c>
      <c r="C5" s="214">
        <v>47512961</v>
      </c>
      <c r="D5" s="214">
        <v>13388747</v>
      </c>
      <c r="E5" s="214">
        <v>16982412</v>
      </c>
      <c r="F5" s="214">
        <v>90929863</v>
      </c>
      <c r="G5" s="214">
        <v>35980239</v>
      </c>
      <c r="H5" s="229">
        <f t="shared" si="0"/>
        <v>204794222</v>
      </c>
      <c r="I5" s="214">
        <f t="shared" si="1"/>
        <v>10134.815756915919</v>
      </c>
      <c r="J5" s="221"/>
      <c r="L5" s="283"/>
      <c r="M5" s="289"/>
      <c r="N5" s="289"/>
      <c r="O5" s="289"/>
      <c r="P5" s="289"/>
      <c r="Q5" s="289"/>
      <c r="R5" s="289"/>
      <c r="S5" s="289"/>
      <c r="T5" s="289"/>
      <c r="U5" s="268"/>
      <c r="V5" s="268"/>
      <c r="W5" s="268"/>
      <c r="X5" s="268"/>
      <c r="Y5" s="268"/>
      <c r="Z5" s="268"/>
    </row>
    <row r="6" spans="1:26" ht="15" x14ac:dyDescent="0.25">
      <c r="A6" s="33" t="s">
        <v>77</v>
      </c>
      <c r="B6" s="214">
        <v>12825</v>
      </c>
      <c r="C6" s="214">
        <v>25952497</v>
      </c>
      <c r="D6" s="214">
        <v>9349600</v>
      </c>
      <c r="E6" s="214">
        <v>10382437</v>
      </c>
      <c r="F6" s="214">
        <v>60127069</v>
      </c>
      <c r="G6" s="214">
        <v>30330385</v>
      </c>
      <c r="H6" s="229">
        <f t="shared" si="0"/>
        <v>136141988</v>
      </c>
      <c r="I6" s="214">
        <f t="shared" si="1"/>
        <v>10615.359688109162</v>
      </c>
      <c r="J6" s="221"/>
      <c r="L6" s="283"/>
      <c r="M6" s="289"/>
      <c r="N6" s="289"/>
      <c r="O6" s="289"/>
      <c r="P6" s="289"/>
      <c r="Q6" s="289"/>
      <c r="R6" s="289"/>
      <c r="S6" s="289"/>
      <c r="T6" s="289"/>
      <c r="U6" s="268"/>
      <c r="V6" s="268"/>
      <c r="W6" s="268"/>
      <c r="X6" s="268"/>
      <c r="Y6" s="268"/>
      <c r="Z6" s="268"/>
    </row>
    <row r="7" spans="1:26" ht="15" x14ac:dyDescent="0.25">
      <c r="A7" s="33" t="s">
        <v>78</v>
      </c>
      <c r="B7" s="214">
        <v>12640</v>
      </c>
      <c r="C7" s="214">
        <v>32968667</v>
      </c>
      <c r="D7" s="214">
        <v>14125890</v>
      </c>
      <c r="E7" s="214">
        <v>11121227</v>
      </c>
      <c r="F7" s="214">
        <v>55625461</v>
      </c>
      <c r="G7" s="214">
        <v>16980095</v>
      </c>
      <c r="H7" s="229">
        <f t="shared" si="0"/>
        <v>130821340</v>
      </c>
      <c r="I7" s="214">
        <f t="shared" si="1"/>
        <v>10349.789556962025</v>
      </c>
      <c r="J7" s="221"/>
      <c r="L7" s="283"/>
      <c r="M7" s="289"/>
      <c r="N7" s="289"/>
      <c r="O7" s="289"/>
      <c r="P7" s="289"/>
      <c r="Q7" s="289"/>
      <c r="R7" s="289"/>
      <c r="S7" s="289"/>
      <c r="T7" s="289"/>
      <c r="U7" s="268"/>
      <c r="V7" s="268"/>
      <c r="W7" s="268"/>
      <c r="X7" s="268"/>
      <c r="Y7" s="268"/>
      <c r="Z7" s="268"/>
    </row>
    <row r="8" spans="1:26" ht="15" x14ac:dyDescent="0.25">
      <c r="A8" s="33" t="s">
        <v>79</v>
      </c>
      <c r="B8" s="214">
        <v>4985</v>
      </c>
      <c r="C8" s="214">
        <v>15410569</v>
      </c>
      <c r="D8" s="214">
        <v>9319146</v>
      </c>
      <c r="E8" s="214">
        <v>5300237</v>
      </c>
      <c r="F8" s="214">
        <v>22950262</v>
      </c>
      <c r="G8" s="214">
        <v>11240369</v>
      </c>
      <c r="H8" s="229">
        <f t="shared" si="0"/>
        <v>64220583</v>
      </c>
      <c r="I8" s="214">
        <f t="shared" si="1"/>
        <v>12882.764894684053</v>
      </c>
      <c r="J8" s="221"/>
      <c r="L8" s="283"/>
      <c r="M8" s="289"/>
      <c r="N8" s="289"/>
      <c r="O8" s="289"/>
      <c r="P8" s="289"/>
      <c r="Q8" s="289"/>
      <c r="R8" s="289"/>
      <c r="S8" s="289"/>
      <c r="T8" s="289"/>
      <c r="U8" s="268"/>
      <c r="V8" s="268"/>
      <c r="W8" s="268"/>
      <c r="X8" s="268"/>
      <c r="Y8" s="268"/>
      <c r="Z8" s="268"/>
    </row>
    <row r="9" spans="1:26" ht="15" x14ac:dyDescent="0.25">
      <c r="A9" s="33" t="s">
        <v>80</v>
      </c>
      <c r="B9" s="220">
        <v>1674</v>
      </c>
      <c r="C9" s="220">
        <v>5452522</v>
      </c>
      <c r="D9" s="220">
        <v>2593449</v>
      </c>
      <c r="E9" s="220">
        <v>1610340</v>
      </c>
      <c r="F9" s="220">
        <v>7104797</v>
      </c>
      <c r="G9" s="220">
        <v>3021063</v>
      </c>
      <c r="H9" s="238">
        <f t="shared" si="0"/>
        <v>19782171</v>
      </c>
      <c r="I9" s="220">
        <f t="shared" si="1"/>
        <v>11817.306451612903</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91364</v>
      </c>
      <c r="C10" s="229">
        <f t="shared" si="2"/>
        <v>221124083</v>
      </c>
      <c r="D10" s="229">
        <f t="shared" si="2"/>
        <v>70612899</v>
      </c>
      <c r="E10" s="229">
        <f t="shared" si="2"/>
        <v>77869720</v>
      </c>
      <c r="F10" s="229">
        <f t="shared" si="2"/>
        <v>401242630</v>
      </c>
      <c r="G10" s="229">
        <f t="shared" si="2"/>
        <v>136863701</v>
      </c>
      <c r="H10" s="229">
        <f t="shared" si="2"/>
        <v>907713033</v>
      </c>
      <c r="I10" s="214">
        <f t="shared" si="1"/>
        <v>9935.1279825751935</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214"/>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214"/>
      <c r="J12" s="221"/>
      <c r="L12" s="287"/>
      <c r="M12" s="287"/>
      <c r="N12" s="287"/>
      <c r="O12" s="287"/>
      <c r="P12" s="287"/>
      <c r="Q12" s="287"/>
      <c r="R12" s="287"/>
      <c r="S12" s="287"/>
      <c r="T12" s="287"/>
      <c r="U12" s="268"/>
      <c r="V12" s="268"/>
      <c r="W12" s="268"/>
      <c r="X12" s="268"/>
      <c r="Y12" s="268"/>
      <c r="Z12" s="268"/>
    </row>
    <row r="13" spans="1:26" ht="15" x14ac:dyDescent="0.25">
      <c r="A13" s="33" t="s">
        <v>81</v>
      </c>
      <c r="B13" s="214">
        <v>21424</v>
      </c>
      <c r="C13" s="214">
        <v>68335473</v>
      </c>
      <c r="D13" s="214">
        <v>18327456</v>
      </c>
      <c r="E13" s="214">
        <v>20057891</v>
      </c>
      <c r="F13" s="214">
        <v>98924560</v>
      </c>
      <c r="G13" s="214">
        <v>14451146</v>
      </c>
      <c r="H13" s="229">
        <f>SUM(C13:G13)</f>
        <v>220096526</v>
      </c>
      <c r="I13" s="214">
        <f t="shared" ref="I13:I18" si="3">H13/B13</f>
        <v>10273.36286407767</v>
      </c>
      <c r="J13" s="221"/>
      <c r="L13" s="283"/>
      <c r="M13" s="289"/>
      <c r="N13" s="289"/>
      <c r="O13" s="289"/>
      <c r="P13" s="289"/>
      <c r="Q13" s="289"/>
      <c r="R13" s="289"/>
      <c r="S13" s="289"/>
      <c r="T13" s="289"/>
      <c r="U13" s="268"/>
      <c r="V13" s="268"/>
      <c r="W13" s="268"/>
      <c r="X13" s="268"/>
      <c r="Y13" s="268"/>
      <c r="Z13" s="268"/>
    </row>
    <row r="14" spans="1:26" ht="15" x14ac:dyDescent="0.25">
      <c r="A14" s="33" t="s">
        <v>82</v>
      </c>
      <c r="B14" s="214">
        <v>6363</v>
      </c>
      <c r="C14" s="214">
        <v>20600690</v>
      </c>
      <c r="D14" s="214">
        <v>10339356</v>
      </c>
      <c r="E14" s="214">
        <v>6271557</v>
      </c>
      <c r="F14" s="214">
        <v>30123253</v>
      </c>
      <c r="G14" s="214">
        <v>7655995</v>
      </c>
      <c r="H14" s="229">
        <f>SUM(C14:G14)</f>
        <v>74990851</v>
      </c>
      <c r="I14" s="214">
        <f t="shared" si="3"/>
        <v>11785.455131227409</v>
      </c>
      <c r="J14" s="221"/>
      <c r="L14" s="283"/>
      <c r="M14" s="289"/>
      <c r="N14" s="289"/>
      <c r="O14" s="289"/>
      <c r="P14" s="289"/>
      <c r="Q14" s="289"/>
      <c r="R14" s="289"/>
      <c r="S14" s="289"/>
      <c r="T14" s="289"/>
      <c r="U14" s="268"/>
      <c r="V14" s="268"/>
      <c r="W14" s="268"/>
      <c r="X14" s="268"/>
      <c r="Y14" s="268"/>
      <c r="Z14" s="268"/>
    </row>
    <row r="15" spans="1:26" ht="15" x14ac:dyDescent="0.25">
      <c r="A15" s="33" t="s">
        <v>83</v>
      </c>
      <c r="B15" s="214">
        <v>4424</v>
      </c>
      <c r="C15" s="214">
        <v>13811840</v>
      </c>
      <c r="D15" s="214">
        <v>5532212</v>
      </c>
      <c r="E15" s="214">
        <v>4453362</v>
      </c>
      <c r="F15" s="214">
        <v>23939366</v>
      </c>
      <c r="G15" s="214">
        <v>5242959</v>
      </c>
      <c r="H15" s="229">
        <f>SUM(C15:G15)</f>
        <v>52979739</v>
      </c>
      <c r="I15" s="214">
        <f t="shared" si="3"/>
        <v>11975.528707052441</v>
      </c>
      <c r="J15" s="221"/>
      <c r="L15" s="283"/>
      <c r="M15" s="289"/>
      <c r="N15" s="289"/>
      <c r="O15" s="289"/>
      <c r="P15" s="289"/>
      <c r="Q15" s="289"/>
      <c r="R15" s="289"/>
      <c r="S15" s="289"/>
      <c r="T15" s="289"/>
      <c r="U15" s="268"/>
      <c r="V15" s="268"/>
      <c r="W15" s="268"/>
      <c r="X15" s="268"/>
      <c r="Y15" s="268"/>
      <c r="Z15" s="268"/>
    </row>
    <row r="16" spans="1:26" ht="15" x14ac:dyDescent="0.25">
      <c r="A16" s="33" t="s">
        <v>84</v>
      </c>
      <c r="B16" s="214">
        <v>4952</v>
      </c>
      <c r="C16" s="214">
        <v>17811280</v>
      </c>
      <c r="D16" s="214">
        <v>8060988</v>
      </c>
      <c r="E16" s="214">
        <v>6239108</v>
      </c>
      <c r="F16" s="214">
        <v>30222756</v>
      </c>
      <c r="G16" s="214">
        <v>8801293</v>
      </c>
      <c r="H16" s="229">
        <f>SUM(C16:G16)</f>
        <v>71135425</v>
      </c>
      <c r="I16" s="214">
        <f t="shared" si="3"/>
        <v>14364.988893376414</v>
      </c>
      <c r="J16" s="221"/>
      <c r="L16" s="283"/>
      <c r="M16" s="289"/>
      <c r="N16" s="289"/>
      <c r="O16" s="289"/>
      <c r="P16" s="289"/>
      <c r="Q16" s="289"/>
      <c r="R16" s="289"/>
      <c r="S16" s="289"/>
      <c r="T16" s="289"/>
      <c r="U16" s="268"/>
      <c r="V16" s="268"/>
      <c r="W16" s="268"/>
      <c r="X16" s="268"/>
      <c r="Y16" s="268"/>
      <c r="Z16" s="268"/>
    </row>
    <row r="17" spans="1:26" ht="15" x14ac:dyDescent="0.25">
      <c r="A17" s="33" t="s">
        <v>85</v>
      </c>
      <c r="B17" s="220">
        <v>1691</v>
      </c>
      <c r="C17" s="220">
        <v>10880571</v>
      </c>
      <c r="D17" s="220">
        <v>5332515</v>
      </c>
      <c r="E17" s="220">
        <v>3039444</v>
      </c>
      <c r="F17" s="220">
        <v>13777358</v>
      </c>
      <c r="G17" s="220">
        <v>3038250</v>
      </c>
      <c r="H17" s="238">
        <f>SUM(C17:G17)</f>
        <v>36068138</v>
      </c>
      <c r="I17" s="220">
        <f t="shared" si="3"/>
        <v>21329.472501478416</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38854</v>
      </c>
      <c r="C18" s="229">
        <f t="shared" si="4"/>
        <v>131439854</v>
      </c>
      <c r="D18" s="229">
        <f t="shared" si="4"/>
        <v>47592527</v>
      </c>
      <c r="E18" s="229">
        <f t="shared" si="4"/>
        <v>40061362</v>
      </c>
      <c r="F18" s="229">
        <f t="shared" si="4"/>
        <v>196987293</v>
      </c>
      <c r="G18" s="229">
        <f t="shared" si="4"/>
        <v>39189643</v>
      </c>
      <c r="H18" s="229">
        <f t="shared" si="4"/>
        <v>455270679</v>
      </c>
      <c r="I18" s="214">
        <f t="shared" si="3"/>
        <v>11717.472563957379</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214"/>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214"/>
      <c r="J20" s="221"/>
      <c r="L20" s="287"/>
      <c r="M20" s="287"/>
      <c r="N20" s="287"/>
      <c r="O20" s="287"/>
      <c r="P20" s="287"/>
      <c r="Q20" s="287"/>
      <c r="R20" s="287"/>
      <c r="S20" s="287"/>
      <c r="T20" s="281"/>
      <c r="U20" s="268"/>
      <c r="V20" s="268"/>
      <c r="W20" s="268"/>
      <c r="X20" s="268"/>
      <c r="Y20" s="268"/>
      <c r="Z20" s="268"/>
    </row>
    <row r="21" spans="1:26" ht="15" x14ac:dyDescent="0.25">
      <c r="A21" s="33" t="s">
        <v>86</v>
      </c>
      <c r="B21" s="214">
        <v>10244</v>
      </c>
      <c r="C21" s="214">
        <v>22761051</v>
      </c>
      <c r="D21" s="214">
        <v>13323168</v>
      </c>
      <c r="E21" s="214">
        <v>9144845</v>
      </c>
      <c r="F21" s="214">
        <v>48214361</v>
      </c>
      <c r="G21" s="214">
        <v>9944615</v>
      </c>
      <c r="H21" s="221">
        <f>SUM(C21:G21)</f>
        <v>103388040</v>
      </c>
      <c r="I21" s="214">
        <f>H21/B21</f>
        <v>10092.545880515423</v>
      </c>
      <c r="J21" s="221"/>
      <c r="L21" s="283"/>
      <c r="M21" s="289"/>
      <c r="N21" s="289"/>
      <c r="O21" s="289"/>
      <c r="P21" s="289"/>
      <c r="Q21" s="289"/>
      <c r="R21" s="289"/>
      <c r="S21" s="289"/>
      <c r="T21" s="289"/>
      <c r="U21" s="268"/>
      <c r="V21" s="268"/>
      <c r="W21" s="268"/>
      <c r="X21" s="268"/>
      <c r="Y21" s="268"/>
      <c r="Z21" s="268"/>
    </row>
    <row r="22" spans="1:26" ht="15" x14ac:dyDescent="0.25">
      <c r="A22" s="33" t="s">
        <v>87</v>
      </c>
      <c r="B22" s="220">
        <v>7243</v>
      </c>
      <c r="C22" s="220">
        <v>28520735</v>
      </c>
      <c r="D22" s="220">
        <v>16477416</v>
      </c>
      <c r="E22" s="220">
        <v>9222195</v>
      </c>
      <c r="F22" s="220">
        <v>39696929</v>
      </c>
      <c r="G22" s="220">
        <v>10544651</v>
      </c>
      <c r="H22" s="220">
        <f>SUM(C22:G22)</f>
        <v>104461926</v>
      </c>
      <c r="I22" s="220">
        <f>H22/B22</f>
        <v>14422.466657462377</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17487</v>
      </c>
      <c r="C23" s="221">
        <f t="shared" si="5"/>
        <v>51281786</v>
      </c>
      <c r="D23" s="221">
        <f t="shared" si="5"/>
        <v>29800584</v>
      </c>
      <c r="E23" s="221">
        <f t="shared" si="5"/>
        <v>18367040</v>
      </c>
      <c r="F23" s="221">
        <f t="shared" si="5"/>
        <v>87911290</v>
      </c>
      <c r="G23" s="221">
        <f t="shared" si="5"/>
        <v>20489266</v>
      </c>
      <c r="H23" s="221">
        <f t="shared" si="5"/>
        <v>207849966</v>
      </c>
      <c r="I23" s="221">
        <f>H23/B23</f>
        <v>11885.970492365757</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147705</v>
      </c>
      <c r="C25" s="192">
        <f t="shared" ref="C25:H25" si="6">C10+C18+C23</f>
        <v>403845723</v>
      </c>
      <c r="D25" s="192">
        <f t="shared" si="6"/>
        <v>148006010</v>
      </c>
      <c r="E25" s="192">
        <f t="shared" si="6"/>
        <v>136298122</v>
      </c>
      <c r="F25" s="192">
        <f t="shared" si="6"/>
        <v>686141213</v>
      </c>
      <c r="G25" s="192">
        <f t="shared" si="6"/>
        <v>196542610</v>
      </c>
      <c r="H25" s="192">
        <f t="shared" si="6"/>
        <v>1570833678</v>
      </c>
      <c r="I25" s="222">
        <f>H25/B25</f>
        <v>10634.93908804712</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FY13</v>
      </c>
      <c r="C29" s="223"/>
      <c r="D29" s="223"/>
      <c r="E29" s="223"/>
      <c r="F29" s="223"/>
      <c r="G29" s="223"/>
      <c r="H29" s="223"/>
      <c r="I29" s="182"/>
    </row>
    <row r="30" spans="1:26" ht="22.5" x14ac:dyDescent="0.2">
      <c r="A30" s="20" t="s">
        <v>245</v>
      </c>
      <c r="B30" s="202" t="str">
        <f>B3</f>
        <v>ANB13</v>
      </c>
      <c r="C30" s="202" t="str">
        <f t="shared" ref="C30:G30" si="7">C3</f>
        <v>13/Pupil Property Tax</v>
      </c>
      <c r="D30" s="202" t="str">
        <f t="shared" si="7"/>
        <v>13/Pupil Non Levy Revenue</v>
      </c>
      <c r="E30" s="202" t="str">
        <f t="shared" si="7"/>
        <v>13/Pupil County Revenue</v>
      </c>
      <c r="F30" s="202" t="str">
        <f t="shared" si="7"/>
        <v>13/Pupil State Revenue</v>
      </c>
      <c r="G30" s="202" t="str">
        <f t="shared" si="7"/>
        <v>13/Pupil Federal Revenue</v>
      </c>
      <c r="H30" s="202" t="str">
        <f>I3</f>
        <v>13/Rev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39033</v>
      </c>
      <c r="C32" s="182">
        <f t="shared" ref="C32:G38" si="9">C4/$B32</f>
        <v>2403.7831322214538</v>
      </c>
      <c r="D32" s="182">
        <f t="shared" si="9"/>
        <v>559.42579355929593</v>
      </c>
      <c r="E32" s="182">
        <f t="shared" si="9"/>
        <v>831.93879537826967</v>
      </c>
      <c r="F32" s="182">
        <f t="shared" si="9"/>
        <v>4214.5153587989653</v>
      </c>
      <c r="G32" s="182">
        <f t="shared" si="9"/>
        <v>1007.1362693105833</v>
      </c>
      <c r="H32" s="182">
        <f t="shared" ref="H32:H38" si="10">H4/$B32</f>
        <v>9016.7993492685673</v>
      </c>
      <c r="I32" s="182"/>
      <c r="J32" s="182"/>
    </row>
    <row r="33" spans="1:10" x14ac:dyDescent="0.2">
      <c r="A33" s="33" t="s">
        <v>76</v>
      </c>
      <c r="B33" s="221">
        <f t="shared" si="8"/>
        <v>20207</v>
      </c>
      <c r="C33" s="182">
        <f t="shared" si="9"/>
        <v>2351.3119710991241</v>
      </c>
      <c r="D33" s="182">
        <f t="shared" si="9"/>
        <v>662.5796506161231</v>
      </c>
      <c r="E33" s="182">
        <f t="shared" si="9"/>
        <v>840.42222992032464</v>
      </c>
      <c r="F33" s="182">
        <f t="shared" si="9"/>
        <v>4499.9189884693424</v>
      </c>
      <c r="G33" s="182">
        <f t="shared" si="9"/>
        <v>1780.582916811006</v>
      </c>
      <c r="H33" s="182">
        <f t="shared" si="10"/>
        <v>10134.815756915919</v>
      </c>
      <c r="I33" s="182"/>
      <c r="J33" s="182"/>
    </row>
    <row r="34" spans="1:10" x14ac:dyDescent="0.2">
      <c r="A34" s="33" t="s">
        <v>77</v>
      </c>
      <c r="B34" s="221">
        <f t="shared" si="8"/>
        <v>12825</v>
      </c>
      <c r="C34" s="182">
        <f t="shared" si="9"/>
        <v>2023.5865107212476</v>
      </c>
      <c r="D34" s="182">
        <f t="shared" si="9"/>
        <v>729.01364522417157</v>
      </c>
      <c r="E34" s="182">
        <f t="shared" si="9"/>
        <v>809.54674463937624</v>
      </c>
      <c r="F34" s="182">
        <f t="shared" si="9"/>
        <v>4688.2704873294351</v>
      </c>
      <c r="G34" s="182">
        <f t="shared" si="9"/>
        <v>2364.9423001949317</v>
      </c>
      <c r="H34" s="182">
        <f t="shared" si="10"/>
        <v>10615.359688109162</v>
      </c>
      <c r="I34" s="182"/>
      <c r="J34" s="182"/>
    </row>
    <row r="35" spans="1:10" x14ac:dyDescent="0.2">
      <c r="A35" s="33" t="s">
        <v>78</v>
      </c>
      <c r="B35" s="221">
        <f t="shared" si="8"/>
        <v>12640</v>
      </c>
      <c r="C35" s="182">
        <f t="shared" si="9"/>
        <v>2608.2806170886074</v>
      </c>
      <c r="D35" s="182">
        <f t="shared" si="9"/>
        <v>1117.554588607595</v>
      </c>
      <c r="E35" s="182">
        <f t="shared" si="9"/>
        <v>879.84390822784815</v>
      </c>
      <c r="F35" s="182">
        <f t="shared" si="9"/>
        <v>4400.7484968354429</v>
      </c>
      <c r="G35" s="182">
        <f t="shared" si="9"/>
        <v>1343.3619462025317</v>
      </c>
      <c r="H35" s="182">
        <f t="shared" si="10"/>
        <v>10349.789556962025</v>
      </c>
      <c r="I35" s="182"/>
      <c r="J35" s="182"/>
    </row>
    <row r="36" spans="1:10" x14ac:dyDescent="0.2">
      <c r="A36" s="33" t="s">
        <v>79</v>
      </c>
      <c r="B36" s="221">
        <f t="shared" si="8"/>
        <v>4985</v>
      </c>
      <c r="C36" s="182">
        <f t="shared" si="9"/>
        <v>3091.3879638916751</v>
      </c>
      <c r="D36" s="182">
        <f t="shared" si="9"/>
        <v>1869.4375125376127</v>
      </c>
      <c r="E36" s="182">
        <f t="shared" si="9"/>
        <v>1063.2371113340021</v>
      </c>
      <c r="F36" s="182">
        <f t="shared" si="9"/>
        <v>4603.863991975928</v>
      </c>
      <c r="G36" s="182">
        <f t="shared" si="9"/>
        <v>2254.8383149448346</v>
      </c>
      <c r="H36" s="182">
        <f t="shared" si="10"/>
        <v>12882.764894684053</v>
      </c>
      <c r="I36" s="182"/>
      <c r="J36" s="182"/>
    </row>
    <row r="37" spans="1:10" x14ac:dyDescent="0.2">
      <c r="A37" s="33" t="s">
        <v>80</v>
      </c>
      <c r="B37" s="220">
        <f t="shared" si="8"/>
        <v>1674</v>
      </c>
      <c r="C37" s="183">
        <f t="shared" si="9"/>
        <v>3257.1816009557947</v>
      </c>
      <c r="D37" s="183">
        <f t="shared" si="9"/>
        <v>1549.252688172043</v>
      </c>
      <c r="E37" s="183">
        <f t="shared" si="9"/>
        <v>961.97132616487454</v>
      </c>
      <c r="F37" s="183">
        <f t="shared" si="9"/>
        <v>4244.2037037037035</v>
      </c>
      <c r="G37" s="183">
        <f t="shared" si="9"/>
        <v>1804.6971326164874</v>
      </c>
      <c r="H37" s="183">
        <f t="shared" si="10"/>
        <v>11817.306451612903</v>
      </c>
      <c r="I37" s="182"/>
      <c r="J37" s="182"/>
    </row>
    <row r="38" spans="1:10" x14ac:dyDescent="0.2">
      <c r="A38" s="33" t="s">
        <v>171</v>
      </c>
      <c r="B38" s="221">
        <f>SUM(B32:B37)</f>
        <v>91364</v>
      </c>
      <c r="C38" s="182">
        <f t="shared" si="9"/>
        <v>2420.2539621732849</v>
      </c>
      <c r="D38" s="182">
        <f t="shared" si="9"/>
        <v>772.87442537542142</v>
      </c>
      <c r="E38" s="182">
        <f t="shared" si="9"/>
        <v>852.3020007880566</v>
      </c>
      <c r="F38" s="182">
        <f t="shared" si="9"/>
        <v>4391.692898734731</v>
      </c>
      <c r="G38" s="182">
        <f t="shared" si="9"/>
        <v>1498.0046955036994</v>
      </c>
      <c r="H38" s="182">
        <f t="shared" si="10"/>
        <v>9935.1279825751935</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21424</v>
      </c>
      <c r="C41" s="182">
        <f t="shared" ref="C41:G46" si="11">C13/$B41</f>
        <v>3189.6692027632562</v>
      </c>
      <c r="D41" s="182">
        <f t="shared" si="11"/>
        <v>855.46377893950705</v>
      </c>
      <c r="E41" s="182">
        <f t="shared" si="11"/>
        <v>936.23464339059001</v>
      </c>
      <c r="F41" s="182">
        <f t="shared" si="11"/>
        <v>4617.4645257654965</v>
      </c>
      <c r="G41" s="182">
        <f t="shared" si="11"/>
        <v>674.53071321881998</v>
      </c>
      <c r="H41" s="182">
        <f t="shared" ref="H41:H46" si="12">H13/$B41</f>
        <v>10273.36286407767</v>
      </c>
      <c r="I41" s="182"/>
      <c r="J41" s="182"/>
    </row>
    <row r="42" spans="1:10" x14ac:dyDescent="0.2">
      <c r="A42" s="33" t="s">
        <v>82</v>
      </c>
      <c r="B42" s="221">
        <f>B14</f>
        <v>6363</v>
      </c>
      <c r="C42" s="182">
        <f t="shared" si="11"/>
        <v>3237.5750432186078</v>
      </c>
      <c r="D42" s="182">
        <f t="shared" si="11"/>
        <v>1624.9184347006128</v>
      </c>
      <c r="E42" s="182">
        <f t="shared" si="11"/>
        <v>985.62894860914662</v>
      </c>
      <c r="F42" s="182">
        <f t="shared" si="11"/>
        <v>4734.1274556027029</v>
      </c>
      <c r="G42" s="182">
        <f t="shared" si="11"/>
        <v>1203.2052490963381</v>
      </c>
      <c r="H42" s="182">
        <f t="shared" si="12"/>
        <v>11785.455131227409</v>
      </c>
      <c r="I42" s="182"/>
      <c r="J42" s="182"/>
    </row>
    <row r="43" spans="1:10" x14ac:dyDescent="0.2">
      <c r="A43" s="33" t="s">
        <v>83</v>
      </c>
      <c r="B43" s="221">
        <f>B15</f>
        <v>4424</v>
      </c>
      <c r="C43" s="182">
        <f t="shared" si="11"/>
        <v>3122.0253164556962</v>
      </c>
      <c r="D43" s="182">
        <f t="shared" si="11"/>
        <v>1250.5</v>
      </c>
      <c r="E43" s="182">
        <f t="shared" si="11"/>
        <v>1006.6369801084991</v>
      </c>
      <c r="F43" s="182">
        <f t="shared" si="11"/>
        <v>5411.249095840868</v>
      </c>
      <c r="G43" s="182">
        <f t="shared" si="11"/>
        <v>1185.117314647378</v>
      </c>
      <c r="H43" s="182">
        <f t="shared" si="12"/>
        <v>11975.528707052441</v>
      </c>
      <c r="I43" s="182"/>
      <c r="J43" s="182"/>
    </row>
    <row r="44" spans="1:10" x14ac:dyDescent="0.2">
      <c r="A44" s="33" t="s">
        <v>84</v>
      </c>
      <c r="B44" s="221">
        <f>B16</f>
        <v>4952</v>
      </c>
      <c r="C44" s="182">
        <f t="shared" si="11"/>
        <v>3596.7851373182552</v>
      </c>
      <c r="D44" s="182">
        <f t="shared" si="11"/>
        <v>1627.8247172859451</v>
      </c>
      <c r="E44" s="182">
        <f t="shared" si="11"/>
        <v>1259.9168012924072</v>
      </c>
      <c r="F44" s="182">
        <f t="shared" si="11"/>
        <v>6103.1413570274635</v>
      </c>
      <c r="G44" s="182">
        <f t="shared" si="11"/>
        <v>1777.3208804523424</v>
      </c>
      <c r="H44" s="182">
        <f t="shared" si="12"/>
        <v>14364.988893376414</v>
      </c>
      <c r="I44" s="182"/>
      <c r="J44" s="182"/>
    </row>
    <row r="45" spans="1:10" x14ac:dyDescent="0.2">
      <c r="A45" s="33" t="s">
        <v>85</v>
      </c>
      <c r="B45" s="220">
        <f>B17</f>
        <v>1691</v>
      </c>
      <c r="C45" s="183">
        <f t="shared" si="11"/>
        <v>6434.4003548196333</v>
      </c>
      <c r="D45" s="183">
        <f t="shared" si="11"/>
        <v>3153.468361916026</v>
      </c>
      <c r="E45" s="183">
        <f t="shared" si="11"/>
        <v>1797.4240094618569</v>
      </c>
      <c r="F45" s="183">
        <f t="shared" si="11"/>
        <v>8147.4618568894148</v>
      </c>
      <c r="G45" s="183">
        <f t="shared" si="11"/>
        <v>1796.7179183914843</v>
      </c>
      <c r="H45" s="183">
        <f t="shared" si="12"/>
        <v>21329.472501478416</v>
      </c>
      <c r="I45" s="182"/>
      <c r="J45" s="182"/>
    </row>
    <row r="46" spans="1:10" x14ac:dyDescent="0.2">
      <c r="A46" s="33" t="s">
        <v>172</v>
      </c>
      <c r="B46" s="221">
        <f>SUM(B41:B45)</f>
        <v>38854</v>
      </c>
      <c r="C46" s="182">
        <f t="shared" si="11"/>
        <v>3382.9169197508622</v>
      </c>
      <c r="D46" s="182">
        <f t="shared" si="11"/>
        <v>1224.9067534874143</v>
      </c>
      <c r="E46" s="182">
        <f t="shared" si="11"/>
        <v>1031.0743295413599</v>
      </c>
      <c r="F46" s="182">
        <f t="shared" si="11"/>
        <v>5069.9359911463425</v>
      </c>
      <c r="G46" s="182">
        <f t="shared" si="11"/>
        <v>1008.6385700313996</v>
      </c>
      <c r="H46" s="182">
        <f t="shared" si="12"/>
        <v>11717.472563957379</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10244</v>
      </c>
      <c r="C49" s="182">
        <f t="shared" ref="C49:G51" si="13">C21/$B49</f>
        <v>2221.8909605622803</v>
      </c>
      <c r="D49" s="182">
        <f t="shared" si="13"/>
        <v>1300.5825849277626</v>
      </c>
      <c r="E49" s="182">
        <f t="shared" si="13"/>
        <v>892.70255759468955</v>
      </c>
      <c r="F49" s="182">
        <f t="shared" si="13"/>
        <v>4706.5951776649745</v>
      </c>
      <c r="G49" s="182">
        <f t="shared" si="13"/>
        <v>970.77459976571652</v>
      </c>
      <c r="H49" s="182">
        <f>H21/$B49</f>
        <v>10092.545880515423</v>
      </c>
      <c r="I49" s="182"/>
      <c r="J49" s="182"/>
    </row>
    <row r="50" spans="1:10" x14ac:dyDescent="0.2">
      <c r="A50" s="33" t="s">
        <v>87</v>
      </c>
      <c r="B50" s="220">
        <f>B22</f>
        <v>7243</v>
      </c>
      <c r="C50" s="183">
        <f t="shared" si="13"/>
        <v>3937.6963965207788</v>
      </c>
      <c r="D50" s="183">
        <f t="shared" si="13"/>
        <v>2274.9435316857657</v>
      </c>
      <c r="E50" s="183">
        <f t="shared" si="13"/>
        <v>1273.2562474112938</v>
      </c>
      <c r="F50" s="183">
        <f t="shared" si="13"/>
        <v>5480.7302222835842</v>
      </c>
      <c r="G50" s="183">
        <f t="shared" si="13"/>
        <v>1455.8402595609555</v>
      </c>
      <c r="H50" s="183">
        <f>H22/$B50</f>
        <v>14422.466657462377</v>
      </c>
      <c r="I50" s="182"/>
      <c r="J50" s="182"/>
    </row>
    <row r="51" spans="1:10" x14ac:dyDescent="0.2">
      <c r="A51" s="33" t="s">
        <v>173</v>
      </c>
      <c r="B51" s="221">
        <f>SUM(B49:B50)</f>
        <v>17487</v>
      </c>
      <c r="C51" s="182">
        <f t="shared" si="13"/>
        <v>2932.5662492137017</v>
      </c>
      <c r="D51" s="182">
        <f t="shared" si="13"/>
        <v>1704.1564590838909</v>
      </c>
      <c r="E51" s="182">
        <f t="shared" si="13"/>
        <v>1050.3253845713959</v>
      </c>
      <c r="F51" s="182">
        <f t="shared" si="13"/>
        <v>5027.2368044833302</v>
      </c>
      <c r="G51" s="182">
        <f t="shared" si="13"/>
        <v>1171.6855950134386</v>
      </c>
      <c r="H51" s="182">
        <f>H23/$B51</f>
        <v>11885.970492365757</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147705</v>
      </c>
      <c r="C53" s="192">
        <f t="shared" ref="C53:G53" si="14">C25/$B53</f>
        <v>2734.1371179039302</v>
      </c>
      <c r="D53" s="192">
        <f t="shared" si="14"/>
        <v>1002.0379134084832</v>
      </c>
      <c r="E53" s="192">
        <f t="shared" si="14"/>
        <v>922.77256694086191</v>
      </c>
      <c r="F53" s="192">
        <f t="shared" si="14"/>
        <v>4645.3485867099962</v>
      </c>
      <c r="G53" s="192">
        <f t="shared" si="14"/>
        <v>1330.6429030838497</v>
      </c>
      <c r="H53" s="192">
        <f>H25/$B53</f>
        <v>10634.93908804712</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FY13</v>
      </c>
      <c r="I57" s="202"/>
      <c r="J57" s="182"/>
    </row>
    <row r="58" spans="1:10" ht="22.5" x14ac:dyDescent="0.2">
      <c r="A58" s="20" t="s">
        <v>245</v>
      </c>
      <c r="B58" s="21"/>
      <c r="C58" s="202" t="str">
        <f t="shared" ref="C58:G58" si="15">C3</f>
        <v>13/Pupil Property Tax</v>
      </c>
      <c r="D58" s="202" t="str">
        <f t="shared" si="15"/>
        <v>13/Pupil Non Levy Revenue</v>
      </c>
      <c r="E58" s="202" t="str">
        <f t="shared" si="15"/>
        <v>13/Pupil County Revenue</v>
      </c>
      <c r="F58" s="202" t="str">
        <f t="shared" si="15"/>
        <v>13/Pupil State Revenue</v>
      </c>
      <c r="G58" s="202" t="str">
        <f t="shared" si="15"/>
        <v>13/Pupil Federal Revenue</v>
      </c>
      <c r="H58" s="202"/>
      <c r="I58" s="202"/>
    </row>
    <row r="59" spans="1:10" x14ac:dyDescent="0.2">
      <c r="A59" s="33" t="s">
        <v>102</v>
      </c>
      <c r="B59" s="221"/>
      <c r="C59" s="224">
        <f t="shared" ref="C59:G65" si="16">C32/$H32</f>
        <v>0.26658940041916823</v>
      </c>
      <c r="D59" s="224">
        <f t="shared" si="16"/>
        <v>6.2042613114671998E-2</v>
      </c>
      <c r="E59" s="224">
        <f t="shared" si="16"/>
        <v>9.2265421814643755E-2</v>
      </c>
      <c r="F59" s="224">
        <f t="shared" si="16"/>
        <v>0.46740702499283654</v>
      </c>
      <c r="G59" s="224">
        <f t="shared" si="16"/>
        <v>0.11169553965867957</v>
      </c>
      <c r="H59" s="313"/>
      <c r="I59" s="182"/>
    </row>
    <row r="60" spans="1:10" x14ac:dyDescent="0.2">
      <c r="A60" s="33" t="s">
        <v>76</v>
      </c>
      <c r="B60" s="221"/>
      <c r="C60" s="224">
        <f t="shared" si="16"/>
        <v>0.23200342537007712</v>
      </c>
      <c r="D60" s="224">
        <f t="shared" si="16"/>
        <v>6.5376585673398546E-2</v>
      </c>
      <c r="E60" s="224">
        <f t="shared" si="16"/>
        <v>8.2924273127197898E-2</v>
      </c>
      <c r="F60" s="224">
        <f t="shared" si="16"/>
        <v>0.44400599837235649</v>
      </c>
      <c r="G60" s="224">
        <f t="shared" si="16"/>
        <v>0.17568971745697007</v>
      </c>
      <c r="H60" s="313"/>
      <c r="I60" s="182"/>
    </row>
    <row r="61" spans="1:10" x14ac:dyDescent="0.2">
      <c r="A61" s="33" t="s">
        <v>77</v>
      </c>
      <c r="B61" s="221"/>
      <c r="C61" s="224">
        <f t="shared" si="16"/>
        <v>0.19062816241525724</v>
      </c>
      <c r="D61" s="224">
        <f t="shared" si="16"/>
        <v>6.8675359728109744E-2</v>
      </c>
      <c r="E61" s="224">
        <f t="shared" si="16"/>
        <v>7.6261828937006559E-2</v>
      </c>
      <c r="F61" s="224">
        <f t="shared" si="16"/>
        <v>0.44164970618763116</v>
      </c>
      <c r="G61" s="224">
        <f t="shared" si="16"/>
        <v>0.22278494273199537</v>
      </c>
      <c r="H61" s="313"/>
      <c r="I61" s="182"/>
    </row>
    <row r="62" spans="1:10" x14ac:dyDescent="0.2">
      <c r="A62" s="33" t="s">
        <v>78</v>
      </c>
      <c r="B62" s="221"/>
      <c r="C62" s="224">
        <f t="shared" si="16"/>
        <v>0.25201291318373592</v>
      </c>
      <c r="D62" s="224">
        <f t="shared" si="16"/>
        <v>0.10797848424423723</v>
      </c>
      <c r="E62" s="224">
        <f t="shared" si="16"/>
        <v>8.5010801754514975E-2</v>
      </c>
      <c r="F62" s="224">
        <f t="shared" si="16"/>
        <v>0.42520173696432095</v>
      </c>
      <c r="G62" s="224">
        <f t="shared" si="16"/>
        <v>0.12979606385319092</v>
      </c>
      <c r="H62" s="313"/>
      <c r="I62" s="182"/>
    </row>
    <row r="63" spans="1:10" x14ac:dyDescent="0.2">
      <c r="A63" s="33" t="s">
        <v>79</v>
      </c>
      <c r="B63" s="221"/>
      <c r="C63" s="224">
        <f t="shared" si="16"/>
        <v>0.23996308161824068</v>
      </c>
      <c r="D63" s="224">
        <f t="shared" si="16"/>
        <v>0.14511151354698851</v>
      </c>
      <c r="E63" s="224">
        <f t="shared" si="16"/>
        <v>8.2531748427135898E-2</v>
      </c>
      <c r="F63" s="224">
        <f t="shared" si="16"/>
        <v>0.35736614225380048</v>
      </c>
      <c r="G63" s="224">
        <f t="shared" si="16"/>
        <v>0.17502751415383444</v>
      </c>
      <c r="H63" s="313"/>
      <c r="I63" s="182"/>
    </row>
    <row r="64" spans="1:10" x14ac:dyDescent="0.2">
      <c r="A64" s="33" t="s">
        <v>80</v>
      </c>
      <c r="B64" s="221"/>
      <c r="C64" s="225">
        <f t="shared" si="16"/>
        <v>0.27562808955599466</v>
      </c>
      <c r="D64" s="225">
        <f t="shared" si="16"/>
        <v>0.13110032260867627</v>
      </c>
      <c r="E64" s="225">
        <f t="shared" si="16"/>
        <v>8.1403603274888284E-2</v>
      </c>
      <c r="F64" s="225">
        <f t="shared" si="16"/>
        <v>0.35915153094167468</v>
      </c>
      <c r="G64" s="225">
        <f t="shared" si="16"/>
        <v>0.1527164536187661</v>
      </c>
      <c r="H64" s="313"/>
      <c r="I64" s="182"/>
    </row>
    <row r="65" spans="1:9" x14ac:dyDescent="0.2">
      <c r="A65" s="33" t="s">
        <v>171</v>
      </c>
      <c r="B65" s="221"/>
      <c r="C65" s="224">
        <f t="shared" si="16"/>
        <v>0.24360571564030856</v>
      </c>
      <c r="D65" s="224">
        <f t="shared" si="16"/>
        <v>7.779209555538022E-2</v>
      </c>
      <c r="E65" s="224">
        <f t="shared" si="16"/>
        <v>8.5786715811097106E-2</v>
      </c>
      <c r="F65" s="224">
        <f t="shared" si="16"/>
        <v>0.44203687224131766</v>
      </c>
      <c r="G65" s="224">
        <f t="shared" si="16"/>
        <v>0.15077860075189645</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7">C41/$H41</f>
        <v>0.3104795620445186</v>
      </c>
      <c r="D68" s="224">
        <f t="shared" si="17"/>
        <v>8.3270083054377692E-2</v>
      </c>
      <c r="E68" s="224">
        <f t="shared" si="17"/>
        <v>9.113224713051582E-2</v>
      </c>
      <c r="F68" s="224">
        <f t="shared" si="17"/>
        <v>0.44945988834008221</v>
      </c>
      <c r="G68" s="224">
        <f t="shared" si="17"/>
        <v>6.565821943050569E-2</v>
      </c>
      <c r="H68" s="313"/>
      <c r="I68" s="182"/>
    </row>
    <row r="69" spans="1:9" x14ac:dyDescent="0.2">
      <c r="A69" s="33" t="s">
        <v>82</v>
      </c>
      <c r="B69" s="221"/>
      <c r="C69" s="224">
        <f t="shared" si="17"/>
        <v>0.27470937754793584</v>
      </c>
      <c r="D69" s="224">
        <f t="shared" si="17"/>
        <v>0.13787489889933371</v>
      </c>
      <c r="E69" s="224">
        <f t="shared" si="17"/>
        <v>8.3630961862267705E-2</v>
      </c>
      <c r="F69" s="224">
        <f t="shared" si="17"/>
        <v>0.40169237444711753</v>
      </c>
      <c r="G69" s="224">
        <f t="shared" si="17"/>
        <v>0.10209238724334518</v>
      </c>
      <c r="H69" s="313"/>
      <c r="I69" s="182"/>
    </row>
    <row r="70" spans="1:9" x14ac:dyDescent="0.2">
      <c r="A70" s="33" t="s">
        <v>83</v>
      </c>
      <c r="B70" s="221"/>
      <c r="C70" s="224">
        <f t="shared" si="17"/>
        <v>0.26070041605905231</v>
      </c>
      <c r="D70" s="224">
        <f t="shared" si="17"/>
        <v>0.10442127697156077</v>
      </c>
      <c r="E70" s="224">
        <f t="shared" si="17"/>
        <v>8.4057831994982082E-2</v>
      </c>
      <c r="F70" s="224">
        <f t="shared" si="17"/>
        <v>0.45185888892355625</v>
      </c>
      <c r="G70" s="224">
        <f t="shared" si="17"/>
        <v>9.8961586050848607E-2</v>
      </c>
      <c r="H70" s="313"/>
      <c r="I70" s="182"/>
    </row>
    <row r="71" spans="1:9" x14ac:dyDescent="0.2">
      <c r="A71" s="33" t="s">
        <v>84</v>
      </c>
      <c r="B71" s="221"/>
      <c r="C71" s="224">
        <f t="shared" si="17"/>
        <v>0.25038551467148751</v>
      </c>
      <c r="D71" s="224">
        <f t="shared" si="17"/>
        <v>0.11331889842508146</v>
      </c>
      <c r="E71" s="224">
        <f t="shared" si="17"/>
        <v>8.7707467833361502E-2</v>
      </c>
      <c r="F71" s="224">
        <f t="shared" si="17"/>
        <v>0.42486223987556127</v>
      </c>
      <c r="G71" s="224">
        <f t="shared" si="17"/>
        <v>0.12372587919450821</v>
      </c>
      <c r="H71" s="313"/>
      <c r="I71" s="182"/>
    </row>
    <row r="72" spans="1:9" x14ac:dyDescent="0.2">
      <c r="A72" s="33" t="s">
        <v>85</v>
      </c>
      <c r="B72" s="221"/>
      <c r="C72" s="225">
        <f t="shared" si="17"/>
        <v>0.30166711128808477</v>
      </c>
      <c r="D72" s="225">
        <f t="shared" si="17"/>
        <v>0.14784558604051032</v>
      </c>
      <c r="E72" s="225">
        <f t="shared" si="17"/>
        <v>8.4269501242343031E-2</v>
      </c>
      <c r="F72" s="225">
        <f t="shared" si="17"/>
        <v>0.38198140419669013</v>
      </c>
      <c r="G72" s="225">
        <f t="shared" si="17"/>
        <v>8.4236397232371682E-2</v>
      </c>
      <c r="H72" s="313"/>
      <c r="I72" s="182"/>
    </row>
    <row r="73" spans="1:9" x14ac:dyDescent="0.2">
      <c r="A73" s="33" t="s">
        <v>172</v>
      </c>
      <c r="B73" s="221"/>
      <c r="C73" s="224">
        <f t="shared" si="17"/>
        <v>0.28870704849411133</v>
      </c>
      <c r="D73" s="224">
        <f t="shared" si="17"/>
        <v>0.10453677162899391</v>
      </c>
      <c r="E73" s="224">
        <f t="shared" si="17"/>
        <v>8.7994601558779501E-2</v>
      </c>
      <c r="F73" s="224">
        <f t="shared" si="17"/>
        <v>0.43268170362449365</v>
      </c>
      <c r="G73" s="224">
        <f t="shared" si="17"/>
        <v>8.607987469362155E-2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8">C49/$H49</f>
        <v>0.2201516829219318</v>
      </c>
      <c r="D76" s="224">
        <f t="shared" si="18"/>
        <v>0.1288656598964445</v>
      </c>
      <c r="E76" s="224">
        <f t="shared" si="18"/>
        <v>8.8451671972889709E-2</v>
      </c>
      <c r="F76" s="224">
        <f t="shared" si="18"/>
        <v>0.4663436989423535</v>
      </c>
      <c r="G76" s="224">
        <f t="shared" si="18"/>
        <v>9.6187286266380526E-2</v>
      </c>
      <c r="H76" s="313"/>
      <c r="I76" s="182"/>
    </row>
    <row r="77" spans="1:9" x14ac:dyDescent="0.2">
      <c r="A77" s="33" t="s">
        <v>87</v>
      </c>
      <c r="B77" s="221"/>
      <c r="C77" s="225">
        <f t="shared" si="18"/>
        <v>0.27302516899793711</v>
      </c>
      <c r="D77" s="225">
        <f t="shared" si="18"/>
        <v>0.15773609228686825</v>
      </c>
      <c r="E77" s="225">
        <f t="shared" si="18"/>
        <v>8.8282835221705575E-2</v>
      </c>
      <c r="F77" s="225">
        <f t="shared" si="18"/>
        <v>0.38001337444228245</v>
      </c>
      <c r="G77" s="225">
        <f t="shared" si="18"/>
        <v>0.10094252905120667</v>
      </c>
      <c r="H77" s="313"/>
      <c r="I77" s="182"/>
    </row>
    <row r="78" spans="1:9" x14ac:dyDescent="0.2">
      <c r="A78" s="33" t="s">
        <v>173</v>
      </c>
      <c r="B78" s="221"/>
      <c r="C78" s="224">
        <f t="shared" si="18"/>
        <v>0.24672501510055575</v>
      </c>
      <c r="D78" s="224">
        <f t="shared" si="18"/>
        <v>0.14337545766064741</v>
      </c>
      <c r="E78" s="224">
        <f t="shared" si="18"/>
        <v>8.8366817437920589E-2</v>
      </c>
      <c r="F78" s="224">
        <f t="shared" si="18"/>
        <v>0.42295551782770074</v>
      </c>
      <c r="G78" s="224">
        <f t="shared" si="18"/>
        <v>9.8577191973175507E-2</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0.25709005902787885</v>
      </c>
      <c r="D80" s="226">
        <f>D53/$H53</f>
        <v>9.4221311952289333E-2</v>
      </c>
      <c r="E80" s="226">
        <f>E53/$H53</f>
        <v>8.6768016187134492E-2</v>
      </c>
      <c r="F80" s="226">
        <f>F53/$H53</f>
        <v>0.4368006763603397</v>
      </c>
      <c r="G80" s="226">
        <f>G53/$H53</f>
        <v>0.12511993647235772</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82"/>
  <sheetViews>
    <sheetView zoomScaleNormal="100" workbookViewId="0">
      <selection activeCell="K3" sqref="K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1.28515625" bestFit="1" customWidth="1"/>
    <col min="10" max="10" width="11.42578125" bestFit="1" customWidth="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36" t="s">
        <v>200</v>
      </c>
      <c r="B1" s="36"/>
      <c r="C1" s="22"/>
      <c r="D1" s="22"/>
      <c r="E1" s="22"/>
      <c r="F1" s="22"/>
      <c r="G1" s="22"/>
      <c r="H1" s="22"/>
      <c r="I1" s="22"/>
      <c r="J1" s="22"/>
    </row>
    <row r="2" spans="1:27" x14ac:dyDescent="0.2">
      <c r="A2" s="36" t="s">
        <v>8</v>
      </c>
      <c r="B2" s="239"/>
      <c r="C2" s="22" t="s">
        <v>1154</v>
      </c>
      <c r="D2" s="22"/>
      <c r="E2" s="22"/>
      <c r="F2" s="22"/>
      <c r="G2" s="22"/>
      <c r="H2" s="22"/>
      <c r="I2" s="22"/>
      <c r="J2" s="22"/>
    </row>
    <row r="3" spans="1:27" ht="42.75" x14ac:dyDescent="0.2">
      <c r="A3" s="20" t="s">
        <v>245</v>
      </c>
      <c r="B3" s="21" t="s">
        <v>1130</v>
      </c>
      <c r="C3" s="202" t="s">
        <v>1155</v>
      </c>
      <c r="D3" s="202" t="s">
        <v>1156</v>
      </c>
      <c r="E3" s="202" t="s">
        <v>1157</v>
      </c>
      <c r="F3" s="202" t="s">
        <v>1158</v>
      </c>
      <c r="G3" s="202" t="s">
        <v>1159</v>
      </c>
      <c r="H3" s="202" t="s">
        <v>1160</v>
      </c>
      <c r="I3" s="202" t="s">
        <v>1161</v>
      </c>
      <c r="J3" s="202" t="s">
        <v>1162</v>
      </c>
      <c r="K3" s="202" t="s">
        <v>1163</v>
      </c>
      <c r="M3" s="287"/>
      <c r="N3" s="278"/>
      <c r="O3" s="290"/>
      <c r="P3" s="290"/>
      <c r="Q3" s="290"/>
      <c r="R3" s="290"/>
      <c r="S3" s="290"/>
      <c r="T3" s="290"/>
      <c r="U3" s="290"/>
    </row>
    <row r="4" spans="1:27" ht="15" x14ac:dyDescent="0.25">
      <c r="A4" s="33" t="s">
        <v>102</v>
      </c>
      <c r="B4" s="214">
        <v>38250</v>
      </c>
      <c r="C4" s="214">
        <v>91404570</v>
      </c>
      <c r="D4" s="214">
        <v>19624957</v>
      </c>
      <c r="E4" s="214">
        <v>30799357</v>
      </c>
      <c r="F4" s="214">
        <v>155662958</v>
      </c>
      <c r="G4" s="214">
        <v>38054577</v>
      </c>
      <c r="H4" s="214">
        <v>231822</v>
      </c>
      <c r="I4" s="229">
        <f t="shared" ref="I4:I9" si="0">SUM(C4:H4)</f>
        <v>335778241</v>
      </c>
      <c r="J4" s="214">
        <f t="shared" ref="J4:J10" si="1">I4/B4</f>
        <v>8778.5161045751629</v>
      </c>
      <c r="K4" s="214">
        <f t="shared" ref="K4:K10" si="2">SUM(C4:G4)/B4</f>
        <v>8772.4553986928113</v>
      </c>
      <c r="M4" s="283"/>
      <c r="N4" s="289"/>
      <c r="O4" s="289"/>
      <c r="P4" s="289"/>
      <c r="Q4" s="289"/>
      <c r="R4" s="289"/>
      <c r="S4" s="289"/>
      <c r="T4" s="289"/>
      <c r="U4" s="289"/>
      <c r="V4" s="268"/>
      <c r="W4" s="268"/>
      <c r="X4" s="268"/>
      <c r="Y4" s="268"/>
      <c r="Z4" s="268"/>
      <c r="AA4" s="268"/>
    </row>
    <row r="5" spans="1:27" ht="15" x14ac:dyDescent="0.25">
      <c r="A5" s="33" t="s">
        <v>76</v>
      </c>
      <c r="B5" s="214">
        <v>17543</v>
      </c>
      <c r="C5" s="214">
        <v>41268800</v>
      </c>
      <c r="D5" s="214">
        <v>9064394</v>
      </c>
      <c r="E5" s="214">
        <v>14493526</v>
      </c>
      <c r="F5" s="214">
        <v>77776956</v>
      </c>
      <c r="G5" s="214">
        <v>33383046</v>
      </c>
      <c r="H5" s="214">
        <v>169180</v>
      </c>
      <c r="I5" s="229">
        <f t="shared" si="0"/>
        <v>176155902</v>
      </c>
      <c r="J5" s="214">
        <f t="shared" si="1"/>
        <v>10041.378441543635</v>
      </c>
      <c r="K5" s="214">
        <f t="shared" si="2"/>
        <v>10031.734709000741</v>
      </c>
      <c r="M5" s="283"/>
      <c r="N5" s="289"/>
      <c r="O5" s="289"/>
      <c r="P5" s="289"/>
      <c r="Q5" s="289"/>
      <c r="R5" s="289"/>
      <c r="S5" s="289"/>
      <c r="T5" s="289"/>
      <c r="U5" s="289"/>
      <c r="V5" s="268"/>
      <c r="W5" s="268"/>
      <c r="X5" s="268"/>
      <c r="Y5" s="268"/>
      <c r="Z5" s="268"/>
      <c r="AA5" s="268"/>
    </row>
    <row r="6" spans="1:27" ht="15" x14ac:dyDescent="0.25">
      <c r="A6" s="33" t="s">
        <v>77</v>
      </c>
      <c r="B6" s="214">
        <v>14801</v>
      </c>
      <c r="C6" s="214">
        <v>31506914</v>
      </c>
      <c r="D6" s="214">
        <v>15978128</v>
      </c>
      <c r="E6" s="214">
        <v>12860908</v>
      </c>
      <c r="F6" s="214">
        <v>65721793</v>
      </c>
      <c r="G6" s="214">
        <v>28661398</v>
      </c>
      <c r="H6" s="214">
        <v>288155</v>
      </c>
      <c r="I6" s="229">
        <f t="shared" si="0"/>
        <v>155017296</v>
      </c>
      <c r="J6" s="214">
        <f t="shared" si="1"/>
        <v>10473.433957165056</v>
      </c>
      <c r="K6" s="214">
        <f t="shared" si="2"/>
        <v>10453.965340179717</v>
      </c>
      <c r="M6" s="283"/>
      <c r="N6" s="289"/>
      <c r="O6" s="289"/>
      <c r="P6" s="289"/>
      <c r="Q6" s="289"/>
      <c r="R6" s="289"/>
      <c r="S6" s="289"/>
      <c r="T6" s="289"/>
      <c r="U6" s="289"/>
      <c r="V6" s="268"/>
      <c r="W6" s="268"/>
      <c r="X6" s="268"/>
      <c r="Y6" s="268"/>
      <c r="Z6" s="268"/>
      <c r="AA6" s="268"/>
    </row>
    <row r="7" spans="1:27" ht="15" x14ac:dyDescent="0.25">
      <c r="A7" s="33" t="s">
        <v>78</v>
      </c>
      <c r="B7" s="214">
        <v>13300</v>
      </c>
      <c r="C7" s="214">
        <v>31993111</v>
      </c>
      <c r="D7" s="214">
        <v>12484841</v>
      </c>
      <c r="E7" s="214">
        <v>11028715</v>
      </c>
      <c r="F7" s="214">
        <v>57618717</v>
      </c>
      <c r="G7" s="214">
        <v>19937584</v>
      </c>
      <c r="H7" s="214">
        <v>578521</v>
      </c>
      <c r="I7" s="229">
        <f t="shared" si="0"/>
        <v>133641489</v>
      </c>
      <c r="J7" s="214">
        <f t="shared" si="1"/>
        <v>10048.232255639097</v>
      </c>
      <c r="K7" s="214">
        <f t="shared" si="2"/>
        <v>10004.734436090226</v>
      </c>
      <c r="M7" s="283"/>
      <c r="N7" s="289"/>
      <c r="O7" s="289"/>
      <c r="P7" s="289"/>
      <c r="Q7" s="289"/>
      <c r="R7" s="289"/>
      <c r="S7" s="289"/>
      <c r="T7" s="289"/>
      <c r="U7" s="289"/>
      <c r="V7" s="268"/>
      <c r="W7" s="268"/>
      <c r="X7" s="268"/>
      <c r="Y7" s="268"/>
      <c r="Z7" s="268"/>
      <c r="AA7" s="268"/>
    </row>
    <row r="8" spans="1:27" ht="15" x14ac:dyDescent="0.25">
      <c r="A8" s="33" t="s">
        <v>79</v>
      </c>
      <c r="B8" s="214">
        <v>4966</v>
      </c>
      <c r="C8" s="214">
        <v>15156169</v>
      </c>
      <c r="D8" s="214">
        <v>6755092</v>
      </c>
      <c r="E8" s="214">
        <v>5065216</v>
      </c>
      <c r="F8" s="214">
        <v>23328744</v>
      </c>
      <c r="G8" s="214">
        <v>10761704</v>
      </c>
      <c r="H8" s="214">
        <v>153097</v>
      </c>
      <c r="I8" s="229">
        <f t="shared" si="0"/>
        <v>61220022</v>
      </c>
      <c r="J8" s="214">
        <f t="shared" si="1"/>
        <v>12327.833668948851</v>
      </c>
      <c r="K8" s="214">
        <f t="shared" si="2"/>
        <v>12297.004631494161</v>
      </c>
      <c r="M8" s="283"/>
      <c r="N8" s="289"/>
      <c r="O8" s="289"/>
      <c r="P8" s="289"/>
      <c r="Q8" s="289"/>
      <c r="R8" s="289"/>
      <c r="S8" s="289"/>
      <c r="T8" s="289"/>
      <c r="U8" s="289"/>
      <c r="V8" s="268"/>
      <c r="W8" s="268"/>
      <c r="X8" s="268"/>
      <c r="Y8" s="268"/>
      <c r="Z8" s="268"/>
      <c r="AA8" s="268"/>
    </row>
    <row r="9" spans="1:27" ht="15" x14ac:dyDescent="0.25">
      <c r="A9" s="33" t="s">
        <v>80</v>
      </c>
      <c r="B9" s="220">
        <v>1664</v>
      </c>
      <c r="C9" s="220">
        <v>5216276</v>
      </c>
      <c r="D9" s="220">
        <v>2443236</v>
      </c>
      <c r="E9" s="220">
        <v>1499876</v>
      </c>
      <c r="F9" s="220">
        <v>6844741</v>
      </c>
      <c r="G9" s="220">
        <v>3008499</v>
      </c>
      <c r="H9" s="220">
        <v>32718</v>
      </c>
      <c r="I9" s="238">
        <f t="shared" si="0"/>
        <v>19045346</v>
      </c>
      <c r="J9" s="220">
        <f t="shared" si="1"/>
        <v>11445.520432692309</v>
      </c>
      <c r="K9" s="220">
        <f t="shared" si="2"/>
        <v>11425.858173076924</v>
      </c>
      <c r="M9" s="283"/>
      <c r="N9" s="289"/>
      <c r="O9" s="289"/>
      <c r="P9" s="289"/>
      <c r="Q9" s="289"/>
      <c r="R9" s="289"/>
      <c r="S9" s="289"/>
      <c r="T9" s="289"/>
      <c r="U9" s="289"/>
      <c r="V9" s="268"/>
      <c r="W9" s="268"/>
      <c r="X9" s="268"/>
      <c r="Y9" s="268"/>
      <c r="Z9" s="268"/>
      <c r="AA9" s="268"/>
    </row>
    <row r="10" spans="1:27" x14ac:dyDescent="0.2">
      <c r="A10" s="33" t="s">
        <v>171</v>
      </c>
      <c r="B10" s="229">
        <f t="shared" ref="B10:I10" si="3">SUM(B4:B9)</f>
        <v>90524</v>
      </c>
      <c r="C10" s="229">
        <f t="shared" si="3"/>
        <v>216545840</v>
      </c>
      <c r="D10" s="229">
        <f t="shared" si="3"/>
        <v>66350648</v>
      </c>
      <c r="E10" s="229">
        <f t="shared" si="3"/>
        <v>75747598</v>
      </c>
      <c r="F10" s="229">
        <f t="shared" si="3"/>
        <v>386953909</v>
      </c>
      <c r="G10" s="229">
        <f t="shared" si="3"/>
        <v>133806808</v>
      </c>
      <c r="H10" s="229">
        <f t="shared" si="3"/>
        <v>1453493</v>
      </c>
      <c r="I10" s="229">
        <f t="shared" si="3"/>
        <v>880858296</v>
      </c>
      <c r="J10" s="214">
        <f t="shared" si="1"/>
        <v>9730.6603331713141</v>
      </c>
      <c r="K10" s="214">
        <f t="shared" si="2"/>
        <v>9714.6038950996426</v>
      </c>
      <c r="M10" s="287"/>
      <c r="N10" s="287"/>
      <c r="O10" s="287"/>
      <c r="P10" s="287"/>
      <c r="Q10" s="287"/>
      <c r="R10" s="287"/>
      <c r="S10" s="287"/>
      <c r="T10" s="287"/>
      <c r="U10" s="287"/>
      <c r="V10" s="268"/>
      <c r="W10" s="268"/>
      <c r="X10" s="268"/>
      <c r="Y10" s="268"/>
      <c r="Z10" s="268"/>
      <c r="AA10" s="268"/>
    </row>
    <row r="11" spans="1:27" x14ac:dyDescent="0.2">
      <c r="A11" s="33"/>
      <c r="B11" s="229"/>
      <c r="C11" s="214"/>
      <c r="D11" s="214"/>
      <c r="E11" s="214"/>
      <c r="F11" s="214"/>
      <c r="G11" s="214"/>
      <c r="H11" s="214"/>
      <c r="I11" s="214"/>
      <c r="J11" s="214"/>
      <c r="K11" s="214"/>
      <c r="M11" s="287"/>
      <c r="N11" s="287"/>
      <c r="O11" s="287"/>
      <c r="P11" s="287"/>
      <c r="Q11" s="287"/>
      <c r="R11" s="287"/>
      <c r="S11" s="287"/>
      <c r="T11" s="287"/>
      <c r="U11" s="287"/>
      <c r="V11" s="268"/>
      <c r="W11" s="268"/>
      <c r="X11" s="268"/>
      <c r="Y11" s="268"/>
      <c r="Z11" s="268"/>
      <c r="AA11" s="268"/>
    </row>
    <row r="12" spans="1:27" x14ac:dyDescent="0.2">
      <c r="A12" s="33"/>
      <c r="B12" s="229"/>
      <c r="C12" s="214"/>
      <c r="D12" s="214"/>
      <c r="E12" s="214"/>
      <c r="F12" s="214"/>
      <c r="G12" s="214"/>
      <c r="H12" s="214"/>
      <c r="I12" s="214"/>
      <c r="J12" s="214"/>
      <c r="K12" s="214"/>
      <c r="M12" s="287"/>
      <c r="N12" s="287"/>
      <c r="O12" s="287"/>
      <c r="P12" s="287"/>
      <c r="Q12" s="287"/>
      <c r="R12" s="287"/>
      <c r="S12" s="287"/>
      <c r="T12" s="287"/>
      <c r="U12" s="287"/>
      <c r="V12" s="268"/>
      <c r="W12" s="268"/>
      <c r="X12" s="268"/>
      <c r="Y12" s="268"/>
      <c r="Z12" s="268"/>
      <c r="AA12" s="268"/>
    </row>
    <row r="13" spans="1:27" ht="15" x14ac:dyDescent="0.25">
      <c r="A13" s="33" t="s">
        <v>81</v>
      </c>
      <c r="B13" s="214">
        <v>21593</v>
      </c>
      <c r="C13" s="214">
        <v>70544769</v>
      </c>
      <c r="D13" s="214">
        <v>17414503</v>
      </c>
      <c r="E13" s="214">
        <v>19049211</v>
      </c>
      <c r="F13" s="214">
        <v>95699839</v>
      </c>
      <c r="G13" s="214">
        <v>15246843</v>
      </c>
      <c r="H13" s="214">
        <v>897686</v>
      </c>
      <c r="I13" s="229">
        <f>SUM(C13:H13)</f>
        <v>218852851</v>
      </c>
      <c r="J13" s="214">
        <f t="shared" ref="J13:J18" si="4">I13/B13</f>
        <v>10135.361042930579</v>
      </c>
      <c r="K13" s="214">
        <f t="shared" ref="K13:K18" si="5">SUM(C13:G13)/B13</f>
        <v>10093.788033158895</v>
      </c>
      <c r="M13" s="283"/>
      <c r="N13" s="289"/>
      <c r="O13" s="289"/>
      <c r="P13" s="289"/>
      <c r="Q13" s="289"/>
      <c r="R13" s="289"/>
      <c r="S13" s="289"/>
      <c r="T13" s="289"/>
      <c r="U13" s="289"/>
      <c r="V13" s="268"/>
      <c r="W13" s="268"/>
      <c r="X13" s="268"/>
      <c r="Y13" s="268"/>
      <c r="Z13" s="268"/>
      <c r="AA13" s="268"/>
    </row>
    <row r="14" spans="1:27" ht="15" x14ac:dyDescent="0.25">
      <c r="A14" s="33" t="s">
        <v>82</v>
      </c>
      <c r="B14" s="214">
        <v>6158</v>
      </c>
      <c r="C14" s="214">
        <v>18421485</v>
      </c>
      <c r="D14" s="214">
        <v>5801708</v>
      </c>
      <c r="E14" s="214">
        <v>6117861</v>
      </c>
      <c r="F14" s="214">
        <v>28558380</v>
      </c>
      <c r="G14" s="214">
        <v>6602791</v>
      </c>
      <c r="H14" s="214">
        <v>0</v>
      </c>
      <c r="I14" s="229">
        <f>SUM(C14:H14)</f>
        <v>65502225</v>
      </c>
      <c r="J14" s="214">
        <f t="shared" si="4"/>
        <v>10636.931633647288</v>
      </c>
      <c r="K14" s="214">
        <f t="shared" si="5"/>
        <v>10636.931633647288</v>
      </c>
      <c r="M14" s="283"/>
      <c r="N14" s="289"/>
      <c r="O14" s="289"/>
      <c r="P14" s="289"/>
      <c r="Q14" s="289"/>
      <c r="R14" s="289"/>
      <c r="S14" s="289"/>
      <c r="T14" s="289"/>
      <c r="U14" s="289"/>
      <c r="V14" s="268"/>
      <c r="W14" s="268"/>
      <c r="X14" s="268"/>
      <c r="Y14" s="268"/>
      <c r="Z14" s="268"/>
      <c r="AA14" s="268"/>
    </row>
    <row r="15" spans="1:27" ht="15" x14ac:dyDescent="0.25">
      <c r="A15" s="33" t="s">
        <v>83</v>
      </c>
      <c r="B15" s="214">
        <v>5197</v>
      </c>
      <c r="C15" s="214">
        <v>14994600</v>
      </c>
      <c r="D15" s="214">
        <v>10372076</v>
      </c>
      <c r="E15" s="214">
        <v>4969874</v>
      </c>
      <c r="F15" s="214">
        <v>26334834</v>
      </c>
      <c r="G15" s="214">
        <v>3323831</v>
      </c>
      <c r="H15" s="214">
        <v>242904</v>
      </c>
      <c r="I15" s="229">
        <f>SUM(C15:H15)</f>
        <v>60238119</v>
      </c>
      <c r="J15" s="214">
        <f t="shared" si="4"/>
        <v>11590.940735039447</v>
      </c>
      <c r="K15" s="214">
        <f t="shared" si="5"/>
        <v>11544.201462382143</v>
      </c>
      <c r="M15" s="283"/>
      <c r="N15" s="289"/>
      <c r="O15" s="289"/>
      <c r="P15" s="289"/>
      <c r="Q15" s="289"/>
      <c r="R15" s="289"/>
      <c r="S15" s="289"/>
      <c r="T15" s="289"/>
      <c r="U15" s="289"/>
      <c r="V15" s="268"/>
      <c r="W15" s="268"/>
      <c r="X15" s="268"/>
      <c r="Y15" s="268"/>
      <c r="Z15" s="268"/>
      <c r="AA15" s="268"/>
    </row>
    <row r="16" spans="1:27" ht="15" x14ac:dyDescent="0.25">
      <c r="A16" s="33" t="s">
        <v>84</v>
      </c>
      <c r="B16" s="214">
        <v>5184</v>
      </c>
      <c r="C16" s="214">
        <v>17403109</v>
      </c>
      <c r="D16" s="214">
        <v>9343886</v>
      </c>
      <c r="E16" s="214">
        <v>6166245</v>
      </c>
      <c r="F16" s="214">
        <v>31834939</v>
      </c>
      <c r="G16" s="214">
        <v>9240575</v>
      </c>
      <c r="H16" s="214">
        <v>430170</v>
      </c>
      <c r="I16" s="229">
        <f>SUM(C16:H16)</f>
        <v>74418924</v>
      </c>
      <c r="J16" s="214">
        <f t="shared" si="4"/>
        <v>14355.502314814816</v>
      </c>
      <c r="K16" s="214">
        <f t="shared" si="5"/>
        <v>14272.521990740741</v>
      </c>
      <c r="M16" s="283"/>
      <c r="N16" s="289"/>
      <c r="O16" s="289"/>
      <c r="P16" s="289"/>
      <c r="Q16" s="289"/>
      <c r="R16" s="289"/>
      <c r="S16" s="289"/>
      <c r="T16" s="289"/>
      <c r="U16" s="289"/>
      <c r="V16" s="268"/>
      <c r="W16" s="268"/>
      <c r="X16" s="268"/>
      <c r="Y16" s="268"/>
      <c r="Z16" s="268"/>
      <c r="AA16" s="268"/>
    </row>
    <row r="17" spans="1:27" ht="15" x14ac:dyDescent="0.25">
      <c r="A17" s="33" t="s">
        <v>85</v>
      </c>
      <c r="B17" s="220">
        <v>1583</v>
      </c>
      <c r="C17" s="220">
        <v>9689896</v>
      </c>
      <c r="D17" s="220">
        <v>4415104</v>
      </c>
      <c r="E17" s="220">
        <v>2681031</v>
      </c>
      <c r="F17" s="220">
        <v>12668628</v>
      </c>
      <c r="G17" s="220">
        <v>3611330</v>
      </c>
      <c r="H17" s="220">
        <v>241772</v>
      </c>
      <c r="I17" s="238">
        <f>SUM(C17:H17)</f>
        <v>33307761</v>
      </c>
      <c r="J17" s="220">
        <f t="shared" si="4"/>
        <v>21040.910296904611</v>
      </c>
      <c r="K17" s="220">
        <f t="shared" si="5"/>
        <v>20888.180037902715</v>
      </c>
      <c r="M17" s="283"/>
      <c r="N17" s="289"/>
      <c r="O17" s="289"/>
      <c r="P17" s="289"/>
      <c r="Q17" s="289"/>
      <c r="R17" s="289"/>
      <c r="S17" s="289"/>
      <c r="T17" s="289"/>
      <c r="U17" s="289"/>
      <c r="V17" s="268"/>
      <c r="W17" s="268"/>
      <c r="X17" s="268"/>
      <c r="Y17" s="268"/>
      <c r="Z17" s="268"/>
      <c r="AA17" s="268"/>
    </row>
    <row r="18" spans="1:27" x14ac:dyDescent="0.2">
      <c r="A18" s="33" t="s">
        <v>172</v>
      </c>
      <c r="B18" s="229">
        <f t="shared" ref="B18:I18" si="6">SUM(B13:B17)</f>
        <v>39715</v>
      </c>
      <c r="C18" s="229">
        <f t="shared" si="6"/>
        <v>131053859</v>
      </c>
      <c r="D18" s="229">
        <f t="shared" si="6"/>
        <v>47347277</v>
      </c>
      <c r="E18" s="229">
        <f t="shared" si="6"/>
        <v>38984222</v>
      </c>
      <c r="F18" s="229">
        <f t="shared" si="6"/>
        <v>195096620</v>
      </c>
      <c r="G18" s="229">
        <f t="shared" si="6"/>
        <v>38025370</v>
      </c>
      <c r="H18" s="229">
        <f t="shared" si="6"/>
        <v>1812532</v>
      </c>
      <c r="I18" s="229">
        <f t="shared" si="6"/>
        <v>452319880</v>
      </c>
      <c r="J18" s="214">
        <f t="shared" si="4"/>
        <v>11389.14465567166</v>
      </c>
      <c r="K18" s="214">
        <f t="shared" si="5"/>
        <v>11343.506181543498</v>
      </c>
      <c r="M18" s="287"/>
      <c r="N18" s="287"/>
      <c r="O18" s="287"/>
      <c r="P18" s="287"/>
      <c r="Q18" s="287"/>
      <c r="R18" s="287"/>
      <c r="S18" s="287"/>
      <c r="T18" s="287"/>
      <c r="U18" s="287"/>
      <c r="V18" s="268"/>
      <c r="W18" s="268"/>
      <c r="X18" s="268"/>
      <c r="Y18" s="268"/>
      <c r="Z18" s="268"/>
      <c r="AA18" s="268"/>
    </row>
    <row r="19" spans="1:27" x14ac:dyDescent="0.2">
      <c r="A19" s="33"/>
      <c r="B19" s="229"/>
      <c r="C19" s="214"/>
      <c r="D19" s="214"/>
      <c r="E19" s="214"/>
      <c r="F19" s="214"/>
      <c r="G19" s="214"/>
      <c r="H19" s="214"/>
      <c r="I19" s="214"/>
      <c r="J19" s="214"/>
      <c r="K19" s="214"/>
      <c r="M19" s="287"/>
      <c r="N19" s="287"/>
      <c r="O19" s="287"/>
      <c r="P19" s="287"/>
      <c r="Q19" s="287"/>
      <c r="R19" s="287"/>
      <c r="S19" s="287"/>
      <c r="T19" s="287"/>
      <c r="U19" s="287"/>
      <c r="V19" s="268"/>
      <c r="W19" s="268"/>
      <c r="X19" s="268"/>
      <c r="Y19" s="268"/>
      <c r="Z19" s="268"/>
      <c r="AA19" s="268"/>
    </row>
    <row r="20" spans="1:27" x14ac:dyDescent="0.2">
      <c r="A20" s="33"/>
      <c r="B20" s="229"/>
      <c r="C20" s="214"/>
      <c r="D20" s="214"/>
      <c r="E20" s="214"/>
      <c r="F20" s="214"/>
      <c r="G20" s="214"/>
      <c r="H20" s="214"/>
      <c r="I20" s="214"/>
      <c r="J20" s="214"/>
      <c r="K20" s="214"/>
      <c r="M20" s="287"/>
      <c r="N20" s="287"/>
      <c r="O20" s="287"/>
      <c r="P20" s="287"/>
      <c r="Q20" s="287"/>
      <c r="R20" s="287"/>
      <c r="S20" s="287"/>
      <c r="T20" s="287"/>
      <c r="U20" s="281"/>
      <c r="V20" s="268"/>
      <c r="W20" s="268"/>
      <c r="X20" s="268"/>
      <c r="Y20" s="268"/>
      <c r="Z20" s="268"/>
      <c r="AA20" s="268"/>
    </row>
    <row r="21" spans="1:27" ht="15" x14ac:dyDescent="0.25">
      <c r="A21" s="33" t="s">
        <v>86</v>
      </c>
      <c r="B21" s="214">
        <v>10318</v>
      </c>
      <c r="C21" s="214">
        <v>21370225</v>
      </c>
      <c r="D21" s="214">
        <v>11234077</v>
      </c>
      <c r="E21" s="214">
        <v>8848568</v>
      </c>
      <c r="F21" s="214">
        <v>47393925</v>
      </c>
      <c r="G21" s="214">
        <v>10232315</v>
      </c>
      <c r="H21" s="214">
        <v>242349</v>
      </c>
      <c r="I21" s="221">
        <f>SUM(C21:H21)</f>
        <v>99321459</v>
      </c>
      <c r="J21" s="214">
        <f>I21/B21</f>
        <v>9626.0378949408805</v>
      </c>
      <c r="K21" s="214">
        <f>SUM(C21:G21)/B21</f>
        <v>9602.549912773793</v>
      </c>
      <c r="M21" s="283"/>
      <c r="N21" s="289"/>
      <c r="O21" s="289"/>
      <c r="P21" s="289"/>
      <c r="Q21" s="289"/>
      <c r="R21" s="289"/>
      <c r="S21" s="289"/>
      <c r="T21" s="289"/>
      <c r="U21" s="289"/>
      <c r="V21" s="268"/>
      <c r="W21" s="268"/>
      <c r="X21" s="268"/>
      <c r="Y21" s="268"/>
      <c r="Z21" s="268"/>
      <c r="AA21" s="268"/>
    </row>
    <row r="22" spans="1:27" ht="15" x14ac:dyDescent="0.25">
      <c r="A22" s="33" t="s">
        <v>87</v>
      </c>
      <c r="B22" s="220">
        <v>6968</v>
      </c>
      <c r="C22" s="220">
        <v>28212919</v>
      </c>
      <c r="D22" s="220">
        <v>16856033</v>
      </c>
      <c r="E22" s="220">
        <v>8736650</v>
      </c>
      <c r="F22" s="220">
        <v>37654888</v>
      </c>
      <c r="G22" s="220">
        <v>11030109</v>
      </c>
      <c r="H22" s="220">
        <v>256914</v>
      </c>
      <c r="I22" s="220">
        <f>SUM(C22:H22)</f>
        <v>102747513</v>
      </c>
      <c r="J22" s="220">
        <f>I22/B22</f>
        <v>14745.624712973593</v>
      </c>
      <c r="K22" s="220">
        <f>SUM(C22:G22)/B22</f>
        <v>14708.754161882893</v>
      </c>
      <c r="M22" s="283"/>
      <c r="N22" s="289"/>
      <c r="O22" s="289"/>
      <c r="P22" s="289"/>
      <c r="Q22" s="289"/>
      <c r="R22" s="289"/>
      <c r="S22" s="289"/>
      <c r="T22" s="289"/>
      <c r="U22" s="289"/>
      <c r="V22" s="268"/>
      <c r="W22" s="268"/>
      <c r="X22" s="268"/>
      <c r="Y22" s="268"/>
      <c r="Z22" s="268"/>
      <c r="AA22" s="268"/>
    </row>
    <row r="23" spans="1:27" x14ac:dyDescent="0.2">
      <c r="A23" s="33" t="s">
        <v>173</v>
      </c>
      <c r="B23" s="221">
        <f t="shared" ref="B23:I23" si="7">SUM(B21:B22)</f>
        <v>17286</v>
      </c>
      <c r="C23" s="221">
        <f t="shared" si="7"/>
        <v>49583144</v>
      </c>
      <c r="D23" s="221">
        <f t="shared" si="7"/>
        <v>28090110</v>
      </c>
      <c r="E23" s="221">
        <f t="shared" si="7"/>
        <v>17585218</v>
      </c>
      <c r="F23" s="221">
        <f t="shared" si="7"/>
        <v>85048813</v>
      </c>
      <c r="G23" s="221">
        <f t="shared" si="7"/>
        <v>21262424</v>
      </c>
      <c r="H23" s="221">
        <f t="shared" si="7"/>
        <v>499263</v>
      </c>
      <c r="I23" s="221">
        <f t="shared" si="7"/>
        <v>202068972</v>
      </c>
      <c r="J23" s="221">
        <f>I23/B23</f>
        <v>11689.747309961818</v>
      </c>
      <c r="K23" s="214">
        <f>SUM(C23:G23)/B23</f>
        <v>11660.86480388754</v>
      </c>
      <c r="M23" s="287"/>
      <c r="N23" s="287"/>
      <c r="O23" s="287"/>
      <c r="P23" s="287"/>
      <c r="Q23" s="287"/>
      <c r="R23" s="287"/>
      <c r="S23" s="287"/>
      <c r="T23" s="287"/>
      <c r="U23" s="287"/>
    </row>
    <row r="24" spans="1:27" x14ac:dyDescent="0.2">
      <c r="A24" s="33"/>
      <c r="B24" s="214"/>
      <c r="C24" s="214"/>
      <c r="D24" s="214"/>
      <c r="E24" s="214"/>
      <c r="F24" s="214"/>
      <c r="G24" s="214"/>
      <c r="H24" s="214"/>
      <c r="I24" s="214"/>
      <c r="J24" s="214"/>
      <c r="K24" s="214"/>
    </row>
    <row r="25" spans="1:27" ht="13.5" thickBot="1" x14ac:dyDescent="0.25">
      <c r="A25" s="33" t="s">
        <v>174</v>
      </c>
      <c r="B25" s="222">
        <f>B23+B18+B10</f>
        <v>147525</v>
      </c>
      <c r="C25" s="192">
        <f t="shared" ref="C25:I25" si="8">C10+C18+C23</f>
        <v>397182843</v>
      </c>
      <c r="D25" s="192">
        <f t="shared" si="8"/>
        <v>141788035</v>
      </c>
      <c r="E25" s="192">
        <f t="shared" si="8"/>
        <v>132317038</v>
      </c>
      <c r="F25" s="192">
        <f t="shared" si="8"/>
        <v>667099342</v>
      </c>
      <c r="G25" s="192">
        <f t="shared" si="8"/>
        <v>193094602</v>
      </c>
      <c r="H25" s="192">
        <f t="shared" si="8"/>
        <v>3765288</v>
      </c>
      <c r="I25" s="192">
        <f t="shared" si="8"/>
        <v>1535247148</v>
      </c>
      <c r="J25" s="222">
        <f>I25/B25</f>
        <v>10406.691394678868</v>
      </c>
      <c r="K25" s="222">
        <f>SUM(C25:G25)/B25</f>
        <v>10381.168344348416</v>
      </c>
    </row>
    <row r="26" spans="1:27" ht="21" thickTop="1" x14ac:dyDescent="0.3">
      <c r="A26" s="33"/>
      <c r="B26" s="296" t="s">
        <v>1164</v>
      </c>
      <c r="C26" s="182"/>
      <c r="D26" s="182"/>
      <c r="E26" s="182"/>
      <c r="F26" s="182"/>
      <c r="G26" s="182"/>
      <c r="H26" s="182"/>
      <c r="I26" s="182"/>
      <c r="J26" s="182"/>
    </row>
    <row r="27" spans="1:27" x14ac:dyDescent="0.2">
      <c r="A27" s="33"/>
      <c r="B27" s="182"/>
      <c r="C27" s="33"/>
      <c r="D27" s="33"/>
      <c r="E27" s="33"/>
      <c r="F27" s="33"/>
      <c r="G27" s="33"/>
      <c r="H27" s="33"/>
      <c r="I27" s="182"/>
      <c r="J27" s="182"/>
    </row>
    <row r="28" spans="1:27" x14ac:dyDescent="0.2">
      <c r="A28" s="36" t="s">
        <v>200</v>
      </c>
      <c r="B28" s="22"/>
      <c r="C28" s="36"/>
      <c r="D28" s="36"/>
      <c r="E28" s="36"/>
      <c r="F28" s="36"/>
      <c r="G28" s="36"/>
      <c r="H28" s="36"/>
      <c r="I28" s="22"/>
      <c r="J28" s="182"/>
    </row>
    <row r="29" spans="1:27" x14ac:dyDescent="0.2">
      <c r="A29" s="36" t="s">
        <v>10</v>
      </c>
      <c r="B29" s="22" t="str">
        <f>C2</f>
        <v>FY12</v>
      </c>
      <c r="C29" s="223"/>
      <c r="D29" s="223"/>
      <c r="E29" s="223"/>
      <c r="F29" s="223"/>
      <c r="G29" s="223"/>
      <c r="H29" s="223"/>
      <c r="I29" s="223"/>
      <c r="J29" s="182"/>
    </row>
    <row r="30" spans="1:27" ht="33.75" x14ac:dyDescent="0.2">
      <c r="A30" s="20" t="s">
        <v>245</v>
      </c>
      <c r="B30" s="202" t="str">
        <f>B3</f>
        <v>ANB12</v>
      </c>
      <c r="C30" s="202" t="str">
        <f t="shared" ref="C30:H30" si="9">C3</f>
        <v>12/Pupil Property Tax</v>
      </c>
      <c r="D30" s="202" t="str">
        <f t="shared" si="9"/>
        <v>12/Pupil Non Levy Revenue</v>
      </c>
      <c r="E30" s="202" t="str">
        <f t="shared" si="9"/>
        <v>12/Pupil County Revenue</v>
      </c>
      <c r="F30" s="202" t="str">
        <f t="shared" si="9"/>
        <v>*12/Pupil State Revenue</v>
      </c>
      <c r="G30" s="202" t="str">
        <f t="shared" si="9"/>
        <v>12/Pupil Federal Revenue</v>
      </c>
      <c r="H30" s="202" t="str">
        <f t="shared" si="9"/>
        <v>12/ARRA Revenue</v>
      </c>
      <c r="I30" s="202" t="str">
        <f>J3</f>
        <v>*12/Rev Per ANB with ARRA</v>
      </c>
      <c r="J30" s="202" t="str">
        <f>K3</f>
        <v>*12/Rev Per ANB NO ARRA</v>
      </c>
      <c r="K30" s="202"/>
    </row>
    <row r="31" spans="1:27" x14ac:dyDescent="0.2">
      <c r="A31" s="33"/>
      <c r="B31" s="182"/>
      <c r="C31" s="182"/>
      <c r="D31" s="182"/>
      <c r="E31" s="182"/>
      <c r="F31" s="182"/>
      <c r="G31" s="182"/>
      <c r="H31" s="182"/>
      <c r="I31" s="33"/>
      <c r="J31" s="182"/>
    </row>
    <row r="32" spans="1:27" x14ac:dyDescent="0.2">
      <c r="A32" s="33" t="s">
        <v>102</v>
      </c>
      <c r="B32" s="221">
        <f t="shared" ref="B32:B37" si="10">B4</f>
        <v>38250</v>
      </c>
      <c r="C32" s="182">
        <f t="shared" ref="C32:I38" si="11">C4/$B32</f>
        <v>2389.6619607843136</v>
      </c>
      <c r="D32" s="182">
        <f t="shared" si="11"/>
        <v>513.07077124183002</v>
      </c>
      <c r="E32" s="182">
        <f t="shared" si="11"/>
        <v>805.21194771241835</v>
      </c>
      <c r="F32" s="182">
        <f t="shared" si="11"/>
        <v>4069.6198169934642</v>
      </c>
      <c r="G32" s="182">
        <f t="shared" si="11"/>
        <v>994.89090196078428</v>
      </c>
      <c r="H32" s="182">
        <f t="shared" si="11"/>
        <v>6.0607058823529414</v>
      </c>
      <c r="I32" s="182">
        <f>I4/$B32</f>
        <v>8778.5161045751629</v>
      </c>
      <c r="J32" s="182">
        <f t="shared" ref="J32:J38" si="12">SUM(C4:G4)/B32</f>
        <v>8772.4553986928113</v>
      </c>
      <c r="K32" s="182"/>
    </row>
    <row r="33" spans="1:11" x14ac:dyDescent="0.2">
      <c r="A33" s="33" t="s">
        <v>76</v>
      </c>
      <c r="B33" s="221">
        <f t="shared" si="10"/>
        <v>17543</v>
      </c>
      <c r="C33" s="182">
        <f t="shared" si="11"/>
        <v>2352.4368694066011</v>
      </c>
      <c r="D33" s="182">
        <f t="shared" si="11"/>
        <v>516.6957760930286</v>
      </c>
      <c r="E33" s="182">
        <f t="shared" si="11"/>
        <v>826.17146440175566</v>
      </c>
      <c r="F33" s="182">
        <f t="shared" si="11"/>
        <v>4433.50373368295</v>
      </c>
      <c r="G33" s="182">
        <f t="shared" si="11"/>
        <v>1902.9268654164055</v>
      </c>
      <c r="H33" s="182">
        <f t="shared" si="11"/>
        <v>9.6437325428946021</v>
      </c>
      <c r="I33" s="182">
        <f t="shared" si="11"/>
        <v>10041.378441543635</v>
      </c>
      <c r="J33" s="182">
        <f t="shared" si="12"/>
        <v>10031.734709000741</v>
      </c>
      <c r="K33" s="182"/>
    </row>
    <row r="34" spans="1:11" x14ac:dyDescent="0.2">
      <c r="A34" s="33" t="s">
        <v>77</v>
      </c>
      <c r="B34" s="221">
        <f t="shared" si="10"/>
        <v>14801</v>
      </c>
      <c r="C34" s="182">
        <f t="shared" si="11"/>
        <v>2128.7017093439631</v>
      </c>
      <c r="D34" s="182">
        <f t="shared" si="11"/>
        <v>1079.5303020066212</v>
      </c>
      <c r="E34" s="182">
        <f t="shared" si="11"/>
        <v>868.92155935409767</v>
      </c>
      <c r="F34" s="182">
        <f t="shared" si="11"/>
        <v>4440.3616647523813</v>
      </c>
      <c r="G34" s="182">
        <f t="shared" si="11"/>
        <v>1936.4501047226538</v>
      </c>
      <c r="H34" s="182">
        <f t="shared" si="11"/>
        <v>19.46861698533883</v>
      </c>
      <c r="I34" s="182">
        <f t="shared" si="11"/>
        <v>10473.433957165056</v>
      </c>
      <c r="J34" s="182">
        <f t="shared" si="12"/>
        <v>10453.965340179717</v>
      </c>
      <c r="K34" s="182"/>
    </row>
    <row r="35" spans="1:11" x14ac:dyDescent="0.2">
      <c r="A35" s="33" t="s">
        <v>78</v>
      </c>
      <c r="B35" s="221">
        <f t="shared" si="10"/>
        <v>13300</v>
      </c>
      <c r="C35" s="182">
        <f t="shared" si="11"/>
        <v>2405.4970676691728</v>
      </c>
      <c r="D35" s="182">
        <f t="shared" si="11"/>
        <v>938.7098496240601</v>
      </c>
      <c r="E35" s="182">
        <f t="shared" si="11"/>
        <v>829.22669172932331</v>
      </c>
      <c r="F35" s="182">
        <f t="shared" si="11"/>
        <v>4332.2343609022555</v>
      </c>
      <c r="G35" s="182">
        <f t="shared" si="11"/>
        <v>1499.0664661654134</v>
      </c>
      <c r="H35" s="182">
        <f t="shared" si="11"/>
        <v>43.497819548872179</v>
      </c>
      <c r="I35" s="182">
        <f t="shared" si="11"/>
        <v>10048.232255639097</v>
      </c>
      <c r="J35" s="182">
        <f t="shared" si="12"/>
        <v>10004.734436090226</v>
      </c>
      <c r="K35" s="182"/>
    </row>
    <row r="36" spans="1:11" x14ac:dyDescent="0.2">
      <c r="A36" s="33" t="s">
        <v>79</v>
      </c>
      <c r="B36" s="221">
        <f t="shared" si="10"/>
        <v>4966</v>
      </c>
      <c r="C36" s="182">
        <f t="shared" si="11"/>
        <v>3051.9873137333871</v>
      </c>
      <c r="D36" s="182">
        <f t="shared" si="11"/>
        <v>1360.2682239226742</v>
      </c>
      <c r="E36" s="182">
        <f t="shared" si="11"/>
        <v>1019.979057591623</v>
      </c>
      <c r="F36" s="182">
        <f t="shared" si="11"/>
        <v>4697.6931131695528</v>
      </c>
      <c r="G36" s="182">
        <f t="shared" si="11"/>
        <v>2167.0769230769229</v>
      </c>
      <c r="H36" s="182">
        <f t="shared" si="11"/>
        <v>30.829037454691903</v>
      </c>
      <c r="I36" s="182">
        <f t="shared" si="11"/>
        <v>12327.833668948851</v>
      </c>
      <c r="J36" s="182">
        <f t="shared" si="12"/>
        <v>12297.004631494161</v>
      </c>
      <c r="K36" s="182"/>
    </row>
    <row r="37" spans="1:11" x14ac:dyDescent="0.2">
      <c r="A37" s="33" t="s">
        <v>80</v>
      </c>
      <c r="B37" s="220">
        <f t="shared" si="10"/>
        <v>1664</v>
      </c>
      <c r="C37" s="183">
        <f t="shared" si="11"/>
        <v>3134.78125</v>
      </c>
      <c r="D37" s="183">
        <f t="shared" si="11"/>
        <v>1468.2908653846155</v>
      </c>
      <c r="E37" s="183">
        <f t="shared" si="11"/>
        <v>901.36778846153845</v>
      </c>
      <c r="F37" s="183">
        <f t="shared" si="11"/>
        <v>4113.4260817307695</v>
      </c>
      <c r="G37" s="183">
        <f t="shared" si="11"/>
        <v>1807.9921875</v>
      </c>
      <c r="H37" s="183">
        <f t="shared" si="11"/>
        <v>19.662259615384617</v>
      </c>
      <c r="I37" s="183">
        <f t="shared" si="11"/>
        <v>11445.520432692309</v>
      </c>
      <c r="J37" s="183">
        <f t="shared" si="12"/>
        <v>11425.858173076924</v>
      </c>
      <c r="K37" s="182"/>
    </row>
    <row r="38" spans="1:11" x14ac:dyDescent="0.2">
      <c r="A38" s="33" t="s">
        <v>171</v>
      </c>
      <c r="B38" s="221">
        <f>SUM(B32:B37)</f>
        <v>90524</v>
      </c>
      <c r="C38" s="182">
        <f t="shared" si="11"/>
        <v>2392.1373337457471</v>
      </c>
      <c r="D38" s="182">
        <f t="shared" si="11"/>
        <v>732.96195484070518</v>
      </c>
      <c r="E38" s="182">
        <f t="shared" si="11"/>
        <v>836.76812778931549</v>
      </c>
      <c r="F38" s="182">
        <f t="shared" si="11"/>
        <v>4274.6002054703722</v>
      </c>
      <c r="G38" s="182">
        <f t="shared" si="11"/>
        <v>1478.1362732535019</v>
      </c>
      <c r="H38" s="182">
        <f t="shared" si="11"/>
        <v>16.0564380716716</v>
      </c>
      <c r="I38" s="182">
        <f t="shared" si="11"/>
        <v>9730.6603331713141</v>
      </c>
      <c r="J38" s="182">
        <f t="shared" si="12"/>
        <v>9714.6038950996426</v>
      </c>
      <c r="K38" s="182"/>
    </row>
    <row r="39" spans="1:11" x14ac:dyDescent="0.2">
      <c r="A39" s="33"/>
      <c r="B39" s="182"/>
      <c r="C39" s="182"/>
      <c r="D39" s="182"/>
      <c r="E39" s="182"/>
      <c r="F39" s="182"/>
      <c r="G39" s="182"/>
      <c r="H39" s="182"/>
      <c r="I39" s="182"/>
      <c r="J39" s="182"/>
      <c r="K39" s="182"/>
    </row>
    <row r="40" spans="1:11" x14ac:dyDescent="0.2">
      <c r="A40" s="33"/>
      <c r="B40" s="221"/>
      <c r="C40" s="182"/>
      <c r="D40" s="182"/>
      <c r="E40" s="182"/>
      <c r="F40" s="182"/>
      <c r="G40" s="182"/>
      <c r="H40" s="182"/>
      <c r="I40" s="182"/>
      <c r="J40" s="182"/>
      <c r="K40" s="182"/>
    </row>
    <row r="41" spans="1:11" x14ac:dyDescent="0.2">
      <c r="A41" s="33" t="s">
        <v>81</v>
      </c>
      <c r="B41" s="221">
        <f>B13</f>
        <v>21593</v>
      </c>
      <c r="C41" s="182">
        <f t="shared" ref="C41:I46" si="13">C13/$B41</f>
        <v>3267.0202843514103</v>
      </c>
      <c r="D41" s="182">
        <f t="shared" si="13"/>
        <v>806.48835270689574</v>
      </c>
      <c r="E41" s="182">
        <f t="shared" si="13"/>
        <v>882.19381280970686</v>
      </c>
      <c r="F41" s="182">
        <f t="shared" si="13"/>
        <v>4431.9843930903535</v>
      </c>
      <c r="G41" s="182">
        <f t="shared" si="13"/>
        <v>706.10119020052798</v>
      </c>
      <c r="H41" s="182">
        <f t="shared" si="13"/>
        <v>41.573009771685271</v>
      </c>
      <c r="I41" s="182">
        <f t="shared" si="13"/>
        <v>10135.361042930579</v>
      </c>
      <c r="J41" s="182">
        <f t="shared" ref="J41:J46" si="14">SUM(C13:G13)/B41</f>
        <v>10093.788033158895</v>
      </c>
      <c r="K41" s="182"/>
    </row>
    <row r="42" spans="1:11" x14ac:dyDescent="0.2">
      <c r="A42" s="33" t="s">
        <v>82</v>
      </c>
      <c r="B42" s="221">
        <f>B14</f>
        <v>6158</v>
      </c>
      <c r="C42" s="182">
        <f t="shared" si="13"/>
        <v>2991.472068853524</v>
      </c>
      <c r="D42" s="182">
        <f t="shared" si="13"/>
        <v>942.14160441701847</v>
      </c>
      <c r="E42" s="182">
        <f t="shared" si="13"/>
        <v>993.48181227671319</v>
      </c>
      <c r="F42" s="182">
        <f t="shared" si="13"/>
        <v>4637.60636570315</v>
      </c>
      <c r="G42" s="182">
        <f t="shared" si="13"/>
        <v>1072.229782396882</v>
      </c>
      <c r="H42" s="182">
        <f>H14/$B42</f>
        <v>0</v>
      </c>
      <c r="I42" s="182">
        <f t="shared" si="13"/>
        <v>10636.931633647288</v>
      </c>
      <c r="J42" s="182">
        <f t="shared" si="14"/>
        <v>10636.931633647288</v>
      </c>
      <c r="K42" s="182"/>
    </row>
    <row r="43" spans="1:11" x14ac:dyDescent="0.2">
      <c r="A43" s="33" t="s">
        <v>83</v>
      </c>
      <c r="B43" s="221">
        <f>B15</f>
        <v>5197</v>
      </c>
      <c r="C43" s="182">
        <f t="shared" si="13"/>
        <v>2885.2414854723879</v>
      </c>
      <c r="D43" s="182">
        <f t="shared" si="13"/>
        <v>1995.7814123532808</v>
      </c>
      <c r="E43" s="182">
        <f t="shared" si="13"/>
        <v>956.29670964017703</v>
      </c>
      <c r="F43" s="182">
        <f t="shared" si="13"/>
        <v>5067.3146045795647</v>
      </c>
      <c r="G43" s="182">
        <f t="shared" si="13"/>
        <v>639.56725033673274</v>
      </c>
      <c r="H43" s="182">
        <f>H15/$B43</f>
        <v>46.739272657302287</v>
      </c>
      <c r="I43" s="182">
        <f t="shared" si="13"/>
        <v>11590.940735039447</v>
      </c>
      <c r="J43" s="182">
        <f t="shared" si="14"/>
        <v>11544.201462382143</v>
      </c>
      <c r="K43" s="182"/>
    </row>
    <row r="44" spans="1:11" x14ac:dyDescent="0.2">
      <c r="A44" s="33" t="s">
        <v>84</v>
      </c>
      <c r="B44" s="221">
        <f>B16</f>
        <v>5184</v>
      </c>
      <c r="C44" s="182">
        <f t="shared" si="13"/>
        <v>3357.0812114197529</v>
      </c>
      <c r="D44" s="182">
        <f t="shared" si="13"/>
        <v>1802.4471450617284</v>
      </c>
      <c r="E44" s="182">
        <f t="shared" si="13"/>
        <v>1189.476273148148</v>
      </c>
      <c r="F44" s="182">
        <f t="shared" si="13"/>
        <v>6140.9990354938273</v>
      </c>
      <c r="G44" s="182">
        <f t="shared" si="13"/>
        <v>1782.5183256172841</v>
      </c>
      <c r="H44" s="182">
        <f>H16/$B44</f>
        <v>82.980324074074076</v>
      </c>
      <c r="I44" s="182">
        <f t="shared" si="13"/>
        <v>14355.502314814816</v>
      </c>
      <c r="J44" s="182">
        <f t="shared" si="14"/>
        <v>14272.521990740741</v>
      </c>
      <c r="K44" s="182"/>
    </row>
    <row r="45" spans="1:11" x14ac:dyDescent="0.2">
      <c r="A45" s="33" t="s">
        <v>85</v>
      </c>
      <c r="B45" s="220">
        <f>B17</f>
        <v>1583</v>
      </c>
      <c r="C45" s="183">
        <f t="shared" si="13"/>
        <v>6121.2229943145921</v>
      </c>
      <c r="D45" s="183">
        <f t="shared" si="13"/>
        <v>2789.0739102969046</v>
      </c>
      <c r="E45" s="183">
        <f t="shared" si="13"/>
        <v>1693.639292482628</v>
      </c>
      <c r="F45" s="183">
        <f t="shared" si="13"/>
        <v>8002.9235628553379</v>
      </c>
      <c r="G45" s="183">
        <f t="shared" si="13"/>
        <v>2281.3202779532535</v>
      </c>
      <c r="H45" s="183">
        <f>H17/$B45</f>
        <v>152.73025900189515</v>
      </c>
      <c r="I45" s="183">
        <f t="shared" si="13"/>
        <v>21040.910296904611</v>
      </c>
      <c r="J45" s="183">
        <f t="shared" si="14"/>
        <v>20888.180037902715</v>
      </c>
      <c r="K45" s="182"/>
    </row>
    <row r="46" spans="1:11" x14ac:dyDescent="0.2">
      <c r="A46" s="33" t="s">
        <v>172</v>
      </c>
      <c r="B46" s="221">
        <f>SUM(B41:B45)</f>
        <v>39715</v>
      </c>
      <c r="C46" s="182">
        <f t="shared" si="13"/>
        <v>3299.857962986277</v>
      </c>
      <c r="D46" s="182">
        <f t="shared" si="13"/>
        <v>1192.1761802845272</v>
      </c>
      <c r="E46" s="182">
        <f t="shared" si="13"/>
        <v>981.59944605312853</v>
      </c>
      <c r="F46" s="182">
        <f t="shared" si="13"/>
        <v>4912.4164673297246</v>
      </c>
      <c r="G46" s="182">
        <f t="shared" si="13"/>
        <v>957.45612488984011</v>
      </c>
      <c r="H46" s="182">
        <f t="shared" si="13"/>
        <v>45.638474128163161</v>
      </c>
      <c r="I46" s="182">
        <f t="shared" si="13"/>
        <v>11389.14465567166</v>
      </c>
      <c r="J46" s="182">
        <f t="shared" si="14"/>
        <v>11343.506181543498</v>
      </c>
      <c r="K46" s="182"/>
    </row>
    <row r="47" spans="1:11" x14ac:dyDescent="0.2">
      <c r="A47" s="33"/>
      <c r="B47" s="182"/>
      <c r="C47" s="182"/>
      <c r="D47" s="182"/>
      <c r="E47" s="182"/>
      <c r="F47" s="182"/>
      <c r="G47" s="182"/>
      <c r="H47" s="182"/>
      <c r="I47" s="182"/>
      <c r="J47" s="182"/>
      <c r="K47" s="182"/>
    </row>
    <row r="48" spans="1:11" x14ac:dyDescent="0.2">
      <c r="A48" s="33"/>
      <c r="B48" s="221"/>
      <c r="C48" s="182"/>
      <c r="D48" s="182"/>
      <c r="E48" s="182"/>
      <c r="F48" s="182"/>
      <c r="G48" s="182"/>
      <c r="H48" s="182"/>
      <c r="I48" s="182"/>
      <c r="J48" s="182"/>
      <c r="K48" s="182"/>
    </row>
    <row r="49" spans="1:11" x14ac:dyDescent="0.2">
      <c r="A49" s="33" t="s">
        <v>86</v>
      </c>
      <c r="B49" s="221">
        <f>B21</f>
        <v>10318</v>
      </c>
      <c r="C49" s="182">
        <f t="shared" ref="C49:I51" si="15">C21/$B49</f>
        <v>2071.1596239581313</v>
      </c>
      <c r="D49" s="182">
        <f t="shared" si="15"/>
        <v>1088.7843574336111</v>
      </c>
      <c r="E49" s="182">
        <f t="shared" si="15"/>
        <v>857.58557860050394</v>
      </c>
      <c r="F49" s="182">
        <f t="shared" si="15"/>
        <v>4593.3247722426831</v>
      </c>
      <c r="G49" s="182">
        <f t="shared" si="15"/>
        <v>991.69558053886408</v>
      </c>
      <c r="H49" s="182">
        <f t="shared" si="15"/>
        <v>23.487982167086646</v>
      </c>
      <c r="I49" s="182">
        <f t="shared" si="15"/>
        <v>9626.0378949408805</v>
      </c>
      <c r="J49" s="182">
        <f>SUM(C21:G21)/B49</f>
        <v>9602.549912773793</v>
      </c>
      <c r="K49" s="182"/>
    </row>
    <row r="50" spans="1:11" x14ac:dyDescent="0.2">
      <c r="A50" s="33" t="s">
        <v>87</v>
      </c>
      <c r="B50" s="220">
        <f>B22</f>
        <v>6968</v>
      </c>
      <c r="C50" s="183">
        <f t="shared" si="15"/>
        <v>4048.9263777267511</v>
      </c>
      <c r="D50" s="183">
        <f t="shared" si="15"/>
        <v>2419.0632893226175</v>
      </c>
      <c r="E50" s="183">
        <f t="shared" si="15"/>
        <v>1253.8246268656717</v>
      </c>
      <c r="F50" s="183">
        <f t="shared" si="15"/>
        <v>5403.9735935706085</v>
      </c>
      <c r="G50" s="183">
        <f t="shared" si="15"/>
        <v>1582.9662743972444</v>
      </c>
      <c r="H50" s="183">
        <f t="shared" si="15"/>
        <v>36.870551090700346</v>
      </c>
      <c r="I50" s="183">
        <f t="shared" si="15"/>
        <v>14745.624712973593</v>
      </c>
      <c r="J50" s="183">
        <f>SUM(C22:G22)/B50</f>
        <v>14708.754161882893</v>
      </c>
      <c r="K50" s="182"/>
    </row>
    <row r="51" spans="1:11" x14ac:dyDescent="0.2">
      <c r="A51" s="33" t="s">
        <v>173</v>
      </c>
      <c r="B51" s="221">
        <f>SUM(B49:B50)</f>
        <v>17286</v>
      </c>
      <c r="C51" s="182">
        <f t="shared" si="15"/>
        <v>2868.3989355547842</v>
      </c>
      <c r="D51" s="182">
        <f t="shared" si="15"/>
        <v>1625.020826102048</v>
      </c>
      <c r="E51" s="182">
        <f t="shared" si="15"/>
        <v>1017.309846118246</v>
      </c>
      <c r="F51" s="182">
        <f t="shared" si="15"/>
        <v>4920.0979405299086</v>
      </c>
      <c r="G51" s="182">
        <f t="shared" si="15"/>
        <v>1230.0372555825525</v>
      </c>
      <c r="H51" s="182">
        <f t="shared" si="15"/>
        <v>28.882506074279764</v>
      </c>
      <c r="I51" s="182">
        <f t="shared" si="15"/>
        <v>11689.747309961818</v>
      </c>
      <c r="J51" s="182">
        <f>SUM(C23:G23)/B51</f>
        <v>11660.86480388754</v>
      </c>
      <c r="K51" s="182"/>
    </row>
    <row r="52" spans="1:11" x14ac:dyDescent="0.2">
      <c r="A52" s="33"/>
      <c r="B52" s="214"/>
      <c r="C52" s="182"/>
      <c r="D52" s="182"/>
      <c r="E52" s="182"/>
      <c r="F52" s="182"/>
      <c r="G52" s="182"/>
      <c r="H52" s="182"/>
      <c r="I52" s="182"/>
      <c r="J52" s="182"/>
      <c r="K52" s="182"/>
    </row>
    <row r="53" spans="1:11" ht="13.5" thickBot="1" x14ac:dyDescent="0.25">
      <c r="A53" s="33" t="s">
        <v>174</v>
      </c>
      <c r="B53" s="222">
        <f>B51+B46+B38</f>
        <v>147525</v>
      </c>
      <c r="C53" s="192">
        <f t="shared" ref="C53:I53" si="16">C25/$B53</f>
        <v>2692.3087137773259</v>
      </c>
      <c r="D53" s="192">
        <f t="shared" si="16"/>
        <v>961.11191323504488</v>
      </c>
      <c r="E53" s="192">
        <f t="shared" si="16"/>
        <v>896.91264531435354</v>
      </c>
      <c r="F53" s="192">
        <f t="shared" si="16"/>
        <v>4521.9409727164884</v>
      </c>
      <c r="G53" s="192">
        <f t="shared" si="16"/>
        <v>1308.8940993052024</v>
      </c>
      <c r="H53" s="192">
        <f t="shared" si="16"/>
        <v>25.523050330452467</v>
      </c>
      <c r="I53" s="192">
        <f t="shared" si="16"/>
        <v>10406.691394678868</v>
      </c>
      <c r="J53" s="192">
        <f>SUM(C25:G25)/B53</f>
        <v>10381.168344348416</v>
      </c>
      <c r="K53" s="182"/>
    </row>
    <row r="54" spans="1:11" ht="21" thickTop="1" x14ac:dyDescent="0.3">
      <c r="A54" s="33"/>
      <c r="B54" s="296" t="s">
        <v>1164</v>
      </c>
      <c r="C54" s="182"/>
      <c r="D54" s="182"/>
      <c r="E54" s="182"/>
      <c r="F54" s="182"/>
      <c r="G54" s="182"/>
      <c r="H54" s="182"/>
      <c r="I54" s="182"/>
      <c r="J54" s="182"/>
    </row>
    <row r="55" spans="1:11" x14ac:dyDescent="0.2">
      <c r="A55" s="33"/>
      <c r="B55" s="182"/>
      <c r="C55" s="182"/>
      <c r="D55" s="182"/>
      <c r="E55" s="182"/>
      <c r="F55" s="182"/>
      <c r="G55" s="182"/>
      <c r="H55" s="182"/>
      <c r="I55" s="182"/>
      <c r="J55" s="182"/>
    </row>
    <row r="56" spans="1:11" x14ac:dyDescent="0.2">
      <c r="A56" s="36" t="s">
        <v>200</v>
      </c>
      <c r="B56" s="36"/>
      <c r="C56" s="36"/>
      <c r="D56" s="36"/>
      <c r="E56" s="36"/>
      <c r="F56" s="36"/>
      <c r="G56" s="36"/>
      <c r="H56" s="36"/>
      <c r="I56" s="36"/>
      <c r="J56" s="182"/>
    </row>
    <row r="57" spans="1:11" x14ac:dyDescent="0.2">
      <c r="A57" s="36" t="s">
        <v>11</v>
      </c>
      <c r="B57" s="22" t="str">
        <f>C2</f>
        <v>FY12</v>
      </c>
      <c r="I57" s="202"/>
      <c r="J57" s="182"/>
    </row>
    <row r="58" spans="1:11" ht="22.5" x14ac:dyDescent="0.2">
      <c r="A58" s="20" t="s">
        <v>245</v>
      </c>
      <c r="B58" s="21"/>
      <c r="C58" s="202" t="str">
        <f t="shared" ref="C58:H58" si="17">C3</f>
        <v>12/Pupil Property Tax</v>
      </c>
      <c r="D58" s="202" t="str">
        <f t="shared" si="17"/>
        <v>12/Pupil Non Levy Revenue</v>
      </c>
      <c r="E58" s="202" t="str">
        <f t="shared" si="17"/>
        <v>12/Pupil County Revenue</v>
      </c>
      <c r="F58" s="202" t="str">
        <f t="shared" si="17"/>
        <v>*12/Pupil State Revenue</v>
      </c>
      <c r="G58" s="202" t="str">
        <f t="shared" si="17"/>
        <v>12/Pupil Federal Revenue</v>
      </c>
      <c r="H58" s="202" t="str">
        <f t="shared" si="17"/>
        <v>12/ARRA Revenue</v>
      </c>
      <c r="I58" s="202"/>
    </row>
    <row r="59" spans="1:11" x14ac:dyDescent="0.2">
      <c r="A59" s="33" t="s">
        <v>102</v>
      </c>
      <c r="B59" s="221"/>
      <c r="C59" s="224">
        <f t="shared" ref="C59:H65" si="18">C32/$I32</f>
        <v>0.27221707317240962</v>
      </c>
      <c r="D59" s="224">
        <f t="shared" si="18"/>
        <v>5.844618442682234E-2</v>
      </c>
      <c r="E59" s="224">
        <f t="shared" si="18"/>
        <v>9.172529139551959E-2</v>
      </c>
      <c r="F59" s="224">
        <f t="shared" si="18"/>
        <v>0.46358858017842797</v>
      </c>
      <c r="G59" s="224">
        <f t="shared" si="18"/>
        <v>0.11333246873492318</v>
      </c>
      <c r="H59" s="224">
        <f t="shared" si="18"/>
        <v>6.9040209189731268E-4</v>
      </c>
      <c r="I59" s="182"/>
    </row>
    <row r="60" spans="1:11" x14ac:dyDescent="0.2">
      <c r="A60" s="33" t="s">
        <v>76</v>
      </c>
      <c r="B60" s="221"/>
      <c r="C60" s="224">
        <f t="shared" si="18"/>
        <v>0.23427429641273106</v>
      </c>
      <c r="D60" s="224">
        <f t="shared" si="18"/>
        <v>5.1456657977885983E-2</v>
      </c>
      <c r="E60" s="224">
        <f t="shared" si="18"/>
        <v>8.2276698285136091E-2</v>
      </c>
      <c r="F60" s="224">
        <f t="shared" si="18"/>
        <v>0.44152341827297958</v>
      </c>
      <c r="G60" s="224">
        <f t="shared" si="18"/>
        <v>0.18950852977949045</v>
      </c>
      <c r="H60" s="224">
        <f t="shared" si="18"/>
        <v>9.6039927177688324E-4</v>
      </c>
      <c r="I60" s="182"/>
    </row>
    <row r="61" spans="1:11" x14ac:dyDescent="0.2">
      <c r="A61" s="33" t="s">
        <v>77</v>
      </c>
      <c r="B61" s="221"/>
      <c r="C61" s="224">
        <f t="shared" si="18"/>
        <v>0.20324773307876559</v>
      </c>
      <c r="D61" s="224">
        <f t="shared" si="18"/>
        <v>0.10307319513559314</v>
      </c>
      <c r="E61" s="224">
        <f t="shared" si="18"/>
        <v>8.2964342249912545E-2</v>
      </c>
      <c r="F61" s="224">
        <f t="shared" si="18"/>
        <v>0.42396425880115984</v>
      </c>
      <c r="G61" s="224">
        <f t="shared" si="18"/>
        <v>0.18489161364290602</v>
      </c>
      <c r="H61" s="224">
        <f t="shared" si="18"/>
        <v>1.8588570916628557E-3</v>
      </c>
      <c r="I61" s="182"/>
    </row>
    <row r="62" spans="1:11" x14ac:dyDescent="0.2">
      <c r="A62" s="33" t="s">
        <v>78</v>
      </c>
      <c r="B62" s="221"/>
      <c r="C62" s="224">
        <f t="shared" si="18"/>
        <v>0.23939505043976275</v>
      </c>
      <c r="D62" s="224">
        <f t="shared" si="18"/>
        <v>9.342039731389104E-2</v>
      </c>
      <c r="E62" s="224">
        <f t="shared" si="18"/>
        <v>8.2524634247378076E-2</v>
      </c>
      <c r="F62" s="224">
        <f t="shared" si="18"/>
        <v>0.43114393165733134</v>
      </c>
      <c r="G62" s="224">
        <f t="shared" si="18"/>
        <v>0.14918708366082331</v>
      </c>
      <c r="H62" s="224">
        <f t="shared" si="18"/>
        <v>4.3289026808134411E-3</v>
      </c>
      <c r="I62" s="182"/>
    </row>
    <row r="63" spans="1:11" x14ac:dyDescent="0.2">
      <c r="A63" s="33" t="s">
        <v>79</v>
      </c>
      <c r="B63" s="221"/>
      <c r="C63" s="224">
        <f t="shared" si="18"/>
        <v>0.24756882642087258</v>
      </c>
      <c r="D63" s="224">
        <f t="shared" si="18"/>
        <v>0.11034122137362186</v>
      </c>
      <c r="E63" s="224">
        <f t="shared" si="18"/>
        <v>8.2737899048778527E-2</v>
      </c>
      <c r="F63" s="224">
        <f t="shared" si="18"/>
        <v>0.38106395976139962</v>
      </c>
      <c r="G63" s="224">
        <f t="shared" si="18"/>
        <v>0.17578732657103585</v>
      </c>
      <c r="H63" s="224">
        <f t="shared" si="18"/>
        <v>2.5007668242915692E-3</v>
      </c>
      <c r="I63" s="182"/>
    </row>
    <row r="64" spans="1:11" x14ac:dyDescent="0.2">
      <c r="A64" s="33" t="s">
        <v>80</v>
      </c>
      <c r="B64" s="221"/>
      <c r="C64" s="225">
        <f t="shared" si="18"/>
        <v>0.27388717432594817</v>
      </c>
      <c r="D64" s="225">
        <f t="shared" si="18"/>
        <v>0.12828519891421242</v>
      </c>
      <c r="E64" s="225">
        <f t="shared" si="18"/>
        <v>7.8752887975886601E-2</v>
      </c>
      <c r="F64" s="225">
        <f t="shared" si="18"/>
        <v>0.35939179051932163</v>
      </c>
      <c r="G64" s="225">
        <f t="shared" si="18"/>
        <v>0.15796504825903399</v>
      </c>
      <c r="H64" s="225">
        <f t="shared" si="18"/>
        <v>1.717900005597168E-3</v>
      </c>
      <c r="I64" s="182"/>
    </row>
    <row r="65" spans="1:9" x14ac:dyDescent="0.2">
      <c r="A65" s="33" t="s">
        <v>171</v>
      </c>
      <c r="B65" s="221"/>
      <c r="C65" s="224">
        <f t="shared" si="18"/>
        <v>0.24583504632168443</v>
      </c>
      <c r="D65" s="224">
        <f t="shared" si="18"/>
        <v>7.5324996428256366E-2</v>
      </c>
      <c r="E65" s="224">
        <f t="shared" si="18"/>
        <v>8.5992943863924268E-2</v>
      </c>
      <c r="F65" s="224">
        <f t="shared" si="18"/>
        <v>0.43929189377811112</v>
      </c>
      <c r="G65" s="224">
        <f t="shared" si="18"/>
        <v>0.15190503240716485</v>
      </c>
      <c r="H65" s="224">
        <f t="shared" si="18"/>
        <v>1.6500872008589221E-3</v>
      </c>
      <c r="I65" s="182"/>
    </row>
    <row r="66" spans="1:9" x14ac:dyDescent="0.2">
      <c r="A66" s="33"/>
      <c r="B66" s="182"/>
      <c r="C66" s="224"/>
      <c r="D66" s="224"/>
      <c r="E66" s="224"/>
      <c r="F66" s="224"/>
      <c r="G66" s="224"/>
      <c r="H66" s="224"/>
      <c r="I66" s="182"/>
    </row>
    <row r="67" spans="1:9" x14ac:dyDescent="0.2">
      <c r="A67" s="33"/>
      <c r="B67" s="221"/>
      <c r="C67" s="224"/>
      <c r="D67" s="224"/>
      <c r="E67" s="224"/>
      <c r="F67" s="224"/>
      <c r="G67" s="224"/>
      <c r="H67" s="224"/>
      <c r="I67" s="182"/>
    </row>
    <row r="68" spans="1:9" x14ac:dyDescent="0.2">
      <c r="A68" s="33" t="s">
        <v>81</v>
      </c>
      <c r="B68" s="221"/>
      <c r="C68" s="224">
        <f t="shared" ref="C68:H73" si="19">C41/$I41</f>
        <v>0.32233881659599672</v>
      </c>
      <c r="D68" s="224">
        <f t="shared" si="19"/>
        <v>7.9571743847193468E-2</v>
      </c>
      <c r="E68" s="224">
        <f t="shared" si="19"/>
        <v>8.7041182753429161E-2</v>
      </c>
      <c r="F68" s="224">
        <f t="shared" si="19"/>
        <v>0.43727938001593591</v>
      </c>
      <c r="G68" s="224">
        <f t="shared" si="19"/>
        <v>6.9667097916855561E-2</v>
      </c>
      <c r="H68" s="224">
        <f t="shared" si="19"/>
        <v>4.1017788705891706E-3</v>
      </c>
      <c r="I68" s="182"/>
    </row>
    <row r="69" spans="1:9" x14ac:dyDescent="0.2">
      <c r="A69" s="33" t="s">
        <v>82</v>
      </c>
      <c r="B69" s="221"/>
      <c r="C69" s="224">
        <f t="shared" si="19"/>
        <v>0.28123449241609733</v>
      </c>
      <c r="D69" s="224">
        <f t="shared" si="19"/>
        <v>8.8572685889677788E-2</v>
      </c>
      <c r="E69" s="224">
        <f t="shared" si="19"/>
        <v>9.3399285291453846E-2</v>
      </c>
      <c r="F69" s="224">
        <f t="shared" si="19"/>
        <v>0.4359909911457206</v>
      </c>
      <c r="G69" s="224">
        <f t="shared" si="19"/>
        <v>0.10080254525705043</v>
      </c>
      <c r="H69" s="224">
        <f t="shared" si="19"/>
        <v>0</v>
      </c>
      <c r="I69" s="182"/>
    </row>
    <row r="70" spans="1:9" x14ac:dyDescent="0.2">
      <c r="A70" s="33" t="s">
        <v>83</v>
      </c>
      <c r="B70" s="221"/>
      <c r="C70" s="224">
        <f t="shared" si="19"/>
        <v>0.24892211524732369</v>
      </c>
      <c r="D70" s="224">
        <f t="shared" si="19"/>
        <v>0.17218459294852814</v>
      </c>
      <c r="E70" s="224">
        <f t="shared" si="19"/>
        <v>8.2503804609171144E-2</v>
      </c>
      <c r="F70" s="224">
        <f t="shared" si="19"/>
        <v>0.43717888999820853</v>
      </c>
      <c r="G70" s="224">
        <f t="shared" si="19"/>
        <v>5.5178200368441115E-2</v>
      </c>
      <c r="H70" s="224">
        <f t="shared" si="19"/>
        <v>4.0323968283272581E-3</v>
      </c>
      <c r="I70" s="182"/>
    </row>
    <row r="71" spans="1:9" x14ac:dyDescent="0.2">
      <c r="A71" s="33" t="s">
        <v>84</v>
      </c>
      <c r="B71" s="221"/>
      <c r="C71" s="224">
        <f t="shared" si="19"/>
        <v>0.23385327366463937</v>
      </c>
      <c r="D71" s="224">
        <f t="shared" si="19"/>
        <v>0.12555792932453577</v>
      </c>
      <c r="E71" s="224">
        <f t="shared" si="19"/>
        <v>8.2858561620697435E-2</v>
      </c>
      <c r="F71" s="224">
        <f t="shared" si="19"/>
        <v>0.42778015710090084</v>
      </c>
      <c r="G71" s="224">
        <f t="shared" si="19"/>
        <v>0.12416969371930182</v>
      </c>
      <c r="H71" s="224">
        <f t="shared" si="19"/>
        <v>5.7803845699247137E-3</v>
      </c>
      <c r="I71" s="182"/>
    </row>
    <row r="72" spans="1:9" x14ac:dyDescent="0.2">
      <c r="A72" s="33" t="s">
        <v>85</v>
      </c>
      <c r="B72" s="221"/>
      <c r="C72" s="225">
        <f t="shared" si="19"/>
        <v>0.29092006514637836</v>
      </c>
      <c r="D72" s="225">
        <f t="shared" si="19"/>
        <v>0.13255481207517972</v>
      </c>
      <c r="E72" s="225">
        <f t="shared" si="19"/>
        <v>8.0492681570520461E-2</v>
      </c>
      <c r="F72" s="225">
        <f t="shared" si="19"/>
        <v>0.38035063359557553</v>
      </c>
      <c r="G72" s="225">
        <f t="shared" si="19"/>
        <v>0.10842307893346539</v>
      </c>
      <c r="H72" s="225">
        <f t="shared" si="19"/>
        <v>7.2587286788805775E-3</v>
      </c>
      <c r="I72" s="182"/>
    </row>
    <row r="73" spans="1:9" x14ac:dyDescent="0.2">
      <c r="A73" s="33" t="s">
        <v>172</v>
      </c>
      <c r="B73" s="221"/>
      <c r="C73" s="224">
        <f t="shared" si="19"/>
        <v>0.28973711922633161</v>
      </c>
      <c r="D73" s="224">
        <f t="shared" si="19"/>
        <v>0.10467653334184648</v>
      </c>
      <c r="E73" s="224">
        <f t="shared" si="19"/>
        <v>8.618728409637888E-2</v>
      </c>
      <c r="F73" s="224">
        <f t="shared" si="19"/>
        <v>0.43132444233934625</v>
      </c>
      <c r="G73" s="224">
        <f t="shared" si="19"/>
        <v>8.4067430332710566E-2</v>
      </c>
      <c r="H73" s="224">
        <f t="shared" si="19"/>
        <v>4.0071906633862746E-3</v>
      </c>
      <c r="I73" s="182"/>
    </row>
    <row r="74" spans="1:9" x14ac:dyDescent="0.2">
      <c r="A74" s="33"/>
      <c r="B74" s="182"/>
      <c r="C74" s="224"/>
      <c r="D74" s="224"/>
      <c r="E74" s="224"/>
      <c r="F74" s="224"/>
      <c r="G74" s="224"/>
      <c r="H74" s="224"/>
      <c r="I74" s="182"/>
    </row>
    <row r="75" spans="1:9" x14ac:dyDescent="0.2">
      <c r="A75" s="33"/>
      <c r="B75" s="221"/>
      <c r="C75" s="224"/>
      <c r="D75" s="224"/>
      <c r="E75" s="224"/>
      <c r="F75" s="224"/>
      <c r="G75" s="224"/>
      <c r="H75" s="224"/>
      <c r="I75" s="182"/>
    </row>
    <row r="76" spans="1:9" x14ac:dyDescent="0.2">
      <c r="A76" s="33" t="s">
        <v>86</v>
      </c>
      <c r="B76" s="221"/>
      <c r="C76" s="224">
        <f t="shared" ref="C76:H78" si="20">C49/$I49</f>
        <v>0.21516221383739437</v>
      </c>
      <c r="D76" s="224">
        <f t="shared" si="20"/>
        <v>0.11310825589060265</v>
      </c>
      <c r="E76" s="224">
        <f t="shared" si="20"/>
        <v>8.9090193489807665E-2</v>
      </c>
      <c r="F76" s="224">
        <f t="shared" si="20"/>
        <v>0.47717709221327492</v>
      </c>
      <c r="G76" s="224">
        <f t="shared" si="20"/>
        <v>0.10302219785152369</v>
      </c>
      <c r="H76" s="224">
        <f t="shared" si="20"/>
        <v>2.4400467173966906E-3</v>
      </c>
      <c r="I76" s="182"/>
    </row>
    <row r="77" spans="1:9" x14ac:dyDescent="0.2">
      <c r="A77" s="33" t="s">
        <v>87</v>
      </c>
      <c r="B77" s="221"/>
      <c r="C77" s="225">
        <f t="shared" si="20"/>
        <v>0.27458493326256961</v>
      </c>
      <c r="D77" s="225">
        <f t="shared" si="20"/>
        <v>0.16405295376833109</v>
      </c>
      <c r="E77" s="225">
        <f t="shared" si="20"/>
        <v>8.5030281949500824E-2</v>
      </c>
      <c r="F77" s="225">
        <f t="shared" si="20"/>
        <v>0.36647979985656687</v>
      </c>
      <c r="G77" s="225">
        <f t="shared" si="20"/>
        <v>0.10735159107938699</v>
      </c>
      <c r="H77" s="225">
        <f t="shared" si="20"/>
        <v>2.5004400836446524E-3</v>
      </c>
      <c r="I77" s="182"/>
    </row>
    <row r="78" spans="1:9" x14ac:dyDescent="0.2">
      <c r="A78" s="33" t="s">
        <v>173</v>
      </c>
      <c r="B78" s="221"/>
      <c r="C78" s="224">
        <f t="shared" si="20"/>
        <v>0.24537732591622233</v>
      </c>
      <c r="D78" s="224">
        <f t="shared" si="20"/>
        <v>0.13901248530130594</v>
      </c>
      <c r="E78" s="224">
        <f t="shared" si="20"/>
        <v>8.7025820074939572E-2</v>
      </c>
      <c r="F78" s="224">
        <f t="shared" si="20"/>
        <v>0.42089001670182202</v>
      </c>
      <c r="G78" s="224">
        <f t="shared" si="20"/>
        <v>0.10522359662422592</v>
      </c>
      <c r="H78" s="224">
        <f t="shared" si="20"/>
        <v>2.4707553814842984E-3</v>
      </c>
      <c r="I78" s="182"/>
    </row>
    <row r="79" spans="1:9" x14ac:dyDescent="0.2">
      <c r="A79" s="33"/>
      <c r="B79" s="221"/>
      <c r="C79" s="224"/>
      <c r="D79" s="224"/>
      <c r="E79" s="224"/>
      <c r="F79" s="224"/>
      <c r="G79" s="224"/>
      <c r="H79" s="224"/>
      <c r="I79" s="182"/>
    </row>
    <row r="80" spans="1:9" ht="13.5" thickBot="1" x14ac:dyDescent="0.25">
      <c r="A80" s="33" t="s">
        <v>208</v>
      </c>
      <c r="B80" s="221"/>
      <c r="C80" s="226">
        <f t="shared" ref="C80:H80" si="21">C53/$I53</f>
        <v>0.25870938338326749</v>
      </c>
      <c r="D80" s="226">
        <f t="shared" si="21"/>
        <v>9.2355185407581031E-2</v>
      </c>
      <c r="E80" s="226">
        <f t="shared" si="21"/>
        <v>8.6186148055948056E-2</v>
      </c>
      <c r="F80" s="226">
        <f t="shared" si="21"/>
        <v>0.43452244341834134</v>
      </c>
      <c r="G80" s="226">
        <f t="shared" si="21"/>
        <v>0.1257742782662378</v>
      </c>
      <c r="H80" s="226">
        <f t="shared" si="21"/>
        <v>2.4525614686242035E-3</v>
      </c>
      <c r="I80" s="182"/>
    </row>
    <row r="81" spans="1:10" ht="21" thickTop="1" x14ac:dyDescent="0.3">
      <c r="A81" s="33"/>
      <c r="B81" s="33"/>
      <c r="C81" s="296" t="s">
        <v>1164</v>
      </c>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AC82"/>
  <sheetViews>
    <sheetView zoomScaleNormal="100" workbookViewId="0">
      <selection activeCell="M4" sqref="M4"/>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4" max="14" width="7.140625" bestFit="1" customWidth="1"/>
    <col min="15" max="15" width="10.42578125" customWidth="1"/>
    <col min="16" max="16" width="8.85546875" customWidth="1"/>
    <col min="17" max="19" width="11.5703125" bestFit="1" customWidth="1"/>
    <col min="20" max="20" width="12.5703125" bestFit="1" customWidth="1"/>
    <col min="21" max="21" width="11.5703125" bestFit="1" customWidth="1"/>
    <col min="22" max="22" width="10.5703125" bestFit="1" customWidth="1"/>
    <col min="23" max="23" width="20.7109375" bestFit="1" customWidth="1"/>
  </cols>
  <sheetData>
    <row r="1" spans="1:29" x14ac:dyDescent="0.2">
      <c r="A1" s="36" t="s">
        <v>200</v>
      </c>
      <c r="B1" s="36"/>
      <c r="C1" s="22"/>
      <c r="D1" s="22"/>
      <c r="E1" s="22"/>
      <c r="F1" s="22"/>
      <c r="G1" s="22"/>
      <c r="H1" s="22"/>
      <c r="I1" s="22"/>
      <c r="J1" s="22"/>
      <c r="K1" s="22"/>
    </row>
    <row r="2" spans="1:29" x14ac:dyDescent="0.2">
      <c r="A2" s="36" t="s">
        <v>8</v>
      </c>
      <c r="B2" s="239"/>
      <c r="C2" s="22" t="s">
        <v>1093</v>
      </c>
      <c r="D2" s="22"/>
      <c r="E2" s="22"/>
      <c r="F2" s="22"/>
      <c r="G2" s="22"/>
      <c r="H2" s="22"/>
      <c r="I2" s="22"/>
      <c r="J2" s="22"/>
      <c r="K2" s="22"/>
    </row>
    <row r="3" spans="1:29" ht="45" x14ac:dyDescent="0.2">
      <c r="A3" s="20" t="s">
        <v>245</v>
      </c>
      <c r="B3" s="21" t="s">
        <v>1074</v>
      </c>
      <c r="C3" s="202" t="s">
        <v>1094</v>
      </c>
      <c r="D3" s="202" t="s">
        <v>1095</v>
      </c>
      <c r="E3" s="202" t="s">
        <v>1096</v>
      </c>
      <c r="F3" s="202" t="s">
        <v>1097</v>
      </c>
      <c r="G3" s="202" t="s">
        <v>1098</v>
      </c>
      <c r="H3" s="202" t="s">
        <v>1099</v>
      </c>
      <c r="I3" s="202" t="s">
        <v>1100</v>
      </c>
      <c r="J3" s="202" t="s">
        <v>1101</v>
      </c>
      <c r="K3" s="202" t="s">
        <v>1103</v>
      </c>
      <c r="L3" s="202" t="s">
        <v>1104</v>
      </c>
      <c r="M3" s="202" t="s">
        <v>1102</v>
      </c>
      <c r="O3" s="287"/>
      <c r="P3" s="278"/>
      <c r="Q3" s="290"/>
      <c r="R3" s="290"/>
      <c r="S3" s="290"/>
      <c r="T3" s="290"/>
      <c r="U3" s="290"/>
      <c r="V3" s="290"/>
      <c r="W3" s="290"/>
    </row>
    <row r="4" spans="1:29" ht="15" x14ac:dyDescent="0.25">
      <c r="A4" s="33" t="s">
        <v>102</v>
      </c>
      <c r="B4" s="214">
        <v>37842</v>
      </c>
      <c r="C4" s="214">
        <v>90335101.400000006</v>
      </c>
      <c r="D4" s="214">
        <v>20557948.479999997</v>
      </c>
      <c r="E4" s="214">
        <v>30902820.280000001</v>
      </c>
      <c r="F4" s="214">
        <v>152921144.58000001</v>
      </c>
      <c r="G4" s="214">
        <v>36738142.980000004</v>
      </c>
      <c r="H4" s="214">
        <v>8969588.8999999985</v>
      </c>
      <c r="I4" s="214">
        <v>138013241.66</v>
      </c>
      <c r="J4" s="229">
        <f t="shared" ref="J4:J9" si="0">SUM(C4:H4)</f>
        <v>340424746.62</v>
      </c>
      <c r="K4" s="214">
        <f t="shared" ref="K4:K10" si="1">J4/B4</f>
        <v>8995.9501775804656</v>
      </c>
      <c r="L4" s="214">
        <f>SUM(C4:G4)/B4</f>
        <v>8758.9228296601668</v>
      </c>
      <c r="M4" s="214">
        <f>(SUM(C4:E4)+G4+I4)/B4</f>
        <v>8364.9715871254157</v>
      </c>
      <c r="O4" s="283"/>
      <c r="P4" s="289"/>
      <c r="Q4" s="289"/>
      <c r="R4" s="289"/>
      <c r="S4" s="289"/>
      <c r="T4" s="289"/>
      <c r="U4" s="289"/>
      <c r="V4" s="289"/>
      <c r="W4" s="289"/>
      <c r="X4" s="268"/>
      <c r="Y4" s="268"/>
      <c r="Z4" s="268"/>
      <c r="AA4" s="268"/>
      <c r="AB4" s="268"/>
      <c r="AC4" s="268"/>
    </row>
    <row r="5" spans="1:29" ht="15" x14ac:dyDescent="0.25">
      <c r="A5" s="33" t="s">
        <v>76</v>
      </c>
      <c r="B5" s="214">
        <v>18223</v>
      </c>
      <c r="C5" s="214">
        <v>43681195.95000001</v>
      </c>
      <c r="D5" s="214">
        <v>11173710.58</v>
      </c>
      <c r="E5" s="214">
        <v>14925588.459999999</v>
      </c>
      <c r="F5" s="214">
        <v>80427742.090000004</v>
      </c>
      <c r="G5" s="214">
        <v>32350762.599999998</v>
      </c>
      <c r="H5" s="214">
        <v>5654334.1899999995</v>
      </c>
      <c r="I5" s="214">
        <v>73039421.320000008</v>
      </c>
      <c r="J5" s="229">
        <f t="shared" si="0"/>
        <v>188213333.87</v>
      </c>
      <c r="K5" s="214">
        <f t="shared" si="1"/>
        <v>10328.339673489547</v>
      </c>
      <c r="L5" s="214">
        <f t="shared" ref="L5:L25" si="2">SUM(C5:G5)/B5</f>
        <v>10018.054089886407</v>
      </c>
      <c r="M5" s="214">
        <f t="shared" ref="M5:M25" si="3">(SUM(C5:E5)+G5+I5)/B5</f>
        <v>9612.6147676013843</v>
      </c>
      <c r="O5" s="283"/>
      <c r="P5" s="289"/>
      <c r="Q5" s="289"/>
      <c r="R5" s="289"/>
      <c r="S5" s="289"/>
      <c r="T5" s="289"/>
      <c r="U5" s="289"/>
      <c r="V5" s="289"/>
      <c r="W5" s="289"/>
      <c r="X5" s="268"/>
      <c r="Y5" s="268"/>
      <c r="Z5" s="268"/>
      <c r="AA5" s="268"/>
      <c r="AB5" s="268"/>
      <c r="AC5" s="268"/>
    </row>
    <row r="6" spans="1:29" ht="15" x14ac:dyDescent="0.25">
      <c r="A6" s="33" t="s">
        <v>77</v>
      </c>
      <c r="B6" s="214">
        <v>13498</v>
      </c>
      <c r="C6" s="214">
        <v>28904421.000000004</v>
      </c>
      <c r="D6" s="214">
        <v>15361590.93</v>
      </c>
      <c r="E6" s="214">
        <v>11832340.98</v>
      </c>
      <c r="F6" s="214">
        <v>59723262.619999997</v>
      </c>
      <c r="G6" s="214">
        <v>22680512.119999997</v>
      </c>
      <c r="H6" s="214">
        <v>1740005.9900000002</v>
      </c>
      <c r="I6" s="214">
        <v>54100479.629999995</v>
      </c>
      <c r="J6" s="229">
        <f t="shared" si="0"/>
        <v>140242133.64000002</v>
      </c>
      <c r="K6" s="214">
        <f t="shared" si="1"/>
        <v>10389.845431915841</v>
      </c>
      <c r="L6" s="214">
        <f t="shared" si="2"/>
        <v>10260.937001778042</v>
      </c>
      <c r="M6" s="214">
        <f t="shared" si="3"/>
        <v>9844.3728448659058</v>
      </c>
      <c r="O6" s="283"/>
      <c r="P6" s="289"/>
      <c r="Q6" s="289"/>
      <c r="R6" s="289"/>
      <c r="S6" s="289"/>
      <c r="T6" s="289"/>
      <c r="U6" s="289"/>
      <c r="V6" s="289"/>
      <c r="W6" s="289"/>
      <c r="X6" s="268"/>
      <c r="Y6" s="268"/>
      <c r="Z6" s="268"/>
      <c r="AA6" s="268"/>
      <c r="AB6" s="268"/>
      <c r="AC6" s="268"/>
    </row>
    <row r="7" spans="1:29" ht="15" x14ac:dyDescent="0.25">
      <c r="A7" s="33" t="s">
        <v>78</v>
      </c>
      <c r="B7" s="214">
        <v>13549</v>
      </c>
      <c r="C7" s="214">
        <v>31718484.210000001</v>
      </c>
      <c r="D7" s="214">
        <v>12065321.969999999</v>
      </c>
      <c r="E7" s="214">
        <v>11323467.379999999</v>
      </c>
      <c r="F7" s="214">
        <v>60495863.149999999</v>
      </c>
      <c r="G7" s="214">
        <v>21392090.929999996</v>
      </c>
      <c r="H7" s="214">
        <v>2662467.7200000002</v>
      </c>
      <c r="I7" s="214">
        <v>54613367.089999996</v>
      </c>
      <c r="J7" s="229">
        <f t="shared" si="0"/>
        <v>139657695.36000001</v>
      </c>
      <c r="K7" s="214">
        <f t="shared" si="1"/>
        <v>10307.601694590008</v>
      </c>
      <c r="L7" s="214">
        <f t="shared" si="2"/>
        <v>10111.095109602185</v>
      </c>
      <c r="M7" s="214">
        <f t="shared" si="3"/>
        <v>9676.9305173813555</v>
      </c>
      <c r="O7" s="283"/>
      <c r="P7" s="289"/>
      <c r="Q7" s="289"/>
      <c r="R7" s="289"/>
      <c r="S7" s="289"/>
      <c r="T7" s="289"/>
      <c r="U7" s="289"/>
      <c r="V7" s="289"/>
      <c r="W7" s="289"/>
      <c r="X7" s="268"/>
      <c r="Y7" s="268"/>
      <c r="Z7" s="268"/>
      <c r="AA7" s="268"/>
      <c r="AB7" s="268"/>
      <c r="AC7" s="268"/>
    </row>
    <row r="8" spans="1:29" ht="15" x14ac:dyDescent="0.25">
      <c r="A8" s="33" t="s">
        <v>79</v>
      </c>
      <c r="B8" s="214">
        <v>4973</v>
      </c>
      <c r="C8" s="214">
        <v>14536223.630000001</v>
      </c>
      <c r="D8" s="214">
        <v>10041045.479999999</v>
      </c>
      <c r="E8" s="214">
        <v>4927621.9899999993</v>
      </c>
      <c r="F8" s="214">
        <v>23573573.099999994</v>
      </c>
      <c r="G8" s="214">
        <v>9974276.2599999961</v>
      </c>
      <c r="H8" s="214">
        <v>971677.55999999982</v>
      </c>
      <c r="I8" s="214">
        <v>21214939.330000002</v>
      </c>
      <c r="J8" s="229">
        <f t="shared" si="0"/>
        <v>64024418.019999988</v>
      </c>
      <c r="K8" s="214">
        <f t="shared" si="1"/>
        <v>12874.405393122861</v>
      </c>
      <c r="L8" s="214">
        <f t="shared" si="2"/>
        <v>12679.014771767543</v>
      </c>
      <c r="M8" s="214">
        <f t="shared" si="3"/>
        <v>12204.726863060527</v>
      </c>
      <c r="O8" s="283"/>
      <c r="P8" s="289"/>
      <c r="Q8" s="289"/>
      <c r="R8" s="289"/>
      <c r="S8" s="289"/>
      <c r="T8" s="289"/>
      <c r="U8" s="289"/>
      <c r="V8" s="289"/>
      <c r="W8" s="289"/>
      <c r="X8" s="268"/>
      <c r="Y8" s="268"/>
      <c r="Z8" s="268"/>
      <c r="AA8" s="268"/>
      <c r="AB8" s="268"/>
      <c r="AC8" s="268"/>
    </row>
    <row r="9" spans="1:29" ht="15" x14ac:dyDescent="0.25">
      <c r="A9" s="33" t="s">
        <v>80</v>
      </c>
      <c r="B9" s="220">
        <v>1854</v>
      </c>
      <c r="C9" s="220">
        <v>5587374.1300000008</v>
      </c>
      <c r="D9" s="220">
        <v>3035871.87</v>
      </c>
      <c r="E9" s="220">
        <v>1723108.13</v>
      </c>
      <c r="F9" s="220">
        <v>7767278.120000002</v>
      </c>
      <c r="G9" s="220">
        <v>2951103.8000000007</v>
      </c>
      <c r="H9" s="220">
        <v>99008.55</v>
      </c>
      <c r="I9" s="220">
        <v>6835729.9600000009</v>
      </c>
      <c r="J9" s="238">
        <f t="shared" si="0"/>
        <v>21163744.600000001</v>
      </c>
      <c r="K9" s="220">
        <f t="shared" si="1"/>
        <v>11415.180474649407</v>
      </c>
      <c r="L9" s="220">
        <f>SUM(C9:G9)/B9</f>
        <v>11361.777804746494</v>
      </c>
      <c r="M9" s="220">
        <f t="shared" si="3"/>
        <v>10859.324644012946</v>
      </c>
      <c r="O9" s="283"/>
      <c r="P9" s="289"/>
      <c r="Q9" s="289"/>
      <c r="R9" s="289"/>
      <c r="S9" s="289"/>
      <c r="T9" s="289"/>
      <c r="U9" s="289"/>
      <c r="V9" s="289"/>
      <c r="W9" s="289"/>
      <c r="X9" s="268"/>
      <c r="Y9" s="268"/>
      <c r="Z9" s="268"/>
      <c r="AA9" s="268"/>
      <c r="AB9" s="268"/>
      <c r="AC9" s="268"/>
    </row>
    <row r="10" spans="1:29" x14ac:dyDescent="0.2">
      <c r="A10" s="33" t="s">
        <v>171</v>
      </c>
      <c r="B10" s="229">
        <f t="shared" ref="B10:J10" si="4">SUM(B4:B9)</f>
        <v>89939</v>
      </c>
      <c r="C10" s="229">
        <f t="shared" si="4"/>
        <v>214762800.32000002</v>
      </c>
      <c r="D10" s="229">
        <f t="shared" si="4"/>
        <v>72235489.310000002</v>
      </c>
      <c r="E10" s="229">
        <f t="shared" si="4"/>
        <v>75634947.219999984</v>
      </c>
      <c r="F10" s="229">
        <f t="shared" si="4"/>
        <v>384908863.65999997</v>
      </c>
      <c r="G10" s="229">
        <f t="shared" si="4"/>
        <v>126086888.68999997</v>
      </c>
      <c r="H10" s="229">
        <f t="shared" si="4"/>
        <v>20097082.909999996</v>
      </c>
      <c r="I10" s="229">
        <f t="shared" si="4"/>
        <v>347817178.98999995</v>
      </c>
      <c r="J10" s="229">
        <f t="shared" si="4"/>
        <v>893726072.11000001</v>
      </c>
      <c r="K10" s="214">
        <f t="shared" si="1"/>
        <v>9937.024784687399</v>
      </c>
      <c r="L10" s="214">
        <f t="shared" si="2"/>
        <v>9713.5724124128574</v>
      </c>
      <c r="M10" s="214">
        <f t="shared" si="3"/>
        <v>9301.1630608523556</v>
      </c>
      <c r="O10" s="287"/>
      <c r="P10" s="287"/>
      <c r="Q10" s="287"/>
      <c r="R10" s="287"/>
      <c r="S10" s="287"/>
      <c r="T10" s="287"/>
      <c r="U10" s="287"/>
      <c r="V10" s="287"/>
      <c r="W10" s="287"/>
      <c r="X10" s="268"/>
      <c r="Y10" s="268"/>
      <c r="Z10" s="268"/>
      <c r="AA10" s="268"/>
      <c r="AB10" s="268"/>
      <c r="AC10" s="268"/>
    </row>
    <row r="11" spans="1:29" x14ac:dyDescent="0.2">
      <c r="A11" s="33"/>
      <c r="B11" s="229"/>
      <c r="C11" s="214"/>
      <c r="D11" s="214"/>
      <c r="E11" s="214"/>
      <c r="F11" s="214"/>
      <c r="G11" s="214"/>
      <c r="H11" s="214"/>
      <c r="I11" s="214"/>
      <c r="J11" s="214"/>
      <c r="K11" s="214"/>
      <c r="L11" s="214"/>
      <c r="M11" s="214"/>
      <c r="O11" s="287"/>
      <c r="P11" s="287"/>
      <c r="Q11" s="287"/>
      <c r="R11" s="287"/>
      <c r="S11" s="287"/>
      <c r="T11" s="287"/>
      <c r="U11" s="287"/>
      <c r="V11" s="287"/>
      <c r="W11" s="287"/>
      <c r="X11" s="268"/>
      <c r="Y11" s="268"/>
      <c r="Z11" s="268"/>
      <c r="AA11" s="268"/>
      <c r="AB11" s="268"/>
      <c r="AC11" s="268"/>
    </row>
    <row r="12" spans="1:29" x14ac:dyDescent="0.2">
      <c r="A12" s="33"/>
      <c r="B12" s="229"/>
      <c r="C12" s="214"/>
      <c r="D12" s="214"/>
      <c r="E12" s="214"/>
      <c r="F12" s="214"/>
      <c r="G12" s="214"/>
      <c r="H12" s="214"/>
      <c r="I12" s="214"/>
      <c r="J12" s="214"/>
      <c r="K12" s="214"/>
      <c r="L12" s="214"/>
      <c r="M12" s="214"/>
      <c r="O12" s="287"/>
      <c r="P12" s="287"/>
      <c r="Q12" s="287"/>
      <c r="R12" s="287"/>
      <c r="S12" s="287"/>
      <c r="T12" s="287"/>
      <c r="U12" s="287"/>
      <c r="V12" s="287"/>
      <c r="W12" s="287"/>
      <c r="X12" s="268"/>
      <c r="Y12" s="268"/>
      <c r="Z12" s="268"/>
      <c r="AA12" s="268"/>
      <c r="AB12" s="268"/>
      <c r="AC12" s="268"/>
    </row>
    <row r="13" spans="1:29" ht="15" x14ac:dyDescent="0.25">
      <c r="A13" s="33" t="s">
        <v>81</v>
      </c>
      <c r="B13" s="214">
        <v>21890</v>
      </c>
      <c r="C13" s="214">
        <v>70280471.060000002</v>
      </c>
      <c r="D13" s="214">
        <v>18082389.850000001</v>
      </c>
      <c r="E13" s="214">
        <v>19991071.699999999</v>
      </c>
      <c r="F13" s="214">
        <v>97038631.229999989</v>
      </c>
      <c r="G13" s="214">
        <v>12819964.09</v>
      </c>
      <c r="H13" s="214">
        <v>3643779.1799999997</v>
      </c>
      <c r="I13" s="214">
        <v>86706752.230000004</v>
      </c>
      <c r="J13" s="229">
        <f>SUM(C13:H13)</f>
        <v>221856307.10999998</v>
      </c>
      <c r="K13" s="214">
        <f t="shared" ref="K13:K18" si="5">J13/B13</f>
        <v>10135.05286021014</v>
      </c>
      <c r="L13" s="214">
        <f t="shared" si="2"/>
        <v>9968.5942407492003</v>
      </c>
      <c r="M13" s="214">
        <f t="shared" si="3"/>
        <v>9496.603423024213</v>
      </c>
      <c r="O13" s="283"/>
      <c r="P13" s="289"/>
      <c r="Q13" s="289"/>
      <c r="R13" s="289"/>
      <c r="S13" s="289"/>
      <c r="T13" s="289"/>
      <c r="U13" s="289"/>
      <c r="V13" s="289"/>
      <c r="W13" s="289"/>
      <c r="X13" s="268"/>
      <c r="Y13" s="268"/>
      <c r="Z13" s="268"/>
      <c r="AA13" s="268"/>
      <c r="AB13" s="268"/>
      <c r="AC13" s="268"/>
    </row>
    <row r="14" spans="1:29" ht="15" x14ac:dyDescent="0.25">
      <c r="A14" s="33" t="s">
        <v>82</v>
      </c>
      <c r="B14" s="214">
        <v>6282</v>
      </c>
      <c r="C14" s="214">
        <v>18848475.190000005</v>
      </c>
      <c r="D14" s="214">
        <v>5915590.5700000003</v>
      </c>
      <c r="E14" s="214">
        <v>5755293.8100000005</v>
      </c>
      <c r="F14" s="214">
        <v>29407737.68</v>
      </c>
      <c r="G14" s="214">
        <v>6842279.1600000001</v>
      </c>
      <c r="H14" s="214">
        <v>118767.26999999999</v>
      </c>
      <c r="I14" s="214">
        <v>26201210.440000001</v>
      </c>
      <c r="J14" s="229">
        <f>SUM(C14:H14)</f>
        <v>66888143.680000015</v>
      </c>
      <c r="K14" s="214">
        <f t="shared" si="5"/>
        <v>10647.587341610953</v>
      </c>
      <c r="L14" s="214">
        <f t="shared" si="2"/>
        <v>10628.681376950019</v>
      </c>
      <c r="M14" s="214">
        <f t="shared" si="3"/>
        <v>10118.250425023878</v>
      </c>
      <c r="O14" s="283"/>
      <c r="P14" s="289"/>
      <c r="Q14" s="289"/>
      <c r="R14" s="289"/>
      <c r="S14" s="289"/>
      <c r="T14" s="289"/>
      <c r="U14" s="289"/>
      <c r="V14" s="289"/>
      <c r="W14" s="289"/>
      <c r="X14" s="268"/>
      <c r="Y14" s="268"/>
      <c r="Z14" s="268"/>
      <c r="AA14" s="268"/>
      <c r="AB14" s="268"/>
      <c r="AC14" s="268"/>
    </row>
    <row r="15" spans="1:29" ht="15" x14ac:dyDescent="0.25">
      <c r="A15" s="33" t="s">
        <v>83</v>
      </c>
      <c r="B15" s="214">
        <v>5828</v>
      </c>
      <c r="C15" s="214">
        <v>17335785.629999999</v>
      </c>
      <c r="D15" s="214">
        <v>12666496.58</v>
      </c>
      <c r="E15" s="214">
        <v>5747100.6000000006</v>
      </c>
      <c r="F15" s="214">
        <v>30180484.319999997</v>
      </c>
      <c r="G15" s="214">
        <v>6416997.0500000007</v>
      </c>
      <c r="H15" s="214">
        <v>980349.66999999993</v>
      </c>
      <c r="I15" s="214">
        <v>26976634.739999995</v>
      </c>
      <c r="J15" s="229">
        <f>SUM(C15:H15)</f>
        <v>73327213.849999994</v>
      </c>
      <c r="K15" s="214">
        <f t="shared" si="5"/>
        <v>12581.882952985587</v>
      </c>
      <c r="L15" s="214">
        <f t="shared" si="2"/>
        <v>12413.669214138639</v>
      </c>
      <c r="M15" s="214">
        <f t="shared" si="3"/>
        <v>11863.935243651338</v>
      </c>
      <c r="O15" s="283"/>
      <c r="P15" s="289"/>
      <c r="Q15" s="289"/>
      <c r="R15" s="289"/>
      <c r="S15" s="289"/>
      <c r="T15" s="289"/>
      <c r="U15" s="289"/>
      <c r="V15" s="289"/>
      <c r="W15" s="289"/>
      <c r="X15" s="268"/>
      <c r="Y15" s="268"/>
      <c r="Z15" s="268"/>
      <c r="AA15" s="268"/>
      <c r="AB15" s="268"/>
      <c r="AC15" s="268"/>
    </row>
    <row r="16" spans="1:29" ht="15" x14ac:dyDescent="0.25">
      <c r="A16" s="33" t="s">
        <v>84</v>
      </c>
      <c r="B16" s="214">
        <v>5163</v>
      </c>
      <c r="C16" s="214">
        <v>17174817.830000002</v>
      </c>
      <c r="D16" s="214">
        <v>8977210.25</v>
      </c>
      <c r="E16" s="214">
        <v>6095055.3299999991</v>
      </c>
      <c r="F16" s="214">
        <v>31550281.420000002</v>
      </c>
      <c r="G16" s="214">
        <v>6230546.7999999998</v>
      </c>
      <c r="H16" s="214">
        <v>193047.27</v>
      </c>
      <c r="I16" s="214">
        <v>28269745.600000001</v>
      </c>
      <c r="J16" s="229">
        <f>SUM(C16:H16)</f>
        <v>70220958.899999991</v>
      </c>
      <c r="K16" s="214">
        <f t="shared" si="5"/>
        <v>13600.805520046482</v>
      </c>
      <c r="L16" s="214">
        <f t="shared" si="2"/>
        <v>13563.414997094711</v>
      </c>
      <c r="M16" s="214">
        <f t="shared" si="3"/>
        <v>12928.021656013945</v>
      </c>
      <c r="O16" s="283"/>
      <c r="P16" s="289"/>
      <c r="Q16" s="289"/>
      <c r="R16" s="289"/>
      <c r="S16" s="289"/>
      <c r="T16" s="289"/>
      <c r="U16" s="289"/>
      <c r="V16" s="289"/>
      <c r="W16" s="289"/>
      <c r="X16" s="268"/>
      <c r="Y16" s="268"/>
      <c r="Z16" s="268"/>
      <c r="AA16" s="268"/>
      <c r="AB16" s="268"/>
      <c r="AC16" s="268"/>
    </row>
    <row r="17" spans="1:29" ht="15" x14ac:dyDescent="0.25">
      <c r="A17" s="33" t="s">
        <v>85</v>
      </c>
      <c r="B17" s="220">
        <v>1384</v>
      </c>
      <c r="C17" s="220">
        <v>7997124.2899999991</v>
      </c>
      <c r="D17" s="220">
        <v>7510904.0800000001</v>
      </c>
      <c r="E17" s="220">
        <v>2529772.1299999994</v>
      </c>
      <c r="F17" s="220">
        <v>11578177.619999997</v>
      </c>
      <c r="G17" s="220">
        <v>1690814.2999999998</v>
      </c>
      <c r="H17" s="220">
        <v>291628.84000000003</v>
      </c>
      <c r="I17" s="220">
        <v>10260040.959999999</v>
      </c>
      <c r="J17" s="238">
        <f>SUM(C17:H17)</f>
        <v>31598421.259999998</v>
      </c>
      <c r="K17" s="220">
        <f t="shared" si="5"/>
        <v>22831.229234104045</v>
      </c>
      <c r="L17" s="220">
        <f t="shared" si="2"/>
        <v>22620.514754335258</v>
      </c>
      <c r="M17" s="220">
        <f t="shared" si="3"/>
        <v>21668.103872832369</v>
      </c>
      <c r="O17" s="283"/>
      <c r="P17" s="289"/>
      <c r="Q17" s="289"/>
      <c r="R17" s="289"/>
      <c r="S17" s="289"/>
      <c r="T17" s="289"/>
      <c r="U17" s="289"/>
      <c r="V17" s="289"/>
      <c r="W17" s="289"/>
      <c r="X17" s="268"/>
      <c r="Y17" s="268"/>
      <c r="Z17" s="268"/>
      <c r="AA17" s="268"/>
      <c r="AB17" s="268"/>
      <c r="AC17" s="268"/>
    </row>
    <row r="18" spans="1:29" x14ac:dyDescent="0.2">
      <c r="A18" s="33" t="s">
        <v>172</v>
      </c>
      <c r="B18" s="229">
        <f t="shared" ref="B18:J18" si="6">SUM(B13:B17)</f>
        <v>40547</v>
      </c>
      <c r="C18" s="229">
        <f t="shared" si="6"/>
        <v>131636674</v>
      </c>
      <c r="D18" s="229">
        <f t="shared" si="6"/>
        <v>53152591.329999998</v>
      </c>
      <c r="E18" s="229">
        <f t="shared" si="6"/>
        <v>40118293.57</v>
      </c>
      <c r="F18" s="229">
        <f t="shared" si="6"/>
        <v>199755312.26999998</v>
      </c>
      <c r="G18" s="229">
        <f t="shared" si="6"/>
        <v>34000601.399999999</v>
      </c>
      <c r="H18" s="229">
        <f t="shared" si="6"/>
        <v>5227572.2299999986</v>
      </c>
      <c r="I18" s="229">
        <f t="shared" si="6"/>
        <v>178414383.97</v>
      </c>
      <c r="J18" s="229">
        <f t="shared" si="6"/>
        <v>463891044.79999995</v>
      </c>
      <c r="K18" s="214">
        <f t="shared" si="5"/>
        <v>11440.822867289811</v>
      </c>
      <c r="L18" s="214">
        <f t="shared" si="2"/>
        <v>11311.896627863958</v>
      </c>
      <c r="M18" s="214">
        <f t="shared" si="3"/>
        <v>10785.570924359385</v>
      </c>
      <c r="O18" s="287"/>
      <c r="P18" s="287"/>
      <c r="Q18" s="287"/>
      <c r="R18" s="287"/>
      <c r="S18" s="287"/>
      <c r="T18" s="287"/>
      <c r="U18" s="287"/>
      <c r="V18" s="287"/>
      <c r="W18" s="287"/>
      <c r="X18" s="268"/>
      <c r="Y18" s="268"/>
      <c r="Z18" s="268"/>
      <c r="AA18" s="268"/>
      <c r="AB18" s="268"/>
      <c r="AC18" s="268"/>
    </row>
    <row r="19" spans="1:29" x14ac:dyDescent="0.2">
      <c r="A19" s="33"/>
      <c r="B19" s="229"/>
      <c r="C19" s="214"/>
      <c r="D19" s="214"/>
      <c r="E19" s="214"/>
      <c r="F19" s="214"/>
      <c r="G19" s="214"/>
      <c r="H19" s="214"/>
      <c r="I19" s="214"/>
      <c r="J19" s="214"/>
      <c r="K19" s="214"/>
      <c r="L19" s="214"/>
      <c r="M19" s="214"/>
      <c r="O19" s="287"/>
      <c r="P19" s="287"/>
      <c r="Q19" s="287"/>
      <c r="R19" s="287"/>
      <c r="S19" s="287"/>
      <c r="T19" s="287"/>
      <c r="U19" s="287"/>
      <c r="V19" s="287"/>
      <c r="W19" s="287"/>
      <c r="X19" s="268"/>
      <c r="Y19" s="268"/>
      <c r="Z19" s="268"/>
      <c r="AA19" s="268"/>
      <c r="AB19" s="268"/>
      <c r="AC19" s="268"/>
    </row>
    <row r="20" spans="1:29" x14ac:dyDescent="0.2">
      <c r="A20" s="33"/>
      <c r="B20" s="229"/>
      <c r="C20" s="214"/>
      <c r="D20" s="214"/>
      <c r="E20" s="214"/>
      <c r="F20" s="214"/>
      <c r="G20" s="214"/>
      <c r="H20" s="214"/>
      <c r="I20" s="214"/>
      <c r="J20" s="214"/>
      <c r="K20" s="214"/>
      <c r="L20" s="214"/>
      <c r="M20" s="214"/>
      <c r="O20" s="287"/>
      <c r="P20" s="287"/>
      <c r="Q20" s="287"/>
      <c r="R20" s="287"/>
      <c r="S20" s="287"/>
      <c r="T20" s="287"/>
      <c r="U20" s="287"/>
      <c r="V20" s="287"/>
      <c r="W20" s="281"/>
      <c r="X20" s="268"/>
      <c r="Y20" s="268"/>
      <c r="Z20" s="268"/>
      <c r="AA20" s="268"/>
      <c r="AB20" s="268"/>
      <c r="AC20" s="268"/>
    </row>
    <row r="21" spans="1:29" ht="15" x14ac:dyDescent="0.25">
      <c r="A21" s="33" t="s">
        <v>86</v>
      </c>
      <c r="B21" s="214">
        <v>10013</v>
      </c>
      <c r="C21" s="214">
        <v>22050639.030000005</v>
      </c>
      <c r="D21" s="214">
        <v>7286206.04</v>
      </c>
      <c r="E21" s="214">
        <v>8351974.4700000007</v>
      </c>
      <c r="F21" s="214">
        <v>46943720.539999999</v>
      </c>
      <c r="G21" s="214">
        <v>10083880.810000001</v>
      </c>
      <c r="H21" s="214">
        <v>2056737.4600000002</v>
      </c>
      <c r="I21" s="214">
        <v>42344551.339999996</v>
      </c>
      <c r="J21" s="221">
        <f>SUM(C21:H21)</f>
        <v>96773158.350000009</v>
      </c>
      <c r="K21" s="214">
        <f>J21/B21</f>
        <v>9664.751657844803</v>
      </c>
      <c r="L21" s="214">
        <f t="shared" si="2"/>
        <v>9459.3449405772517</v>
      </c>
      <c r="M21" s="214">
        <f t="shared" si="3"/>
        <v>9000.0251363227799</v>
      </c>
      <c r="O21" s="283"/>
      <c r="P21" s="289"/>
      <c r="Q21" s="289"/>
      <c r="R21" s="289"/>
      <c r="S21" s="289"/>
      <c r="T21" s="289"/>
      <c r="U21" s="289"/>
      <c r="V21" s="289"/>
      <c r="W21" s="289"/>
      <c r="X21" s="268"/>
      <c r="Y21" s="268"/>
      <c r="Z21" s="268"/>
      <c r="AA21" s="268"/>
      <c r="AB21" s="268"/>
      <c r="AC21" s="268"/>
    </row>
    <row r="22" spans="1:29" ht="15" x14ac:dyDescent="0.25">
      <c r="A22" s="33" t="s">
        <v>87</v>
      </c>
      <c r="B22" s="220">
        <v>7466</v>
      </c>
      <c r="C22" s="220">
        <v>28041386.719999999</v>
      </c>
      <c r="D22" s="220">
        <v>23387584.960000001</v>
      </c>
      <c r="E22" s="220">
        <v>9064458.6900000013</v>
      </c>
      <c r="F22" s="220">
        <v>39784337.740000002</v>
      </c>
      <c r="G22" s="220">
        <v>9623411.7299999967</v>
      </c>
      <c r="H22" s="220">
        <v>1507254.15</v>
      </c>
      <c r="I22" s="220">
        <v>35305876.859999992</v>
      </c>
      <c r="J22" s="220">
        <f>SUM(C22:H22)</f>
        <v>111408433.99000001</v>
      </c>
      <c r="K22" s="220">
        <f>J22/B22</f>
        <v>14922.104740155371</v>
      </c>
      <c r="L22" s="220">
        <f t="shared" si="2"/>
        <v>14720.222319849987</v>
      </c>
      <c r="M22" s="220">
        <f t="shared" si="3"/>
        <v>14120.374894186978</v>
      </c>
      <c r="O22" s="283"/>
      <c r="P22" s="289"/>
      <c r="Q22" s="289"/>
      <c r="R22" s="289"/>
      <c r="S22" s="289"/>
      <c r="T22" s="289"/>
      <c r="U22" s="289"/>
      <c r="V22" s="289"/>
      <c r="W22" s="289"/>
      <c r="X22" s="268"/>
      <c r="Y22" s="268"/>
      <c r="Z22" s="268"/>
      <c r="AA22" s="268"/>
      <c r="AB22" s="268"/>
      <c r="AC22" s="268"/>
    </row>
    <row r="23" spans="1:29" x14ac:dyDescent="0.2">
      <c r="A23" s="33" t="s">
        <v>173</v>
      </c>
      <c r="B23" s="221">
        <f t="shared" ref="B23:J23" si="7">SUM(B21:B22)</f>
        <v>17479</v>
      </c>
      <c r="C23" s="221">
        <f t="shared" si="7"/>
        <v>50092025.75</v>
      </c>
      <c r="D23" s="221">
        <f t="shared" si="7"/>
        <v>30673791</v>
      </c>
      <c r="E23" s="221">
        <f t="shared" si="7"/>
        <v>17416433.160000004</v>
      </c>
      <c r="F23" s="221">
        <f t="shared" si="7"/>
        <v>86728058.280000001</v>
      </c>
      <c r="G23" s="221">
        <f t="shared" si="7"/>
        <v>19707292.539999999</v>
      </c>
      <c r="H23" s="221">
        <f t="shared" si="7"/>
        <v>3563991.6100000003</v>
      </c>
      <c r="I23" s="221">
        <f t="shared" si="7"/>
        <v>77650428.199999988</v>
      </c>
      <c r="J23" s="221">
        <f t="shared" si="7"/>
        <v>208181592.34000003</v>
      </c>
      <c r="K23" s="221">
        <f>J23/B23</f>
        <v>11910.383450998343</v>
      </c>
      <c r="L23" s="214">
        <f t="shared" si="2"/>
        <v>11706.482105955718</v>
      </c>
      <c r="M23" s="214">
        <f t="shared" si="3"/>
        <v>11187.137173179242</v>
      </c>
      <c r="O23" s="287"/>
      <c r="P23" s="287"/>
      <c r="Q23" s="287"/>
      <c r="R23" s="287"/>
      <c r="S23" s="287"/>
      <c r="T23" s="287"/>
      <c r="U23" s="287"/>
      <c r="V23" s="287"/>
      <c r="W23" s="287"/>
    </row>
    <row r="24" spans="1:29" x14ac:dyDescent="0.2">
      <c r="A24" s="33"/>
      <c r="B24" s="214"/>
      <c r="C24" s="214"/>
      <c r="D24" s="214"/>
      <c r="E24" s="214"/>
      <c r="F24" s="214"/>
      <c r="G24" s="214"/>
      <c r="H24" s="214"/>
      <c r="I24" s="214"/>
      <c r="J24" s="214"/>
      <c r="K24" s="214"/>
      <c r="L24" s="214"/>
      <c r="M24" s="214"/>
    </row>
    <row r="25" spans="1:29" ht="13.5" thickBot="1" x14ac:dyDescent="0.25">
      <c r="A25" s="33" t="s">
        <v>174</v>
      </c>
      <c r="B25" s="222">
        <f>B23+B18+B10</f>
        <v>147965</v>
      </c>
      <c r="C25" s="192">
        <f t="shared" ref="C25:J25" si="8">C10+C18+C23</f>
        <v>396491500.07000005</v>
      </c>
      <c r="D25" s="192">
        <f t="shared" si="8"/>
        <v>156061871.63999999</v>
      </c>
      <c r="E25" s="192">
        <f t="shared" si="8"/>
        <v>133169673.94999999</v>
      </c>
      <c r="F25" s="192">
        <f t="shared" si="8"/>
        <v>671392234.20999992</v>
      </c>
      <c r="G25" s="192">
        <f t="shared" si="8"/>
        <v>179794782.62999997</v>
      </c>
      <c r="H25" s="192">
        <f t="shared" si="8"/>
        <v>28888646.749999993</v>
      </c>
      <c r="I25" s="192">
        <f t="shared" si="8"/>
        <v>603881991.15999985</v>
      </c>
      <c r="J25" s="192">
        <f t="shared" si="8"/>
        <v>1565798709.25</v>
      </c>
      <c r="K25" s="222">
        <f>J25/B25</f>
        <v>10582.223561315175</v>
      </c>
      <c r="L25" s="222">
        <f t="shared" si="2"/>
        <v>10386.983830635621</v>
      </c>
      <c r="M25" s="222">
        <f t="shared" si="3"/>
        <v>9930.7256408610137</v>
      </c>
    </row>
    <row r="26" spans="1:29" ht="21" thickTop="1" x14ac:dyDescent="0.3">
      <c r="A26" s="33"/>
      <c r="B26" s="270" t="s">
        <v>1105</v>
      </c>
      <c r="C26" s="182"/>
      <c r="D26" s="182"/>
      <c r="E26" s="182"/>
      <c r="F26" s="182"/>
      <c r="G26" s="182"/>
      <c r="H26" s="182"/>
      <c r="I26" s="182"/>
      <c r="J26" s="182"/>
      <c r="K26" s="182"/>
    </row>
    <row r="27" spans="1:29" x14ac:dyDescent="0.2">
      <c r="A27" s="33"/>
      <c r="B27" s="182"/>
      <c r="C27" s="33"/>
      <c r="D27" s="33"/>
      <c r="E27" s="33"/>
      <c r="F27" s="33"/>
      <c r="G27" s="33"/>
      <c r="H27" s="33"/>
      <c r="I27" s="33"/>
      <c r="J27" s="182"/>
      <c r="K27" s="182"/>
    </row>
    <row r="28" spans="1:29" x14ac:dyDescent="0.2">
      <c r="A28" s="36" t="s">
        <v>200</v>
      </c>
      <c r="B28" s="22"/>
      <c r="C28" s="36"/>
      <c r="D28" s="36"/>
      <c r="E28" s="36"/>
      <c r="F28" s="36"/>
      <c r="G28" s="36"/>
      <c r="H28" s="36"/>
      <c r="I28" s="36"/>
      <c r="J28" s="22"/>
      <c r="K28" s="182"/>
    </row>
    <row r="29" spans="1:29" x14ac:dyDescent="0.2">
      <c r="A29" s="36" t="s">
        <v>10</v>
      </c>
      <c r="B29" s="22" t="str">
        <f>C2</f>
        <v>FY11</v>
      </c>
      <c r="C29" s="223"/>
      <c r="D29" s="223"/>
      <c r="E29" s="223"/>
      <c r="F29" s="223"/>
      <c r="G29" s="223"/>
      <c r="H29" s="223"/>
      <c r="I29" s="223"/>
      <c r="J29" s="223"/>
      <c r="K29" s="182"/>
    </row>
    <row r="30" spans="1:29" ht="45" x14ac:dyDescent="0.2">
      <c r="A30" s="20" t="s">
        <v>245</v>
      </c>
      <c r="B30" s="202" t="str">
        <f>B3</f>
        <v>ANB11</v>
      </c>
      <c r="C30" s="202" t="str">
        <f t="shared" ref="C30:I30" si="9">C3</f>
        <v>11/Pupil Property Tax</v>
      </c>
      <c r="D30" s="202" t="str">
        <f t="shared" si="9"/>
        <v>11/Pupil Non Levy Revenue</v>
      </c>
      <c r="E30" s="202" t="str">
        <f t="shared" si="9"/>
        <v>11/Pupil County Revenue</v>
      </c>
      <c r="F30" s="202" t="str">
        <f t="shared" si="9"/>
        <v>*11/Pupil State Revenue</v>
      </c>
      <c r="G30" s="202" t="str">
        <f t="shared" si="9"/>
        <v>11/Pupil Federal Revenue</v>
      </c>
      <c r="H30" s="202" t="str">
        <f t="shared" si="9"/>
        <v>11/ARRA Revenue</v>
      </c>
      <c r="I30" s="202" t="str">
        <f t="shared" si="9"/>
        <v>11/State Revenue NO SFSF (ARRA)</v>
      </c>
      <c r="J30" s="202" t="str">
        <f>K3</f>
        <v>*11/Rev Per ANB with ARRA</v>
      </c>
      <c r="K30" s="202" t="str">
        <f>L3</f>
        <v>*11/Rev Per ANB NO ARRA</v>
      </c>
      <c r="L30" s="202" t="str">
        <f>M3</f>
        <v>11/Rev Per ANB NO ARRA or SFSF</v>
      </c>
    </row>
    <row r="31" spans="1:29" x14ac:dyDescent="0.2">
      <c r="A31" s="33"/>
      <c r="B31" s="182"/>
      <c r="C31" s="182"/>
      <c r="D31" s="182"/>
      <c r="E31" s="182"/>
      <c r="F31" s="182"/>
      <c r="G31" s="182"/>
      <c r="H31" s="182"/>
      <c r="I31" s="182"/>
      <c r="J31" s="33"/>
      <c r="K31" s="182"/>
    </row>
    <row r="32" spans="1:29" x14ac:dyDescent="0.2">
      <c r="A32" s="33" t="s">
        <v>102</v>
      </c>
      <c r="B32" s="221">
        <f t="shared" ref="B32:B37" si="10">B4</f>
        <v>37842</v>
      </c>
      <c r="C32" s="182">
        <f t="shared" ref="C32:J38" si="11">C4/$B32</f>
        <v>2387.1650916970561</v>
      </c>
      <c r="D32" s="182">
        <f t="shared" si="11"/>
        <v>543.25745150890532</v>
      </c>
      <c r="E32" s="182">
        <f t="shared" si="11"/>
        <v>816.62756408223674</v>
      </c>
      <c r="F32" s="182">
        <f t="shared" si="11"/>
        <v>4041.0428777548759</v>
      </c>
      <c r="G32" s="182">
        <f t="shared" si="11"/>
        <v>970.82984461709225</v>
      </c>
      <c r="H32" s="182">
        <f t="shared" si="11"/>
        <v>237.02734792030014</v>
      </c>
      <c r="I32" s="182">
        <f>I4/$B32</f>
        <v>3647.0916352201257</v>
      </c>
      <c r="J32" s="182">
        <f>J4/$B32</f>
        <v>8995.9501775804656</v>
      </c>
      <c r="K32" s="182">
        <f>SUM(C4:G4)/B32</f>
        <v>8758.9228296601668</v>
      </c>
      <c r="L32" s="182">
        <f>(SUM(C4:E4)+G4+I4)/B32</f>
        <v>8364.9715871254157</v>
      </c>
    </row>
    <row r="33" spans="1:12" x14ac:dyDescent="0.2">
      <c r="A33" s="33" t="s">
        <v>76</v>
      </c>
      <c r="B33" s="221">
        <f t="shared" si="10"/>
        <v>18223</v>
      </c>
      <c r="C33" s="182">
        <f t="shared" si="11"/>
        <v>2397.0364896010542</v>
      </c>
      <c r="D33" s="182">
        <f t="shared" si="11"/>
        <v>613.16526258025567</v>
      </c>
      <c r="E33" s="182">
        <f t="shared" si="11"/>
        <v>819.05221203972997</v>
      </c>
      <c r="F33" s="182">
        <f t="shared" si="11"/>
        <v>4413.529171376832</v>
      </c>
      <c r="G33" s="182">
        <f t="shared" si="11"/>
        <v>1775.2709542885364</v>
      </c>
      <c r="H33" s="182">
        <f t="shared" si="11"/>
        <v>310.28558360313889</v>
      </c>
      <c r="I33" s="182">
        <f t="shared" si="11"/>
        <v>4008.0898490918075</v>
      </c>
      <c r="J33" s="182">
        <f t="shared" si="11"/>
        <v>10328.339673489547</v>
      </c>
      <c r="K33" s="182">
        <f t="shared" ref="K33:K53" si="12">SUM(C5:G5)/B33</f>
        <v>10018.054089886407</v>
      </c>
      <c r="L33" s="182">
        <f t="shared" ref="L33:L53" si="13">(SUM(C5:E5)+G5+I5)/B33</f>
        <v>9612.6147676013843</v>
      </c>
    </row>
    <row r="34" spans="1:12" x14ac:dyDescent="0.2">
      <c r="A34" s="33" t="s">
        <v>77</v>
      </c>
      <c r="B34" s="221">
        <f t="shared" si="10"/>
        <v>13498</v>
      </c>
      <c r="C34" s="182">
        <f t="shared" si="11"/>
        <v>2141.3854645132615</v>
      </c>
      <c r="D34" s="182">
        <f t="shared" si="11"/>
        <v>1138.0642265520817</v>
      </c>
      <c r="E34" s="182">
        <f t="shared" si="11"/>
        <v>876.59956882501115</v>
      </c>
      <c r="F34" s="182">
        <f t="shared" si="11"/>
        <v>4424.6008756852862</v>
      </c>
      <c r="G34" s="182">
        <f t="shared" si="11"/>
        <v>1680.2868662024002</v>
      </c>
      <c r="H34" s="182">
        <f t="shared" si="11"/>
        <v>128.90843013779821</v>
      </c>
      <c r="I34" s="182">
        <f t="shared" si="11"/>
        <v>4008.0367187731513</v>
      </c>
      <c r="J34" s="182">
        <f t="shared" si="11"/>
        <v>10389.845431915841</v>
      </c>
      <c r="K34" s="182">
        <f t="shared" si="12"/>
        <v>10260.937001778042</v>
      </c>
      <c r="L34" s="182">
        <f t="shared" si="13"/>
        <v>9844.3728448659058</v>
      </c>
    </row>
    <row r="35" spans="1:12" x14ac:dyDescent="0.2">
      <c r="A35" s="33" t="s">
        <v>78</v>
      </c>
      <c r="B35" s="221">
        <f t="shared" si="10"/>
        <v>13549</v>
      </c>
      <c r="C35" s="182">
        <f t="shared" si="11"/>
        <v>2341.0203122001626</v>
      </c>
      <c r="D35" s="182">
        <f t="shared" si="11"/>
        <v>890.49538489925442</v>
      </c>
      <c r="E35" s="182">
        <f t="shared" si="11"/>
        <v>835.74192781755107</v>
      </c>
      <c r="F35" s="182">
        <f t="shared" si="11"/>
        <v>4464.9688648608753</v>
      </c>
      <c r="G35" s="182">
        <f t="shared" si="11"/>
        <v>1578.8686198243411</v>
      </c>
      <c r="H35" s="182">
        <f t="shared" si="11"/>
        <v>196.50658498782198</v>
      </c>
      <c r="I35" s="182">
        <f t="shared" si="11"/>
        <v>4030.8042726400467</v>
      </c>
      <c r="J35" s="182">
        <f t="shared" si="11"/>
        <v>10307.601694590008</v>
      </c>
      <c r="K35" s="182">
        <f t="shared" si="12"/>
        <v>10111.095109602185</v>
      </c>
      <c r="L35" s="182">
        <f t="shared" si="13"/>
        <v>9676.9305173813555</v>
      </c>
    </row>
    <row r="36" spans="1:12" x14ac:dyDescent="0.2">
      <c r="A36" s="33" t="s">
        <v>79</v>
      </c>
      <c r="B36" s="221">
        <f t="shared" si="10"/>
        <v>4973</v>
      </c>
      <c r="C36" s="182">
        <f t="shared" si="11"/>
        <v>2923.0290830484619</v>
      </c>
      <c r="D36" s="182">
        <f t="shared" si="11"/>
        <v>2019.1123024331387</v>
      </c>
      <c r="E36" s="182">
        <f t="shared" si="11"/>
        <v>990.87512366780606</v>
      </c>
      <c r="F36" s="182">
        <f t="shared" si="11"/>
        <v>4740.3123064548554</v>
      </c>
      <c r="G36" s="182">
        <f t="shared" si="11"/>
        <v>2005.6859561632809</v>
      </c>
      <c r="H36" s="182">
        <f t="shared" si="11"/>
        <v>195.39062135531867</v>
      </c>
      <c r="I36" s="182">
        <f t="shared" si="11"/>
        <v>4266.0243977478385</v>
      </c>
      <c r="J36" s="182">
        <f t="shared" si="11"/>
        <v>12874.405393122861</v>
      </c>
      <c r="K36" s="182">
        <f t="shared" si="12"/>
        <v>12679.014771767543</v>
      </c>
      <c r="L36" s="182">
        <f t="shared" si="13"/>
        <v>12204.726863060527</v>
      </c>
    </row>
    <row r="37" spans="1:12" x14ac:dyDescent="0.2">
      <c r="A37" s="33" t="s">
        <v>80</v>
      </c>
      <c r="B37" s="220">
        <f t="shared" si="10"/>
        <v>1854</v>
      </c>
      <c r="C37" s="183">
        <f t="shared" si="11"/>
        <v>3013.6861542610577</v>
      </c>
      <c r="D37" s="183">
        <f t="shared" si="11"/>
        <v>1637.4713430420713</v>
      </c>
      <c r="E37" s="183">
        <f t="shared" si="11"/>
        <v>929.40028586839264</v>
      </c>
      <c r="F37" s="183">
        <f t="shared" si="11"/>
        <v>4189.4703991370025</v>
      </c>
      <c r="G37" s="183">
        <f t="shared" si="11"/>
        <v>1591.7496224379724</v>
      </c>
      <c r="H37" s="183">
        <f t="shared" si="11"/>
        <v>53.402669902912621</v>
      </c>
      <c r="I37" s="183">
        <f t="shared" si="11"/>
        <v>3687.0172384034527</v>
      </c>
      <c r="J37" s="183">
        <f t="shared" si="11"/>
        <v>11415.180474649407</v>
      </c>
      <c r="K37" s="183">
        <f t="shared" si="12"/>
        <v>11361.777804746494</v>
      </c>
      <c r="L37" s="183">
        <f t="shared" si="13"/>
        <v>10859.324644012946</v>
      </c>
    </row>
    <row r="38" spans="1:12" x14ac:dyDescent="0.2">
      <c r="A38" s="33" t="s">
        <v>171</v>
      </c>
      <c r="B38" s="221">
        <f>SUM(B32:B37)</f>
        <v>89939</v>
      </c>
      <c r="C38" s="182">
        <f t="shared" si="11"/>
        <v>2387.8717833198057</v>
      </c>
      <c r="D38" s="182">
        <f t="shared" si="11"/>
        <v>803.16091250736611</v>
      </c>
      <c r="E38" s="182">
        <f t="shared" si="11"/>
        <v>840.95828528224672</v>
      </c>
      <c r="F38" s="182">
        <f t="shared" si="11"/>
        <v>4279.6658141629323</v>
      </c>
      <c r="G38" s="182">
        <f t="shared" si="11"/>
        <v>1401.9156171405059</v>
      </c>
      <c r="H38" s="182">
        <f t="shared" si="11"/>
        <v>223.4523722745416</v>
      </c>
      <c r="I38" s="182">
        <f>I10/$B38</f>
        <v>3867.25646260243</v>
      </c>
      <c r="J38" s="182">
        <f t="shared" si="11"/>
        <v>9937.024784687399</v>
      </c>
      <c r="K38" s="182">
        <f t="shared" si="12"/>
        <v>9713.5724124128574</v>
      </c>
      <c r="L38" s="182">
        <f t="shared" si="13"/>
        <v>9301.1630608523556</v>
      </c>
    </row>
    <row r="39" spans="1:12" x14ac:dyDescent="0.2">
      <c r="A39" s="33"/>
      <c r="B39" s="182"/>
      <c r="C39" s="182"/>
      <c r="D39" s="182"/>
      <c r="E39" s="182"/>
      <c r="F39" s="182"/>
      <c r="G39" s="182"/>
      <c r="H39" s="182"/>
      <c r="I39" s="182"/>
      <c r="J39" s="182"/>
      <c r="K39" s="182"/>
      <c r="L39" s="182"/>
    </row>
    <row r="40" spans="1:12" x14ac:dyDescent="0.2">
      <c r="A40" s="33"/>
      <c r="B40" s="221"/>
      <c r="C40" s="182"/>
      <c r="D40" s="182"/>
      <c r="E40" s="182"/>
      <c r="F40" s="182"/>
      <c r="G40" s="182"/>
      <c r="H40" s="182"/>
      <c r="I40" s="182"/>
      <c r="J40" s="182"/>
      <c r="K40" s="182"/>
      <c r="L40" s="182"/>
    </row>
    <row r="41" spans="1:12" x14ac:dyDescent="0.2">
      <c r="A41" s="33" t="s">
        <v>81</v>
      </c>
      <c r="B41" s="221">
        <f>B13</f>
        <v>21890</v>
      </c>
      <c r="C41" s="182">
        <f t="shared" ref="C41:J46" si="14">C13/$B41</f>
        <v>3210.6199661946093</v>
      </c>
      <c r="D41" s="182">
        <f t="shared" si="14"/>
        <v>826.05709684787575</v>
      </c>
      <c r="E41" s="182">
        <f t="shared" si="14"/>
        <v>913.25133394243949</v>
      </c>
      <c r="F41" s="182">
        <f t="shared" si="14"/>
        <v>4433.0119337597071</v>
      </c>
      <c r="G41" s="182">
        <f t="shared" si="14"/>
        <v>585.65391000456827</v>
      </c>
      <c r="H41" s="182">
        <f t="shared" si="14"/>
        <v>166.45861946094107</v>
      </c>
      <c r="I41" s="182">
        <f t="shared" si="14"/>
        <v>3961.0211160347194</v>
      </c>
      <c r="J41" s="182">
        <f t="shared" si="14"/>
        <v>10135.05286021014</v>
      </c>
      <c r="K41" s="182">
        <f t="shared" si="12"/>
        <v>9968.5942407492003</v>
      </c>
      <c r="L41" s="182">
        <f t="shared" si="13"/>
        <v>9496.603423024213</v>
      </c>
    </row>
    <row r="42" spans="1:12" x14ac:dyDescent="0.2">
      <c r="A42" s="33" t="s">
        <v>82</v>
      </c>
      <c r="B42" s="221">
        <f>B14</f>
        <v>6282</v>
      </c>
      <c r="C42" s="182">
        <f t="shared" si="14"/>
        <v>3000.3940130531687</v>
      </c>
      <c r="D42" s="182">
        <f t="shared" si="14"/>
        <v>941.67312480101884</v>
      </c>
      <c r="E42" s="182">
        <f t="shared" si="14"/>
        <v>916.15628939828093</v>
      </c>
      <c r="F42" s="182">
        <f t="shared" si="14"/>
        <v>4681.2699267749122</v>
      </c>
      <c r="G42" s="182">
        <f t="shared" si="14"/>
        <v>1089.188022922636</v>
      </c>
      <c r="H42" s="182">
        <f>H14/$B42</f>
        <v>18.905964660936007</v>
      </c>
      <c r="I42" s="182">
        <f t="shared" si="14"/>
        <v>4170.8389748487743</v>
      </c>
      <c r="J42" s="182">
        <f t="shared" si="14"/>
        <v>10647.587341610953</v>
      </c>
      <c r="K42" s="182">
        <f t="shared" si="12"/>
        <v>10628.681376950019</v>
      </c>
      <c r="L42" s="182">
        <f t="shared" si="13"/>
        <v>10118.250425023878</v>
      </c>
    </row>
    <row r="43" spans="1:12" x14ac:dyDescent="0.2">
      <c r="A43" s="33" t="s">
        <v>83</v>
      </c>
      <c r="B43" s="221">
        <f>B15</f>
        <v>5828</v>
      </c>
      <c r="C43" s="182">
        <f t="shared" si="14"/>
        <v>2974.5685706932049</v>
      </c>
      <c r="D43" s="182">
        <f t="shared" si="14"/>
        <v>2173.3865099519562</v>
      </c>
      <c r="E43" s="182">
        <f t="shared" si="14"/>
        <v>986.11884008236109</v>
      </c>
      <c r="F43" s="182">
        <f t="shared" si="14"/>
        <v>5178.5319698009607</v>
      </c>
      <c r="G43" s="182">
        <f t="shared" si="14"/>
        <v>1101.063323610158</v>
      </c>
      <c r="H43" s="182">
        <f>H15/$B43</f>
        <v>168.21373884694577</v>
      </c>
      <c r="I43" s="182">
        <f t="shared" si="14"/>
        <v>4628.7979993136569</v>
      </c>
      <c r="J43" s="182">
        <f t="shared" si="14"/>
        <v>12581.882952985587</v>
      </c>
      <c r="K43" s="182">
        <f t="shared" si="12"/>
        <v>12413.669214138639</v>
      </c>
      <c r="L43" s="182">
        <f t="shared" si="13"/>
        <v>11863.935243651338</v>
      </c>
    </row>
    <row r="44" spans="1:12" x14ac:dyDescent="0.2">
      <c r="A44" s="33" t="s">
        <v>84</v>
      </c>
      <c r="B44" s="221">
        <f>B16</f>
        <v>5163</v>
      </c>
      <c r="C44" s="182">
        <f t="shared" si="14"/>
        <v>3326.5190451288013</v>
      </c>
      <c r="D44" s="182">
        <f t="shared" si="14"/>
        <v>1738.7585221770289</v>
      </c>
      <c r="E44" s="182">
        <f t="shared" si="14"/>
        <v>1180.5259209761764</v>
      </c>
      <c r="F44" s="182">
        <f t="shared" si="14"/>
        <v>6110.8428084447032</v>
      </c>
      <c r="G44" s="182">
        <f t="shared" si="14"/>
        <v>1206.768700368003</v>
      </c>
      <c r="H44" s="182">
        <f>H16/$B44</f>
        <v>37.390522951772226</v>
      </c>
      <c r="I44" s="182">
        <f t="shared" si="14"/>
        <v>5475.4494673639356</v>
      </c>
      <c r="J44" s="182">
        <f t="shared" si="14"/>
        <v>13600.805520046482</v>
      </c>
      <c r="K44" s="182">
        <f t="shared" si="12"/>
        <v>13563.414997094711</v>
      </c>
      <c r="L44" s="182">
        <f t="shared" si="13"/>
        <v>12928.021656013945</v>
      </c>
    </row>
    <row r="45" spans="1:12" x14ac:dyDescent="0.2">
      <c r="A45" s="33" t="s">
        <v>85</v>
      </c>
      <c r="B45" s="220">
        <f>B17</f>
        <v>1384</v>
      </c>
      <c r="C45" s="183">
        <f t="shared" si="14"/>
        <v>5778.2689956647391</v>
      </c>
      <c r="D45" s="183">
        <f t="shared" si="14"/>
        <v>5426.9538150289018</v>
      </c>
      <c r="E45" s="183">
        <f t="shared" si="14"/>
        <v>1827.8700361271672</v>
      </c>
      <c r="F45" s="183">
        <f t="shared" si="14"/>
        <v>8365.7352745664721</v>
      </c>
      <c r="G45" s="183">
        <f t="shared" si="14"/>
        <v>1221.6866329479767</v>
      </c>
      <c r="H45" s="183">
        <f>H17/$B45</f>
        <v>210.71447976878613</v>
      </c>
      <c r="I45" s="183">
        <f t="shared" si="14"/>
        <v>7413.3243930635836</v>
      </c>
      <c r="J45" s="183">
        <f t="shared" si="14"/>
        <v>22831.229234104045</v>
      </c>
      <c r="K45" s="183">
        <f t="shared" si="12"/>
        <v>22620.514754335258</v>
      </c>
      <c r="L45" s="183">
        <f t="shared" si="13"/>
        <v>21668.103872832369</v>
      </c>
    </row>
    <row r="46" spans="1:12" x14ac:dyDescent="0.2">
      <c r="A46" s="33" t="s">
        <v>172</v>
      </c>
      <c r="B46" s="221">
        <f>SUM(B41:B45)</f>
        <v>40547</v>
      </c>
      <c r="C46" s="182">
        <f t="shared" si="14"/>
        <v>3246.5206797050337</v>
      </c>
      <c r="D46" s="182">
        <f t="shared" si="14"/>
        <v>1310.8883845907219</v>
      </c>
      <c r="E46" s="182">
        <f t="shared" si="14"/>
        <v>989.4269260364515</v>
      </c>
      <c r="F46" s="182">
        <f t="shared" si="14"/>
        <v>4926.5127449626352</v>
      </c>
      <c r="G46" s="182">
        <f t="shared" si="14"/>
        <v>838.54789256911727</v>
      </c>
      <c r="H46" s="182">
        <f t="shared" si="14"/>
        <v>128.92623942585143</v>
      </c>
      <c r="I46" s="182">
        <f t="shared" si="14"/>
        <v>4400.1870414580608</v>
      </c>
      <c r="J46" s="182">
        <f t="shared" si="14"/>
        <v>11440.822867289811</v>
      </c>
      <c r="K46" s="182">
        <f t="shared" si="12"/>
        <v>11311.896627863958</v>
      </c>
      <c r="L46" s="182">
        <f t="shared" si="13"/>
        <v>10785.570924359385</v>
      </c>
    </row>
    <row r="47" spans="1:12" x14ac:dyDescent="0.2">
      <c r="A47" s="33"/>
      <c r="B47" s="182"/>
      <c r="C47" s="182"/>
      <c r="D47" s="182"/>
      <c r="E47" s="182"/>
      <c r="F47" s="182"/>
      <c r="G47" s="182"/>
      <c r="H47" s="182"/>
      <c r="I47" s="182"/>
      <c r="J47" s="182"/>
      <c r="K47" s="182"/>
      <c r="L47" s="182"/>
    </row>
    <row r="48" spans="1:12" x14ac:dyDescent="0.2">
      <c r="A48" s="33"/>
      <c r="B48" s="221"/>
      <c r="C48" s="182"/>
      <c r="D48" s="182"/>
      <c r="E48" s="182"/>
      <c r="F48" s="182"/>
      <c r="G48" s="182"/>
      <c r="H48" s="182"/>
      <c r="I48" s="182"/>
      <c r="J48" s="182"/>
      <c r="K48" s="182"/>
      <c r="L48" s="182"/>
    </row>
    <row r="49" spans="1:12" x14ac:dyDescent="0.2">
      <c r="A49" s="33" t="s">
        <v>86</v>
      </c>
      <c r="B49" s="221">
        <f>B21</f>
        <v>10013</v>
      </c>
      <c r="C49" s="182">
        <f t="shared" ref="C49:J51" si="15">C21/$B49</f>
        <v>2202.2010416458611</v>
      </c>
      <c r="D49" s="182">
        <f t="shared" si="15"/>
        <v>727.67462698491966</v>
      </c>
      <c r="E49" s="182">
        <f t="shared" si="15"/>
        <v>834.113099970039</v>
      </c>
      <c r="F49" s="182">
        <f t="shared" si="15"/>
        <v>4688.2772935184257</v>
      </c>
      <c r="G49" s="182">
        <f t="shared" si="15"/>
        <v>1007.0788784580046</v>
      </c>
      <c r="H49" s="182">
        <f t="shared" si="15"/>
        <v>205.40671726755221</v>
      </c>
      <c r="I49" s="182">
        <f>I21/$B49</f>
        <v>4228.9574892639566</v>
      </c>
      <c r="J49" s="182">
        <f t="shared" si="15"/>
        <v>9664.751657844803</v>
      </c>
      <c r="K49" s="182">
        <f t="shared" si="12"/>
        <v>9459.3449405772517</v>
      </c>
      <c r="L49" s="182">
        <f t="shared" si="13"/>
        <v>9000.0251363227799</v>
      </c>
    </row>
    <row r="50" spans="1:12" x14ac:dyDescent="0.2">
      <c r="A50" s="33" t="s">
        <v>87</v>
      </c>
      <c r="B50" s="220">
        <f>B22</f>
        <v>7466</v>
      </c>
      <c r="C50" s="183">
        <f t="shared" si="15"/>
        <v>3755.8782105545138</v>
      </c>
      <c r="D50" s="183">
        <f t="shared" si="15"/>
        <v>3132.5455344227166</v>
      </c>
      <c r="E50" s="183">
        <f t="shared" si="15"/>
        <v>1214.098404768283</v>
      </c>
      <c r="F50" s="183">
        <f t="shared" si="15"/>
        <v>5328.735298687383</v>
      </c>
      <c r="G50" s="183">
        <f t="shared" si="15"/>
        <v>1288.9648714170903</v>
      </c>
      <c r="H50" s="183">
        <f t="shared" si="15"/>
        <v>201.88242030538439</v>
      </c>
      <c r="I50" s="183">
        <f>I22/$B50</f>
        <v>4728.8878730243759</v>
      </c>
      <c r="J50" s="183">
        <f t="shared" si="15"/>
        <v>14922.104740155371</v>
      </c>
      <c r="K50" s="183">
        <f t="shared" si="12"/>
        <v>14720.222319849987</v>
      </c>
      <c r="L50" s="183">
        <f t="shared" si="13"/>
        <v>14120.374894186978</v>
      </c>
    </row>
    <row r="51" spans="1:12" x14ac:dyDescent="0.2">
      <c r="A51" s="33" t="s">
        <v>173</v>
      </c>
      <c r="B51" s="221">
        <f>SUM(B49:B50)</f>
        <v>17479</v>
      </c>
      <c r="C51" s="182">
        <f t="shared" si="15"/>
        <v>2865.8404800045769</v>
      </c>
      <c r="D51" s="182">
        <f t="shared" si="15"/>
        <v>1754.8939298586877</v>
      </c>
      <c r="E51" s="182">
        <f t="shared" si="15"/>
        <v>996.42045654785761</v>
      </c>
      <c r="F51" s="182">
        <f t="shared" si="15"/>
        <v>4961.8432564792038</v>
      </c>
      <c r="G51" s="182">
        <f t="shared" si="15"/>
        <v>1127.4839830653927</v>
      </c>
      <c r="H51" s="182">
        <f t="shared" si="15"/>
        <v>203.90134504262261</v>
      </c>
      <c r="I51" s="182">
        <f>I23/$B51</f>
        <v>4442.4983237027282</v>
      </c>
      <c r="J51" s="182">
        <f t="shared" si="15"/>
        <v>11910.383450998343</v>
      </c>
      <c r="K51" s="182">
        <f t="shared" si="12"/>
        <v>11706.482105955718</v>
      </c>
      <c r="L51" s="182">
        <f t="shared" si="13"/>
        <v>11187.137173179242</v>
      </c>
    </row>
    <row r="52" spans="1:12" x14ac:dyDescent="0.2">
      <c r="A52" s="33"/>
      <c r="B52" s="214"/>
      <c r="C52" s="182"/>
      <c r="D52" s="182"/>
      <c r="E52" s="182"/>
      <c r="F52" s="182"/>
      <c r="G52" s="182"/>
      <c r="H52" s="182"/>
      <c r="I52" s="182"/>
      <c r="J52" s="182"/>
      <c r="K52" s="182"/>
      <c r="L52" s="182"/>
    </row>
    <row r="53" spans="1:12" ht="13.5" thickBot="1" x14ac:dyDescent="0.25">
      <c r="A53" s="33" t="s">
        <v>174</v>
      </c>
      <c r="B53" s="222">
        <f>B51+B46+B38</f>
        <v>147965</v>
      </c>
      <c r="C53" s="192">
        <f t="shared" ref="C53:J53" si="16">C25/$B53</f>
        <v>2679.6303184536887</v>
      </c>
      <c r="D53" s="192">
        <f t="shared" si="16"/>
        <v>1054.7215330652518</v>
      </c>
      <c r="E53" s="192">
        <f t="shared" si="16"/>
        <v>900.00793397087136</v>
      </c>
      <c r="F53" s="192">
        <f t="shared" si="16"/>
        <v>4537.5070740377787</v>
      </c>
      <c r="G53" s="192">
        <f t="shared" si="16"/>
        <v>1215.116971108032</v>
      </c>
      <c r="H53" s="192">
        <f t="shared" si="16"/>
        <v>195.23973067955254</v>
      </c>
      <c r="I53" s="192">
        <f>I25/$B53</f>
        <v>4081.2488842631692</v>
      </c>
      <c r="J53" s="192">
        <f t="shared" si="16"/>
        <v>10582.223561315175</v>
      </c>
      <c r="K53" s="192">
        <f t="shared" si="12"/>
        <v>10386.983830635621</v>
      </c>
      <c r="L53" s="192">
        <f t="shared" si="13"/>
        <v>9930.7256408610137</v>
      </c>
    </row>
    <row r="54" spans="1:12" ht="21" thickTop="1" x14ac:dyDescent="0.3">
      <c r="A54" s="33"/>
      <c r="B54" s="270" t="s">
        <v>1105</v>
      </c>
      <c r="C54" s="182"/>
      <c r="D54" s="182"/>
      <c r="E54" s="182"/>
      <c r="F54" s="182"/>
      <c r="G54" s="182"/>
      <c r="H54" s="182"/>
      <c r="I54" s="182"/>
      <c r="J54" s="182"/>
      <c r="K54" s="182"/>
    </row>
    <row r="55" spans="1:12" x14ac:dyDescent="0.2">
      <c r="A55" s="33"/>
      <c r="B55" s="182"/>
      <c r="C55" s="182"/>
      <c r="D55" s="182"/>
      <c r="E55" s="182"/>
      <c r="F55" s="182"/>
      <c r="G55" s="182"/>
      <c r="H55" s="182"/>
      <c r="I55" s="182"/>
      <c r="J55" s="182"/>
      <c r="K55" s="182"/>
    </row>
    <row r="56" spans="1:12" x14ac:dyDescent="0.2">
      <c r="A56" s="36" t="s">
        <v>200</v>
      </c>
      <c r="B56" s="36"/>
      <c r="C56" s="36"/>
      <c r="D56" s="36"/>
      <c r="E56" s="36"/>
      <c r="F56" s="36"/>
      <c r="G56" s="36"/>
      <c r="H56" s="36"/>
      <c r="I56" s="36"/>
      <c r="J56" s="36"/>
      <c r="K56" s="182"/>
    </row>
    <row r="57" spans="1:12" x14ac:dyDescent="0.2">
      <c r="A57" s="36" t="s">
        <v>11</v>
      </c>
      <c r="B57" s="22" t="str">
        <f>C2</f>
        <v>FY11</v>
      </c>
      <c r="J57" s="202"/>
      <c r="K57" s="182"/>
    </row>
    <row r="58" spans="1:12" ht="22.5" x14ac:dyDescent="0.2">
      <c r="A58" s="20" t="s">
        <v>245</v>
      </c>
      <c r="B58" s="21"/>
      <c r="C58" s="202" t="str">
        <f t="shared" ref="C58:H58" si="17">C3</f>
        <v>11/Pupil Property Tax</v>
      </c>
      <c r="D58" s="202" t="str">
        <f t="shared" si="17"/>
        <v>11/Pupil Non Levy Revenue</v>
      </c>
      <c r="E58" s="202" t="str">
        <f t="shared" si="17"/>
        <v>11/Pupil County Revenue</v>
      </c>
      <c r="F58" s="202" t="str">
        <f t="shared" si="17"/>
        <v>*11/Pupil State Revenue</v>
      </c>
      <c r="G58" s="202" t="str">
        <f t="shared" si="17"/>
        <v>11/Pupil Federal Revenue</v>
      </c>
      <c r="H58" s="202" t="str">
        <f t="shared" si="17"/>
        <v>11/ARRA Revenue</v>
      </c>
      <c r="I58" s="202" t="str">
        <f>J3</f>
        <v>11/Pupil Total Revenue</v>
      </c>
      <c r="J58" s="202"/>
    </row>
    <row r="59" spans="1:12" x14ac:dyDescent="0.2">
      <c r="A59" s="33" t="s">
        <v>102</v>
      </c>
      <c r="B59" s="221"/>
      <c r="C59" s="224">
        <f t="shared" ref="C59:H65" si="18">C32/$J32</f>
        <v>0.26535997249587967</v>
      </c>
      <c r="D59" s="224">
        <f t="shared" si="18"/>
        <v>6.0389112965832235E-2</v>
      </c>
      <c r="E59" s="224">
        <f t="shared" si="18"/>
        <v>9.0777243977786831E-2</v>
      </c>
      <c r="F59" s="224">
        <f>F32/$J32</f>
        <v>0.44920689843590789</v>
      </c>
      <c r="G59" s="224">
        <f t="shared" si="18"/>
        <v>0.1079185439506519</v>
      </c>
      <c r="H59" s="224">
        <f t="shared" si="18"/>
        <v>2.6348228173941553E-2</v>
      </c>
      <c r="I59" s="224">
        <f t="shared" ref="I59:I65" si="19">J32/$J32</f>
        <v>1</v>
      </c>
      <c r="J59" s="182"/>
    </row>
    <row r="60" spans="1:12" x14ac:dyDescent="0.2">
      <c r="A60" s="33" t="s">
        <v>76</v>
      </c>
      <c r="B60" s="221"/>
      <c r="C60" s="224">
        <f t="shared" si="18"/>
        <v>0.2320834292227715</v>
      </c>
      <c r="D60" s="224">
        <f t="shared" si="18"/>
        <v>5.9367263467729352E-2</v>
      </c>
      <c r="E60" s="224">
        <f t="shared" si="18"/>
        <v>7.9301440302360221E-2</v>
      </c>
      <c r="F60" s="224">
        <f t="shared" si="18"/>
        <v>0.42732223289531596</v>
      </c>
      <c r="G60" s="224">
        <f t="shared" si="18"/>
        <v>0.17188347889499075</v>
      </c>
      <c r="H60" s="224">
        <f>H33/$J33</f>
        <v>3.0042155216832192E-2</v>
      </c>
      <c r="I60" s="224">
        <f t="shared" si="19"/>
        <v>1</v>
      </c>
      <c r="J60" s="182"/>
    </row>
    <row r="61" spans="1:12" x14ac:dyDescent="0.2">
      <c r="A61" s="33" t="s">
        <v>77</v>
      </c>
      <c r="B61" s="221"/>
      <c r="C61" s="224">
        <f t="shared" si="18"/>
        <v>0.20610368831236786</v>
      </c>
      <c r="D61" s="224">
        <f t="shared" si="18"/>
        <v>0.10953620378760801</v>
      </c>
      <c r="E61" s="224">
        <f t="shared" si="18"/>
        <v>8.4370799793830054E-2</v>
      </c>
      <c r="F61" s="224">
        <f t="shared" si="18"/>
        <v>0.42585820017049181</v>
      </c>
      <c r="G61" s="224">
        <f t="shared" si="18"/>
        <v>0.16172395221981303</v>
      </c>
      <c r="H61" s="224">
        <f>H34/$J34</f>
        <v>1.2407155715889035E-2</v>
      </c>
      <c r="I61" s="224">
        <f t="shared" si="19"/>
        <v>1</v>
      </c>
      <c r="J61" s="182"/>
    </row>
    <row r="62" spans="1:12" x14ac:dyDescent="0.2">
      <c r="A62" s="33" t="s">
        <v>78</v>
      </c>
      <c r="B62" s="221"/>
      <c r="C62" s="224">
        <f t="shared" si="18"/>
        <v>0.2271159074209142</v>
      </c>
      <c r="D62" s="224">
        <f t="shared" si="18"/>
        <v>8.6392102768836618E-2</v>
      </c>
      <c r="E62" s="224">
        <f t="shared" si="18"/>
        <v>8.1080153519726514E-2</v>
      </c>
      <c r="F62" s="224">
        <f t="shared" si="18"/>
        <v>0.43317242916015414</v>
      </c>
      <c r="G62" s="224">
        <f t="shared" si="18"/>
        <v>0.15317516786208546</v>
      </c>
      <c r="H62" s="224">
        <f>H35/$J35</f>
        <v>1.9064239268282879E-2</v>
      </c>
      <c r="I62" s="224">
        <f t="shared" si="19"/>
        <v>1</v>
      </c>
      <c r="J62" s="182"/>
    </row>
    <row r="63" spans="1:12" x14ac:dyDescent="0.2">
      <c r="A63" s="33" t="s">
        <v>79</v>
      </c>
      <c r="B63" s="221"/>
      <c r="C63" s="224">
        <f t="shared" si="18"/>
        <v>0.2270418705791151</v>
      </c>
      <c r="D63" s="224">
        <f t="shared" si="18"/>
        <v>0.1568314994579626</v>
      </c>
      <c r="E63" s="224">
        <f t="shared" si="18"/>
        <v>7.6964729120391318E-2</v>
      </c>
      <c r="F63" s="224">
        <f t="shared" si="18"/>
        <v>0.36819660106298924</v>
      </c>
      <c r="G63" s="224">
        <f t="shared" si="18"/>
        <v>0.15578862828373113</v>
      </c>
      <c r="H63" s="224">
        <f>H36/$J36</f>
        <v>1.5176671495810654E-2</v>
      </c>
      <c r="I63" s="224">
        <f t="shared" si="19"/>
        <v>1</v>
      </c>
      <c r="J63" s="182"/>
    </row>
    <row r="64" spans="1:12" x14ac:dyDescent="0.2">
      <c r="A64" s="33" t="s">
        <v>80</v>
      </c>
      <c r="B64" s="221"/>
      <c r="C64" s="225">
        <f t="shared" si="18"/>
        <v>0.264006877591974</v>
      </c>
      <c r="D64" s="225">
        <f t="shared" si="18"/>
        <v>0.14344682037034223</v>
      </c>
      <c r="E64" s="225">
        <f t="shared" si="18"/>
        <v>8.1417923083422578E-2</v>
      </c>
      <c r="F64" s="225">
        <f t="shared" si="18"/>
        <v>0.36700868711107021</v>
      </c>
      <c r="G64" s="225">
        <f t="shared" si="18"/>
        <v>0.13944147672241333</v>
      </c>
      <c r="H64" s="225">
        <f>H37/$J37</f>
        <v>4.678215120777823E-3</v>
      </c>
      <c r="I64" s="225">
        <f t="shared" si="19"/>
        <v>1</v>
      </c>
      <c r="J64" s="182"/>
    </row>
    <row r="65" spans="1:10" x14ac:dyDescent="0.2">
      <c r="A65" s="33" t="s">
        <v>171</v>
      </c>
      <c r="B65" s="221"/>
      <c r="C65" s="224">
        <f t="shared" si="18"/>
        <v>0.24030047575200084</v>
      </c>
      <c r="D65" s="224">
        <f t="shared" si="18"/>
        <v>8.082508898891029E-2</v>
      </c>
      <c r="E65" s="224">
        <f t="shared" si="18"/>
        <v>8.4628780093024769E-2</v>
      </c>
      <c r="F65" s="224">
        <f t="shared" si="18"/>
        <v>0.43067879037171619</v>
      </c>
      <c r="G65" s="224">
        <f t="shared" si="18"/>
        <v>0.14108001615340721</v>
      </c>
      <c r="H65" s="224">
        <f t="shared" si="18"/>
        <v>2.2486848640940672E-2</v>
      </c>
      <c r="I65" s="224">
        <f t="shared" si="19"/>
        <v>1</v>
      </c>
      <c r="J65" s="182"/>
    </row>
    <row r="66" spans="1:10" x14ac:dyDescent="0.2">
      <c r="A66" s="33"/>
      <c r="B66" s="182"/>
      <c r="C66" s="224"/>
      <c r="D66" s="224"/>
      <c r="E66" s="224"/>
      <c r="F66" s="224"/>
      <c r="G66" s="224"/>
      <c r="H66" s="224"/>
      <c r="I66" s="224"/>
      <c r="J66" s="182"/>
    </row>
    <row r="67" spans="1:10" x14ac:dyDescent="0.2">
      <c r="A67" s="33"/>
      <c r="B67" s="221"/>
      <c r="C67" s="224"/>
      <c r="D67" s="224"/>
      <c r="E67" s="224"/>
      <c r="F67" s="224"/>
      <c r="G67" s="224"/>
      <c r="H67" s="224"/>
      <c r="I67" s="224"/>
      <c r="J67" s="182"/>
    </row>
    <row r="68" spans="1:10" x14ac:dyDescent="0.2">
      <c r="A68" s="33" t="s">
        <v>81</v>
      </c>
      <c r="B68" s="221"/>
      <c r="C68" s="224">
        <f t="shared" ref="C68:H73" si="20">C41/$J41</f>
        <v>0.31678374158258116</v>
      </c>
      <c r="D68" s="224">
        <f t="shared" si="20"/>
        <v>8.1504961862699968E-2</v>
      </c>
      <c r="E68" s="224">
        <f t="shared" si="20"/>
        <v>9.0108196428637488E-2</v>
      </c>
      <c r="F68" s="224">
        <f t="shared" si="20"/>
        <v>0.43739406147189969</v>
      </c>
      <c r="G68" s="224">
        <f t="shared" si="20"/>
        <v>5.7784988207000364E-2</v>
      </c>
      <c r="H68" s="224">
        <f t="shared" si="20"/>
        <v>1.642405044718136E-2</v>
      </c>
      <c r="I68" s="224">
        <f t="shared" ref="I68:I73" si="21">J41/$J41</f>
        <v>1</v>
      </c>
      <c r="J68" s="182"/>
    </row>
    <row r="69" spans="1:10" x14ac:dyDescent="0.2">
      <c r="A69" s="33" t="s">
        <v>82</v>
      </c>
      <c r="B69" s="221"/>
      <c r="C69" s="224">
        <f t="shared" si="20"/>
        <v>0.28179097449875595</v>
      </c>
      <c r="D69" s="224">
        <f t="shared" si="20"/>
        <v>8.8440046988010529E-2</v>
      </c>
      <c r="E69" s="224">
        <f t="shared" si="20"/>
        <v>8.6043557099355877E-2</v>
      </c>
      <c r="F69" s="224">
        <f t="shared" si="20"/>
        <v>0.43965546152229523</v>
      </c>
      <c r="G69" s="224">
        <f t="shared" si="20"/>
        <v>0.10229434969423266</v>
      </c>
      <c r="H69" s="224">
        <f>H42/$J42</f>
        <v>1.7756101973497014E-3</v>
      </c>
      <c r="I69" s="224">
        <f t="shared" si="21"/>
        <v>1</v>
      </c>
      <c r="J69" s="182"/>
    </row>
    <row r="70" spans="1:10" x14ac:dyDescent="0.2">
      <c r="A70" s="33" t="s">
        <v>83</v>
      </c>
      <c r="B70" s="221"/>
      <c r="C70" s="224">
        <f t="shared" si="20"/>
        <v>0.23641680516407618</v>
      </c>
      <c r="D70" s="224">
        <f t="shared" si="20"/>
        <v>0.17273936803205023</v>
      </c>
      <c r="E70" s="224">
        <f t="shared" si="20"/>
        <v>7.8376093925461493E-2</v>
      </c>
      <c r="F70" s="224">
        <f t="shared" si="20"/>
        <v>0.4115864047656026</v>
      </c>
      <c r="G70" s="224">
        <f t="shared" si="20"/>
        <v>8.7511807868859884E-2</v>
      </c>
      <c r="H70" s="224">
        <f>H43/$J43</f>
        <v>1.3369520243949648E-2</v>
      </c>
      <c r="I70" s="224">
        <f t="shared" si="21"/>
        <v>1</v>
      </c>
      <c r="J70" s="182"/>
    </row>
    <row r="71" spans="1:10" x14ac:dyDescent="0.2">
      <c r="A71" s="33" t="s">
        <v>84</v>
      </c>
      <c r="B71" s="221"/>
      <c r="C71" s="224">
        <f t="shared" si="20"/>
        <v>0.24458250213384658</v>
      </c>
      <c r="D71" s="224">
        <f t="shared" si="20"/>
        <v>0.12784231931073789</v>
      </c>
      <c r="E71" s="224">
        <f t="shared" si="20"/>
        <v>8.6798235533636373E-2</v>
      </c>
      <c r="F71" s="224">
        <f t="shared" si="20"/>
        <v>0.44930006531141242</v>
      </c>
      <c r="G71" s="224">
        <f t="shared" si="20"/>
        <v>8.8727737382122251E-2</v>
      </c>
      <c r="H71" s="224">
        <f>H44/$J44</f>
        <v>2.7491403282446495E-3</v>
      </c>
      <c r="I71" s="224">
        <f t="shared" si="21"/>
        <v>1</v>
      </c>
      <c r="J71" s="182"/>
    </row>
    <row r="72" spans="1:10" x14ac:dyDescent="0.2">
      <c r="A72" s="33" t="s">
        <v>85</v>
      </c>
      <c r="B72" s="221"/>
      <c r="C72" s="225">
        <f t="shared" si="20"/>
        <v>0.25308619769948593</v>
      </c>
      <c r="D72" s="225">
        <f t="shared" si="20"/>
        <v>0.2376987134324951</v>
      </c>
      <c r="E72" s="225">
        <f t="shared" si="20"/>
        <v>8.0060079875015872E-2</v>
      </c>
      <c r="F72" s="225">
        <f t="shared" si="20"/>
        <v>0.36641633215570335</v>
      </c>
      <c r="G72" s="225">
        <f t="shared" si="20"/>
        <v>5.3509454984714003E-2</v>
      </c>
      <c r="H72" s="225">
        <f>H45/$J45</f>
        <v>9.2292218525856836E-3</v>
      </c>
      <c r="I72" s="225">
        <f t="shared" si="21"/>
        <v>1</v>
      </c>
      <c r="J72" s="182"/>
    </row>
    <row r="73" spans="1:10" x14ac:dyDescent="0.2">
      <c r="A73" s="33" t="s">
        <v>172</v>
      </c>
      <c r="B73" s="221"/>
      <c r="C73" s="224">
        <f t="shared" si="20"/>
        <v>0.28376636168252239</v>
      </c>
      <c r="D73" s="224">
        <f t="shared" si="20"/>
        <v>0.11457990389298414</v>
      </c>
      <c r="E73" s="224">
        <f t="shared" si="20"/>
        <v>8.6482147089725417E-2</v>
      </c>
      <c r="F73" s="224">
        <f t="shared" si="20"/>
        <v>0.43060825275495807</v>
      </c>
      <c r="G73" s="224">
        <f t="shared" si="20"/>
        <v>7.3294368971185617E-2</v>
      </c>
      <c r="H73" s="224">
        <f t="shared" si="20"/>
        <v>1.1268965608624308E-2</v>
      </c>
      <c r="I73" s="224">
        <f t="shared" si="21"/>
        <v>1</v>
      </c>
      <c r="J73" s="182"/>
    </row>
    <row r="74" spans="1:10" x14ac:dyDescent="0.2">
      <c r="A74" s="33"/>
      <c r="B74" s="182"/>
      <c r="C74" s="224"/>
      <c r="D74" s="224"/>
      <c r="E74" s="224"/>
      <c r="F74" s="224"/>
      <c r="G74" s="224"/>
      <c r="H74" s="224"/>
      <c r="I74" s="224"/>
      <c r="J74" s="182"/>
    </row>
    <row r="75" spans="1:10" x14ac:dyDescent="0.2">
      <c r="A75" s="33"/>
      <c r="B75" s="221"/>
      <c r="C75" s="224"/>
      <c r="D75" s="224"/>
      <c r="E75" s="224"/>
      <c r="F75" s="224"/>
      <c r="G75" s="224"/>
      <c r="H75" s="224"/>
      <c r="I75" s="224"/>
      <c r="J75" s="182"/>
    </row>
    <row r="76" spans="1:10" x14ac:dyDescent="0.2">
      <c r="A76" s="33" t="s">
        <v>86</v>
      </c>
      <c r="B76" s="221"/>
      <c r="C76" s="224">
        <f t="shared" ref="C76:H78" si="22">C49/$J49</f>
        <v>0.22785904072955168</v>
      </c>
      <c r="D76" s="224">
        <f t="shared" si="22"/>
        <v>7.5291601144688691E-2</v>
      </c>
      <c r="E76" s="224">
        <f t="shared" si="22"/>
        <v>8.6304659395256778E-2</v>
      </c>
      <c r="F76" s="224">
        <f t="shared" si="22"/>
        <v>0.48509030128187391</v>
      </c>
      <c r="G76" s="224">
        <f t="shared" si="22"/>
        <v>0.10420121634895467</v>
      </c>
      <c r="H76" s="224">
        <f t="shared" si="22"/>
        <v>2.1253181099674216E-2</v>
      </c>
      <c r="I76" s="224">
        <f>J49/$J49</f>
        <v>1</v>
      </c>
      <c r="J76" s="182"/>
    </row>
    <row r="77" spans="1:10" x14ac:dyDescent="0.2">
      <c r="A77" s="33" t="s">
        <v>87</v>
      </c>
      <c r="B77" s="221"/>
      <c r="C77" s="225">
        <f t="shared" si="22"/>
        <v>0.25169895775141216</v>
      </c>
      <c r="D77" s="225">
        <f t="shared" si="22"/>
        <v>0.20992652102173223</v>
      </c>
      <c r="E77" s="225">
        <f t="shared" si="22"/>
        <v>8.1362410056079096E-2</v>
      </c>
      <c r="F77" s="225">
        <f t="shared" si="22"/>
        <v>0.35710346438915958</v>
      </c>
      <c r="G77" s="225">
        <f t="shared" si="22"/>
        <v>8.6379561989568865E-2</v>
      </c>
      <c r="H77" s="225">
        <f t="shared" si="22"/>
        <v>1.3529084792048066E-2</v>
      </c>
      <c r="I77" s="225">
        <f>J50/$J50</f>
        <v>1</v>
      </c>
      <c r="J77" s="182"/>
    </row>
    <row r="78" spans="1:10" x14ac:dyDescent="0.2">
      <c r="A78" s="33" t="s">
        <v>173</v>
      </c>
      <c r="B78" s="221"/>
      <c r="C78" s="224">
        <f t="shared" si="22"/>
        <v>0.24061697860486253</v>
      </c>
      <c r="D78" s="224">
        <f t="shared" si="22"/>
        <v>0.14734151398892117</v>
      </c>
      <c r="E78" s="224">
        <f t="shared" si="22"/>
        <v>8.365981335926985E-2</v>
      </c>
      <c r="F78" s="224">
        <f t="shared" si="22"/>
        <v>0.41659811179826423</v>
      </c>
      <c r="G78" s="224">
        <f t="shared" si="22"/>
        <v>9.4663953323088496E-2</v>
      </c>
      <c r="H78" s="224">
        <f t="shared" si="22"/>
        <v>1.7119628925593607E-2</v>
      </c>
      <c r="I78" s="224">
        <f>J51/$J51</f>
        <v>1</v>
      </c>
      <c r="J78" s="182"/>
    </row>
    <row r="79" spans="1:10" x14ac:dyDescent="0.2">
      <c r="A79" s="33"/>
      <c r="B79" s="221"/>
      <c r="C79" s="224"/>
      <c r="D79" s="224"/>
      <c r="E79" s="224"/>
      <c r="F79" s="224"/>
      <c r="G79" s="224"/>
      <c r="H79" s="224"/>
      <c r="I79" s="224"/>
      <c r="J79" s="182"/>
    </row>
    <row r="80" spans="1:10" ht="13.5" thickBot="1" x14ac:dyDescent="0.25">
      <c r="A80" s="33" t="s">
        <v>208</v>
      </c>
      <c r="B80" s="221"/>
      <c r="C80" s="226">
        <f t="shared" ref="C80:H80" si="23">C53/$J53</f>
        <v>0.25321996865096091</v>
      </c>
      <c r="D80" s="226">
        <f t="shared" si="23"/>
        <v>9.9669178878523848E-2</v>
      </c>
      <c r="E80" s="226">
        <f t="shared" si="23"/>
        <v>8.5049038017017381E-2</v>
      </c>
      <c r="F80" s="226">
        <f t="shared" si="23"/>
        <v>0.42878578852040905</v>
      </c>
      <c r="G80" s="226">
        <f t="shared" si="23"/>
        <v>0.11482624271425006</v>
      </c>
      <c r="H80" s="226">
        <f t="shared" si="23"/>
        <v>1.8449783218838729E-2</v>
      </c>
      <c r="I80" s="226">
        <f>J53/$J53</f>
        <v>1</v>
      </c>
      <c r="J80" s="182"/>
    </row>
    <row r="81" spans="1:11" ht="21" thickTop="1" x14ac:dyDescent="0.3">
      <c r="A81" s="33"/>
      <c r="B81" s="33"/>
      <c r="C81" s="270" t="s">
        <v>1105</v>
      </c>
      <c r="D81" s="33"/>
      <c r="E81" s="33"/>
      <c r="F81" s="33"/>
      <c r="G81" s="33"/>
      <c r="H81" s="33"/>
      <c r="I81" s="33"/>
      <c r="J81" s="33"/>
      <c r="K81" s="182"/>
    </row>
    <row r="82" spans="1:11" x14ac:dyDescent="0.2">
      <c r="A82" s="33"/>
      <c r="B82" s="33"/>
      <c r="C82" s="33"/>
      <c r="D82" s="33"/>
      <c r="E82" s="33"/>
      <c r="F82" s="33"/>
      <c r="G82" s="33"/>
      <c r="H82" s="33"/>
      <c r="I82" s="33"/>
      <c r="J82" s="33"/>
      <c r="K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AC82"/>
  <sheetViews>
    <sheetView zoomScaleNormal="100" workbookViewId="0">
      <selection activeCell="Q14" sqref="Q14"/>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4" max="14" width="7.140625" bestFit="1" customWidth="1"/>
    <col min="15" max="15" width="12.5703125" bestFit="1" customWidth="1"/>
  </cols>
  <sheetData>
    <row r="1" spans="1:29" x14ac:dyDescent="0.2">
      <c r="A1" s="36" t="s">
        <v>200</v>
      </c>
      <c r="B1" s="36"/>
      <c r="C1" s="22"/>
      <c r="D1" s="22"/>
      <c r="E1" s="22"/>
      <c r="F1" s="22"/>
      <c r="G1" s="22"/>
      <c r="H1" s="22"/>
      <c r="I1" s="22"/>
      <c r="J1" s="22"/>
      <c r="K1" s="22"/>
    </row>
    <row r="2" spans="1:29" x14ac:dyDescent="0.2">
      <c r="A2" s="36" t="s">
        <v>8</v>
      </c>
      <c r="B2" s="239"/>
      <c r="C2" s="22" t="s">
        <v>1025</v>
      </c>
      <c r="D2" s="22"/>
      <c r="E2" s="22"/>
      <c r="F2" s="22"/>
      <c r="G2" s="22"/>
      <c r="H2" s="22"/>
      <c r="I2" s="22"/>
      <c r="J2" s="22"/>
      <c r="K2" s="22"/>
    </row>
    <row r="3" spans="1:29" ht="45" x14ac:dyDescent="0.2">
      <c r="A3" s="20" t="s">
        <v>245</v>
      </c>
      <c r="B3" s="21" t="s">
        <v>1026</v>
      </c>
      <c r="C3" s="202" t="s">
        <v>1027</v>
      </c>
      <c r="D3" s="202" t="s">
        <v>1028</v>
      </c>
      <c r="E3" s="202" t="s">
        <v>1029</v>
      </c>
      <c r="F3" s="202" t="s">
        <v>1035</v>
      </c>
      <c r="G3" s="202" t="s">
        <v>1030</v>
      </c>
      <c r="H3" s="202" t="s">
        <v>1031</v>
      </c>
      <c r="I3" s="202" t="s">
        <v>1033</v>
      </c>
      <c r="J3" s="202" t="s">
        <v>1032</v>
      </c>
      <c r="K3" s="202" t="s">
        <v>1036</v>
      </c>
      <c r="L3" s="202" t="s">
        <v>1037</v>
      </c>
      <c r="M3" s="202" t="s">
        <v>1038</v>
      </c>
    </row>
    <row r="4" spans="1:29" ht="15" x14ac:dyDescent="0.25">
      <c r="A4" s="33" t="s">
        <v>102</v>
      </c>
      <c r="B4" s="214">
        <v>37450</v>
      </c>
      <c r="C4" s="214">
        <v>85252872.140000001</v>
      </c>
      <c r="D4" s="214">
        <v>24444043.449999999</v>
      </c>
      <c r="E4" s="214">
        <v>28721182.870000001</v>
      </c>
      <c r="F4" s="214">
        <v>144694549.42999998</v>
      </c>
      <c r="G4" s="214">
        <v>30367184.699999996</v>
      </c>
      <c r="H4" s="214">
        <v>8390226.9600000009</v>
      </c>
      <c r="I4" s="214">
        <v>139196761.03</v>
      </c>
      <c r="J4" s="229">
        <f t="shared" ref="J4:J9" si="0">SUM(C4:H4)</f>
        <v>321870059.54999995</v>
      </c>
      <c r="K4" s="214">
        <f t="shared" ref="K4:K10" si="1">J4/B4</f>
        <v>8594.661136181574</v>
      </c>
      <c r="L4" s="214">
        <f>SUM(C4:G4)/B4</f>
        <v>8370.6230331108145</v>
      </c>
      <c r="M4" s="214">
        <f>(SUM(C4:E4)+G4+I4)/B4</f>
        <v>8223.8196045393852</v>
      </c>
      <c r="O4" s="272">
        <f t="shared" ref="O4:O9" si="2">SUM(C4:G4)</f>
        <v>313479832.58999997</v>
      </c>
      <c r="P4" s="247"/>
      <c r="Q4" s="247"/>
      <c r="R4" s="247"/>
      <c r="S4" s="247"/>
      <c r="T4" s="247"/>
      <c r="U4" s="247"/>
      <c r="V4" s="247"/>
      <c r="W4" s="268"/>
      <c r="X4" s="268"/>
      <c r="Y4" s="268"/>
      <c r="Z4" s="268"/>
      <c r="AA4" s="268"/>
      <c r="AB4" s="268"/>
      <c r="AC4" s="268"/>
    </row>
    <row r="5" spans="1:29" ht="15" x14ac:dyDescent="0.25">
      <c r="A5" s="33" t="s">
        <v>76</v>
      </c>
      <c r="B5" s="214">
        <v>18051</v>
      </c>
      <c r="C5" s="214">
        <v>40133943.740000002</v>
      </c>
      <c r="D5" s="214">
        <v>13733967.92</v>
      </c>
      <c r="E5" s="214">
        <v>14488710.82</v>
      </c>
      <c r="F5" s="214">
        <v>75898503.969999984</v>
      </c>
      <c r="G5" s="214">
        <v>31603750.630000006</v>
      </c>
      <c r="H5" s="214">
        <v>6820970.8500000006</v>
      </c>
      <c r="I5" s="214">
        <v>73172506.359999999</v>
      </c>
      <c r="J5" s="229">
        <f t="shared" si="0"/>
        <v>182679847.92999998</v>
      </c>
      <c r="K5" s="214">
        <f t="shared" si="1"/>
        <v>10120.206522076338</v>
      </c>
      <c r="L5" s="214">
        <f t="shared" ref="L5:L25" si="3">SUM(C5:G5)/B5</f>
        <v>9742.3343349398911</v>
      </c>
      <c r="M5" s="214">
        <f t="shared" ref="M5:M25" si="4">(SUM(C5:E5)+G5+I5)/B5</f>
        <v>9591.3179031632608</v>
      </c>
      <c r="O5" s="272">
        <f t="shared" si="2"/>
        <v>175858877.07999998</v>
      </c>
      <c r="P5" s="247"/>
      <c r="Q5" s="247"/>
      <c r="R5" s="247"/>
      <c r="S5" s="247"/>
      <c r="T5" s="247"/>
      <c r="U5" s="247"/>
      <c r="V5" s="247"/>
      <c r="W5" s="268"/>
      <c r="X5" s="268"/>
      <c r="Y5" s="268"/>
      <c r="Z5" s="268"/>
      <c r="AA5" s="268"/>
      <c r="AB5" s="268"/>
      <c r="AC5" s="268"/>
    </row>
    <row r="6" spans="1:29" ht="15" x14ac:dyDescent="0.25">
      <c r="A6" s="33" t="s">
        <v>77</v>
      </c>
      <c r="B6" s="214">
        <v>13477</v>
      </c>
      <c r="C6" s="214">
        <v>26459710.180000003</v>
      </c>
      <c r="D6" s="214">
        <v>15198790.16</v>
      </c>
      <c r="E6" s="214">
        <v>10913678.700000001</v>
      </c>
      <c r="F6" s="214">
        <v>57633722.420000002</v>
      </c>
      <c r="G6" s="214">
        <v>19933722.490000002</v>
      </c>
      <c r="H6" s="214">
        <v>4280644.2399999993</v>
      </c>
      <c r="I6" s="214">
        <v>55538895.460000008</v>
      </c>
      <c r="J6" s="229">
        <f t="shared" si="0"/>
        <v>134420268.19000003</v>
      </c>
      <c r="K6" s="214">
        <f t="shared" si="1"/>
        <v>9974.0497284262092</v>
      </c>
      <c r="L6" s="214">
        <f t="shared" si="3"/>
        <v>9656.4238294872757</v>
      </c>
      <c r="M6" s="214">
        <f t="shared" si="4"/>
        <v>9500.9866431698465</v>
      </c>
      <c r="O6" s="272">
        <f t="shared" si="2"/>
        <v>130139623.95000002</v>
      </c>
      <c r="P6" s="247"/>
      <c r="Q6" s="247"/>
      <c r="R6" s="247"/>
      <c r="S6" s="247"/>
      <c r="T6" s="247"/>
      <c r="U6" s="247"/>
      <c r="V6" s="247"/>
      <c r="W6" s="268"/>
      <c r="X6" s="268"/>
      <c r="Y6" s="268"/>
      <c r="Z6" s="268"/>
      <c r="AA6" s="268"/>
      <c r="AB6" s="268"/>
      <c r="AC6" s="268"/>
    </row>
    <row r="7" spans="1:29" ht="15" x14ac:dyDescent="0.25">
      <c r="A7" s="33" t="s">
        <v>78</v>
      </c>
      <c r="B7" s="214">
        <v>13204</v>
      </c>
      <c r="C7" s="214">
        <v>28600950.109999992</v>
      </c>
      <c r="D7" s="214">
        <v>12016011.809999999</v>
      </c>
      <c r="E7" s="214">
        <v>10462742.159999996</v>
      </c>
      <c r="F7" s="214">
        <v>56605104.170000002</v>
      </c>
      <c r="G7" s="214">
        <v>23739395.239999998</v>
      </c>
      <c r="H7" s="214">
        <v>2601851.8699999996</v>
      </c>
      <c r="I7" s="214">
        <v>54471014.680000015</v>
      </c>
      <c r="J7" s="229">
        <f t="shared" si="0"/>
        <v>134026055.35999998</v>
      </c>
      <c r="K7" s="214">
        <f t="shared" si="1"/>
        <v>10150.413159648589</v>
      </c>
      <c r="L7" s="214">
        <f t="shared" si="3"/>
        <v>9953.3628817025128</v>
      </c>
      <c r="M7" s="214">
        <f t="shared" si="4"/>
        <v>9791.7384126022425</v>
      </c>
      <c r="O7" s="272">
        <f t="shared" si="2"/>
        <v>131424203.48999998</v>
      </c>
      <c r="P7" s="247"/>
      <c r="Q7" s="247"/>
      <c r="R7" s="247"/>
      <c r="S7" s="247"/>
      <c r="T7" s="247"/>
      <c r="U7" s="247"/>
      <c r="V7" s="247"/>
      <c r="W7" s="268"/>
      <c r="X7" s="268"/>
      <c r="Y7" s="268"/>
      <c r="Z7" s="268"/>
      <c r="AA7" s="268"/>
      <c r="AB7" s="268"/>
      <c r="AC7" s="268"/>
    </row>
    <row r="8" spans="1:29" ht="15" x14ac:dyDescent="0.25">
      <c r="A8" s="33" t="s">
        <v>79</v>
      </c>
      <c r="B8" s="214">
        <v>5654</v>
      </c>
      <c r="C8" s="214">
        <v>15429669.449999999</v>
      </c>
      <c r="D8" s="214">
        <v>11369830.1</v>
      </c>
      <c r="E8" s="214">
        <v>5486245.4200000018</v>
      </c>
      <c r="F8" s="214">
        <v>25134993.359999996</v>
      </c>
      <c r="G8" s="214">
        <v>10077085.820000004</v>
      </c>
      <c r="H8" s="214">
        <v>1461851.1199999999</v>
      </c>
      <c r="I8" s="214">
        <v>24143155.34</v>
      </c>
      <c r="J8" s="229">
        <f t="shared" si="0"/>
        <v>68959675.270000011</v>
      </c>
      <c r="K8" s="214">
        <f t="shared" si="1"/>
        <v>12196.617486735056</v>
      </c>
      <c r="L8" s="214">
        <f t="shared" si="3"/>
        <v>11938.065820657943</v>
      </c>
      <c r="M8" s="214">
        <f t="shared" si="4"/>
        <v>11762.643461266362</v>
      </c>
      <c r="O8" s="272">
        <f t="shared" si="2"/>
        <v>67497824.150000006</v>
      </c>
      <c r="P8" s="247"/>
      <c r="Q8" s="247"/>
      <c r="R8" s="247"/>
      <c r="S8" s="247"/>
      <c r="T8" s="247"/>
      <c r="U8" s="247"/>
      <c r="V8" s="247"/>
      <c r="W8" s="268"/>
      <c r="X8" s="268"/>
      <c r="Y8" s="268"/>
      <c r="Z8" s="268"/>
      <c r="AA8" s="268"/>
      <c r="AB8" s="268"/>
      <c r="AC8" s="268"/>
    </row>
    <row r="9" spans="1:29" ht="15" x14ac:dyDescent="0.25">
      <c r="A9" s="33" t="s">
        <v>80</v>
      </c>
      <c r="B9" s="220">
        <v>1790</v>
      </c>
      <c r="C9" s="220">
        <v>4813799.8900000006</v>
      </c>
      <c r="D9" s="220">
        <v>3489473.3799999994</v>
      </c>
      <c r="E9" s="220">
        <v>1662250.9799999997</v>
      </c>
      <c r="F9" s="220">
        <v>7401680.7199999988</v>
      </c>
      <c r="G9" s="220">
        <v>2902707.01</v>
      </c>
      <c r="H9" s="220">
        <v>228915.9</v>
      </c>
      <c r="I9" s="220">
        <v>7063289.0999999978</v>
      </c>
      <c r="J9" s="238">
        <f t="shared" si="0"/>
        <v>20498827.879999995</v>
      </c>
      <c r="K9" s="220">
        <f t="shared" si="1"/>
        <v>11451.859150837987</v>
      </c>
      <c r="L9" s="220">
        <f>SUM(C9:G9)/B9</f>
        <v>11323.973173184355</v>
      </c>
      <c r="M9" s="220">
        <f t="shared" si="4"/>
        <v>11134.927575418995</v>
      </c>
      <c r="O9" s="272">
        <f t="shared" si="2"/>
        <v>20269911.979999997</v>
      </c>
      <c r="P9" s="247"/>
      <c r="Q9" s="247"/>
      <c r="R9" s="247"/>
      <c r="S9" s="247"/>
      <c r="T9" s="247"/>
      <c r="U9" s="247"/>
      <c r="V9" s="247"/>
      <c r="W9" s="268"/>
      <c r="X9" s="268"/>
      <c r="Y9" s="268"/>
      <c r="Z9" s="268"/>
      <c r="AA9" s="268"/>
      <c r="AB9" s="268"/>
      <c r="AC9" s="268"/>
    </row>
    <row r="10" spans="1:29" x14ac:dyDescent="0.2">
      <c r="A10" s="33" t="s">
        <v>171</v>
      </c>
      <c r="B10" s="229">
        <f t="shared" ref="B10:J10" si="5">SUM(B4:B9)</f>
        <v>89626</v>
      </c>
      <c r="C10" s="229">
        <f t="shared" si="5"/>
        <v>200690945.50999999</v>
      </c>
      <c r="D10" s="229">
        <f t="shared" si="5"/>
        <v>80252116.819999993</v>
      </c>
      <c r="E10" s="229">
        <f t="shared" si="5"/>
        <v>71734810.950000003</v>
      </c>
      <c r="F10" s="229">
        <f t="shared" si="5"/>
        <v>367368554.07000005</v>
      </c>
      <c r="G10" s="229">
        <f t="shared" si="5"/>
        <v>118623845.89</v>
      </c>
      <c r="H10" s="229">
        <f t="shared" si="5"/>
        <v>23784460.940000001</v>
      </c>
      <c r="I10" s="229">
        <f t="shared" si="5"/>
        <v>353585621.97000003</v>
      </c>
      <c r="J10" s="229">
        <f t="shared" si="5"/>
        <v>862454734.17999995</v>
      </c>
      <c r="K10" s="214">
        <f t="shared" si="1"/>
        <v>9622.8185368085142</v>
      </c>
      <c r="L10" s="214">
        <f t="shared" si="3"/>
        <v>9357.4439698301831</v>
      </c>
      <c r="M10" s="214">
        <f t="shared" si="4"/>
        <v>9203.6612270992791</v>
      </c>
      <c r="W10" s="268"/>
      <c r="X10" s="268"/>
      <c r="Y10" s="268"/>
      <c r="Z10" s="268"/>
      <c r="AA10" s="268"/>
      <c r="AB10" s="268"/>
      <c r="AC10" s="268"/>
    </row>
    <row r="11" spans="1:29" x14ac:dyDescent="0.2">
      <c r="A11" s="33"/>
      <c r="B11" s="229"/>
      <c r="C11" s="214"/>
      <c r="D11" s="214"/>
      <c r="E11" s="214"/>
      <c r="F11" s="214"/>
      <c r="G11" s="214"/>
      <c r="H11" s="214"/>
      <c r="I11" s="214"/>
      <c r="J11" s="214"/>
      <c r="K11" s="214"/>
      <c r="L11" s="214"/>
      <c r="M11" s="214"/>
      <c r="W11" s="268"/>
      <c r="X11" s="268"/>
      <c r="Y11" s="268"/>
      <c r="Z11" s="268"/>
      <c r="AA11" s="268"/>
      <c r="AB11" s="268"/>
      <c r="AC11" s="268"/>
    </row>
    <row r="12" spans="1:29" x14ac:dyDescent="0.2">
      <c r="A12" s="33"/>
      <c r="B12" s="229"/>
      <c r="C12" s="214"/>
      <c r="D12" s="214"/>
      <c r="E12" s="214"/>
      <c r="F12" s="214"/>
      <c r="G12" s="214"/>
      <c r="H12" s="214"/>
      <c r="I12" s="214"/>
      <c r="J12" s="214"/>
      <c r="K12" s="214"/>
      <c r="L12" s="214"/>
      <c r="M12" s="214"/>
      <c r="W12" s="268"/>
      <c r="X12" s="268"/>
      <c r="Y12" s="268"/>
      <c r="Z12" s="268"/>
      <c r="AA12" s="268"/>
      <c r="AB12" s="268"/>
      <c r="AC12" s="268"/>
    </row>
    <row r="13" spans="1:29" ht="15" x14ac:dyDescent="0.25">
      <c r="A13" s="33" t="s">
        <v>81</v>
      </c>
      <c r="B13" s="214">
        <v>22224</v>
      </c>
      <c r="C13" s="214">
        <v>66241803.100000001</v>
      </c>
      <c r="D13" s="214">
        <v>22237903.219999999</v>
      </c>
      <c r="E13" s="214">
        <v>19825080.140000001</v>
      </c>
      <c r="F13" s="214">
        <v>94563853.150000021</v>
      </c>
      <c r="G13" s="214">
        <v>19835766.049999997</v>
      </c>
      <c r="H13" s="214">
        <v>4570457.92</v>
      </c>
      <c r="I13" s="214">
        <v>90663858.900000006</v>
      </c>
      <c r="J13" s="229">
        <f>SUM(C13:H13)</f>
        <v>227274863.58000001</v>
      </c>
      <c r="K13" s="214">
        <f t="shared" ref="K13:K18" si="6">J13/B13</f>
        <v>10226.550737041038</v>
      </c>
      <c r="L13" s="214">
        <f t="shared" si="3"/>
        <v>10020.896582973362</v>
      </c>
      <c r="M13" s="214">
        <f t="shared" si="4"/>
        <v>9845.4108805795531</v>
      </c>
      <c r="O13" s="247"/>
      <c r="P13" s="247"/>
      <c r="Q13" s="247"/>
      <c r="R13" s="247"/>
      <c r="S13" s="247"/>
      <c r="T13" s="247"/>
      <c r="U13" s="247"/>
      <c r="V13" s="247"/>
      <c r="W13" s="268"/>
      <c r="X13" s="268"/>
      <c r="Y13" s="268"/>
      <c r="Z13" s="268"/>
      <c r="AA13" s="268"/>
      <c r="AB13" s="268"/>
      <c r="AC13" s="268"/>
    </row>
    <row r="14" spans="1:29" ht="15" x14ac:dyDescent="0.25">
      <c r="A14" s="33" t="s">
        <v>82</v>
      </c>
      <c r="B14" s="214">
        <v>6925</v>
      </c>
      <c r="C14" s="214">
        <v>17164209.380000003</v>
      </c>
      <c r="D14" s="214">
        <v>6967890.0200000005</v>
      </c>
      <c r="E14" s="214">
        <v>6238729</v>
      </c>
      <c r="F14" s="214">
        <v>31060449.350000001</v>
      </c>
      <c r="G14" s="214">
        <v>6193656.6800000006</v>
      </c>
      <c r="H14" s="214">
        <v>0</v>
      </c>
      <c r="I14" s="214">
        <v>29744967.470000003</v>
      </c>
      <c r="J14" s="229">
        <f>SUM(C14:H14)</f>
        <v>67624934.430000007</v>
      </c>
      <c r="K14" s="214">
        <f t="shared" si="6"/>
        <v>9765.3334916967524</v>
      </c>
      <c r="L14" s="214">
        <f t="shared" si="3"/>
        <v>9765.3334916967524</v>
      </c>
      <c r="M14" s="214">
        <f t="shared" si="4"/>
        <v>9575.3722093862834</v>
      </c>
      <c r="O14" s="247"/>
      <c r="P14" s="247"/>
      <c r="Q14" s="247"/>
      <c r="R14" s="247"/>
      <c r="S14" s="247"/>
      <c r="T14" s="247"/>
      <c r="U14" s="247"/>
      <c r="V14" s="247"/>
      <c r="W14" s="268"/>
      <c r="X14" s="268"/>
      <c r="Y14" s="268"/>
      <c r="Z14" s="268"/>
      <c r="AA14" s="268"/>
      <c r="AB14" s="268"/>
      <c r="AC14" s="268"/>
    </row>
    <row r="15" spans="1:29" ht="15" x14ac:dyDescent="0.25">
      <c r="A15" s="33" t="s">
        <v>83</v>
      </c>
      <c r="B15" s="214">
        <v>5426</v>
      </c>
      <c r="C15" s="214">
        <v>13840047.539999999</v>
      </c>
      <c r="D15" s="214">
        <v>11553347.41</v>
      </c>
      <c r="E15" s="214">
        <v>5042212.33</v>
      </c>
      <c r="F15" s="214">
        <v>26622046.669999998</v>
      </c>
      <c r="G15" s="214">
        <v>6091749.7300000004</v>
      </c>
      <c r="H15" s="214">
        <v>694887.7</v>
      </c>
      <c r="I15" s="214">
        <v>25516739.730000004</v>
      </c>
      <c r="J15" s="229">
        <f>SUM(C15:H15)</f>
        <v>63844291.38000001</v>
      </c>
      <c r="K15" s="214">
        <f t="shared" si="6"/>
        <v>11766.364058238114</v>
      </c>
      <c r="L15" s="214">
        <f t="shared" si="3"/>
        <v>11638.297766310359</v>
      </c>
      <c r="M15" s="214">
        <f t="shared" si="4"/>
        <v>11434.592100995211</v>
      </c>
      <c r="O15" s="247"/>
      <c r="P15" s="247"/>
      <c r="Q15" s="247"/>
      <c r="R15" s="247"/>
      <c r="S15" s="247"/>
      <c r="T15" s="247"/>
      <c r="U15" s="247"/>
      <c r="V15" s="247"/>
      <c r="W15" s="268"/>
      <c r="X15" s="268"/>
      <c r="Y15" s="268"/>
      <c r="Z15" s="268"/>
      <c r="AA15" s="268"/>
      <c r="AB15" s="268"/>
      <c r="AC15" s="268"/>
    </row>
    <row r="16" spans="1:29" ht="15" x14ac:dyDescent="0.25">
      <c r="A16" s="33" t="s">
        <v>84</v>
      </c>
      <c r="B16" s="214">
        <v>5335</v>
      </c>
      <c r="C16" s="214">
        <v>17065062.890000001</v>
      </c>
      <c r="D16" s="214">
        <v>8075161.6399999987</v>
      </c>
      <c r="E16" s="214">
        <v>6059633.6800000016</v>
      </c>
      <c r="F16" s="214">
        <v>30632184.939999994</v>
      </c>
      <c r="G16" s="214">
        <v>7227549.5299999993</v>
      </c>
      <c r="H16" s="214">
        <v>288729.53000000003</v>
      </c>
      <c r="I16" s="214">
        <v>29388437.279999997</v>
      </c>
      <c r="J16" s="229">
        <f>SUM(C16:H16)</f>
        <v>69348322.209999993</v>
      </c>
      <c r="K16" s="214">
        <f t="shared" si="6"/>
        <v>12998.748305529522</v>
      </c>
      <c r="L16" s="214">
        <f t="shared" si="3"/>
        <v>12944.628431115276</v>
      </c>
      <c r="M16" s="214">
        <f t="shared" si="4"/>
        <v>12711.498597938144</v>
      </c>
      <c r="O16" s="247"/>
      <c r="P16" s="247"/>
      <c r="Q16" s="247"/>
      <c r="R16" s="247"/>
      <c r="S16" s="247"/>
      <c r="T16" s="247"/>
      <c r="U16" s="247"/>
      <c r="V16" s="247"/>
      <c r="W16" s="268"/>
      <c r="X16" s="268"/>
      <c r="Y16" s="268"/>
      <c r="Z16" s="268"/>
      <c r="AA16" s="268"/>
      <c r="AB16" s="268"/>
      <c r="AC16" s="268"/>
    </row>
    <row r="17" spans="1:29" ht="15" x14ac:dyDescent="0.25">
      <c r="A17" s="33" t="s">
        <v>85</v>
      </c>
      <c r="B17" s="220">
        <v>1736</v>
      </c>
      <c r="C17" s="220">
        <v>8465342.6899999995</v>
      </c>
      <c r="D17" s="220">
        <v>7926692.8499999987</v>
      </c>
      <c r="E17" s="220">
        <v>2813686.39</v>
      </c>
      <c r="F17" s="220">
        <v>13550725.459999999</v>
      </c>
      <c r="G17" s="220">
        <v>2113641.08</v>
      </c>
      <c r="H17" s="220">
        <v>10000</v>
      </c>
      <c r="I17" s="220">
        <v>12960344.760000002</v>
      </c>
      <c r="J17" s="238">
        <f>SUM(C17:H17)</f>
        <v>34880088.469999999</v>
      </c>
      <c r="K17" s="220">
        <f t="shared" si="6"/>
        <v>20092.216860599077</v>
      </c>
      <c r="L17" s="220">
        <f t="shared" si="3"/>
        <v>20086.456491935482</v>
      </c>
      <c r="M17" s="220">
        <f t="shared" si="4"/>
        <v>19746.375443548386</v>
      </c>
      <c r="O17" s="247"/>
      <c r="P17" s="247"/>
      <c r="Q17" s="247"/>
      <c r="R17" s="247"/>
      <c r="S17" s="247"/>
      <c r="T17" s="247"/>
      <c r="U17" s="247"/>
      <c r="V17" s="247"/>
      <c r="W17" s="268"/>
      <c r="X17" s="268"/>
      <c r="Y17" s="268"/>
      <c r="Z17" s="268"/>
      <c r="AA17" s="268"/>
      <c r="AB17" s="268"/>
      <c r="AC17" s="268"/>
    </row>
    <row r="18" spans="1:29" x14ac:dyDescent="0.2">
      <c r="A18" s="33" t="s">
        <v>172</v>
      </c>
      <c r="B18" s="229">
        <f t="shared" ref="B18:J18" si="7">SUM(B13:B17)</f>
        <v>41646</v>
      </c>
      <c r="C18" s="229">
        <f t="shared" si="7"/>
        <v>122776465.60000001</v>
      </c>
      <c r="D18" s="229">
        <f t="shared" si="7"/>
        <v>56760995.140000001</v>
      </c>
      <c r="E18" s="229">
        <f t="shared" si="7"/>
        <v>39979341.539999999</v>
      </c>
      <c r="F18" s="229">
        <f t="shared" si="7"/>
        <v>196429259.57000002</v>
      </c>
      <c r="G18" s="229">
        <f t="shared" si="7"/>
        <v>41462363.069999993</v>
      </c>
      <c r="H18" s="229">
        <f t="shared" si="7"/>
        <v>5564075.1500000004</v>
      </c>
      <c r="I18" s="229">
        <f t="shared" si="7"/>
        <v>188274348.14000002</v>
      </c>
      <c r="J18" s="229">
        <f t="shared" si="7"/>
        <v>462972500.06999993</v>
      </c>
      <c r="K18" s="214">
        <f t="shared" si="6"/>
        <v>11116.853961244777</v>
      </c>
      <c r="L18" s="214">
        <f t="shared" si="3"/>
        <v>10983.249890025452</v>
      </c>
      <c r="M18" s="214">
        <f t="shared" si="4"/>
        <v>10787.434891466168</v>
      </c>
      <c r="W18" s="268"/>
      <c r="X18" s="268"/>
      <c r="Y18" s="268"/>
      <c r="Z18" s="268"/>
      <c r="AA18" s="268"/>
      <c r="AB18" s="268"/>
      <c r="AC18" s="268"/>
    </row>
    <row r="19" spans="1:29" x14ac:dyDescent="0.2">
      <c r="A19" s="33"/>
      <c r="B19" s="229"/>
      <c r="C19" s="214"/>
      <c r="D19" s="214"/>
      <c r="E19" s="214"/>
      <c r="F19" s="214"/>
      <c r="G19" s="214"/>
      <c r="H19" s="214"/>
      <c r="I19" s="214"/>
      <c r="J19" s="214"/>
      <c r="K19" s="214"/>
      <c r="L19" s="214"/>
      <c r="M19" s="214"/>
      <c r="W19" s="268"/>
      <c r="X19" s="268"/>
      <c r="Y19" s="268"/>
      <c r="Z19" s="268"/>
      <c r="AA19" s="268"/>
      <c r="AB19" s="268"/>
      <c r="AC19" s="268"/>
    </row>
    <row r="20" spans="1:29" x14ac:dyDescent="0.2">
      <c r="A20" s="33"/>
      <c r="B20" s="229"/>
      <c r="C20" s="214"/>
      <c r="D20" s="214"/>
      <c r="E20" s="214"/>
      <c r="F20" s="214"/>
      <c r="G20" s="214"/>
      <c r="H20" s="214"/>
      <c r="I20" s="214"/>
      <c r="J20" s="214"/>
      <c r="K20" s="214"/>
      <c r="L20" s="214"/>
      <c r="M20" s="214"/>
      <c r="W20" s="268"/>
      <c r="X20" s="268"/>
      <c r="Y20" s="268"/>
      <c r="Z20" s="268"/>
      <c r="AA20" s="268"/>
      <c r="AB20" s="268"/>
      <c r="AC20" s="268"/>
    </row>
    <row r="21" spans="1:29" ht="15" x14ac:dyDescent="0.25">
      <c r="A21" s="33" t="s">
        <v>86</v>
      </c>
      <c r="B21" s="214">
        <v>10113</v>
      </c>
      <c r="C21" s="214">
        <v>20702607.789999999</v>
      </c>
      <c r="D21" s="214">
        <v>9359465.8599999975</v>
      </c>
      <c r="E21" s="214">
        <v>7551378.8300000001</v>
      </c>
      <c r="F21" s="214">
        <v>45889748.550000004</v>
      </c>
      <c r="G21" s="214">
        <v>10065473.4</v>
      </c>
      <c r="H21" s="214">
        <v>1835362.4599999995</v>
      </c>
      <c r="I21" s="214">
        <v>44159243.219999999</v>
      </c>
      <c r="J21" s="221">
        <f>SUM(C21:H21)</f>
        <v>95404036.890000001</v>
      </c>
      <c r="K21" s="214">
        <f>J21/B21</f>
        <v>9433.8017294571346</v>
      </c>
      <c r="L21" s="214">
        <f t="shared" si="3"/>
        <v>9252.3162691585094</v>
      </c>
      <c r="M21" s="214">
        <f t="shared" si="4"/>
        <v>9081.199357262929</v>
      </c>
      <c r="O21" s="247"/>
      <c r="P21" s="247"/>
      <c r="Q21" s="247"/>
      <c r="R21" s="247"/>
      <c r="S21" s="247"/>
      <c r="T21" s="247"/>
      <c r="U21" s="247"/>
      <c r="V21" s="247"/>
      <c r="W21" s="268"/>
      <c r="X21" s="268"/>
      <c r="Y21" s="268"/>
      <c r="Z21" s="268"/>
      <c r="AA21" s="268"/>
      <c r="AB21" s="268"/>
      <c r="AC21" s="268"/>
    </row>
    <row r="22" spans="1:29" ht="15" x14ac:dyDescent="0.25">
      <c r="A22" s="33" t="s">
        <v>87</v>
      </c>
      <c r="B22" s="220">
        <v>7480</v>
      </c>
      <c r="C22" s="220">
        <v>25501248.799999997</v>
      </c>
      <c r="D22" s="220">
        <v>22886555.010000002</v>
      </c>
      <c r="E22" s="220">
        <v>8862120.7499999981</v>
      </c>
      <c r="F22" s="220">
        <v>38366926.330000006</v>
      </c>
      <c r="G22" s="220">
        <v>9867512.8800000008</v>
      </c>
      <c r="H22" s="220">
        <v>1425408.2900000003</v>
      </c>
      <c r="I22" s="220">
        <v>36704246.239999995</v>
      </c>
      <c r="J22" s="220">
        <f>SUM(C22:H22)</f>
        <v>106909772.06000002</v>
      </c>
      <c r="K22" s="220">
        <f>J22/B22</f>
        <v>14292.750275401071</v>
      </c>
      <c r="L22" s="220">
        <f t="shared" si="3"/>
        <v>14102.187669786097</v>
      </c>
      <c r="M22" s="220">
        <f t="shared" si="4"/>
        <v>13879.904235294116</v>
      </c>
      <c r="O22" s="247"/>
      <c r="P22" s="247"/>
      <c r="Q22" s="247"/>
      <c r="R22" s="247"/>
      <c r="S22" s="247"/>
      <c r="T22" s="247"/>
      <c r="U22" s="247"/>
      <c r="V22" s="247"/>
      <c r="W22" s="268"/>
      <c r="X22" s="268"/>
      <c r="Y22" s="268"/>
      <c r="Z22" s="268"/>
      <c r="AA22" s="268"/>
      <c r="AB22" s="268"/>
      <c r="AC22" s="268"/>
    </row>
    <row r="23" spans="1:29" x14ac:dyDescent="0.2">
      <c r="A23" s="33" t="s">
        <v>173</v>
      </c>
      <c r="B23" s="221">
        <f t="shared" ref="B23:J23" si="8">SUM(B21:B22)</f>
        <v>17593</v>
      </c>
      <c r="C23" s="221">
        <f t="shared" si="8"/>
        <v>46203856.589999996</v>
      </c>
      <c r="D23" s="221">
        <f t="shared" si="8"/>
        <v>32246020.869999997</v>
      </c>
      <c r="E23" s="221">
        <f t="shared" si="8"/>
        <v>16413499.579999998</v>
      </c>
      <c r="F23" s="221">
        <f t="shared" si="8"/>
        <v>84256674.88000001</v>
      </c>
      <c r="G23" s="221">
        <f t="shared" si="8"/>
        <v>19932986.280000001</v>
      </c>
      <c r="H23" s="221">
        <f t="shared" si="8"/>
        <v>3260770.75</v>
      </c>
      <c r="I23" s="221">
        <f t="shared" si="8"/>
        <v>80863489.459999993</v>
      </c>
      <c r="J23" s="221">
        <f t="shared" si="8"/>
        <v>202313808.95000002</v>
      </c>
      <c r="K23" s="221">
        <f>J23/B23</f>
        <v>11499.676516228046</v>
      </c>
      <c r="L23" s="214">
        <f t="shared" si="3"/>
        <v>11314.331734212472</v>
      </c>
      <c r="M23" s="214">
        <f t="shared" si="4"/>
        <v>11121.460397885521</v>
      </c>
    </row>
    <row r="24" spans="1:29" x14ac:dyDescent="0.2">
      <c r="A24" s="33"/>
      <c r="B24" s="214"/>
      <c r="C24" s="214"/>
      <c r="D24" s="214"/>
      <c r="E24" s="214"/>
      <c r="F24" s="214"/>
      <c r="G24" s="214"/>
      <c r="H24" s="214"/>
      <c r="I24" s="214"/>
      <c r="J24" s="214"/>
      <c r="K24" s="214"/>
      <c r="L24" s="214"/>
      <c r="M24" s="214"/>
    </row>
    <row r="25" spans="1:29" ht="13.5" thickBot="1" x14ac:dyDescent="0.25">
      <c r="A25" s="33" t="s">
        <v>174</v>
      </c>
      <c r="B25" s="222">
        <f>B23+B18+B10</f>
        <v>148865</v>
      </c>
      <c r="C25" s="192">
        <f t="shared" ref="C25:J25" si="9">C10+C18+C23</f>
        <v>369671267.69999999</v>
      </c>
      <c r="D25" s="192">
        <f t="shared" si="9"/>
        <v>169259132.82999998</v>
      </c>
      <c r="E25" s="192">
        <f t="shared" si="9"/>
        <v>128127652.07000001</v>
      </c>
      <c r="F25" s="192">
        <f t="shared" si="9"/>
        <v>648054488.5200001</v>
      </c>
      <c r="G25" s="192">
        <f t="shared" si="9"/>
        <v>180019195.23999998</v>
      </c>
      <c r="H25" s="192">
        <f t="shared" si="9"/>
        <v>32609306.840000004</v>
      </c>
      <c r="I25" s="192">
        <f t="shared" si="9"/>
        <v>622723459.57000005</v>
      </c>
      <c r="J25" s="192">
        <f t="shared" si="9"/>
        <v>1527741043.2</v>
      </c>
      <c r="K25" s="222">
        <f>J25/B25</f>
        <v>10262.59391529238</v>
      </c>
      <c r="L25" s="222">
        <f t="shared" si="3"/>
        <v>10043.541036240891</v>
      </c>
      <c r="M25" s="222">
        <f t="shared" si="4"/>
        <v>9873.3799577469526</v>
      </c>
    </row>
    <row r="26" spans="1:29" ht="13.5" thickTop="1" x14ac:dyDescent="0.2">
      <c r="A26" s="33"/>
      <c r="B26" s="270" t="s">
        <v>1034</v>
      </c>
      <c r="C26" s="182"/>
      <c r="D26" s="182"/>
      <c r="E26" s="182"/>
      <c r="F26" s="182"/>
      <c r="G26" s="182"/>
      <c r="H26" s="182"/>
      <c r="I26" s="182"/>
      <c r="J26" s="182"/>
      <c r="K26" s="182"/>
    </row>
    <row r="27" spans="1:29" x14ac:dyDescent="0.2">
      <c r="A27" s="33"/>
      <c r="B27" s="182"/>
      <c r="C27" s="33"/>
      <c r="D27" s="33"/>
      <c r="E27" s="33"/>
      <c r="F27" s="33"/>
      <c r="G27" s="33"/>
      <c r="H27" s="33"/>
      <c r="I27" s="33"/>
      <c r="J27" s="182"/>
      <c r="K27" s="182"/>
    </row>
    <row r="28" spans="1:29" x14ac:dyDescent="0.2">
      <c r="A28" s="36" t="s">
        <v>200</v>
      </c>
      <c r="B28" s="22"/>
      <c r="C28" s="36"/>
      <c r="D28" s="36"/>
      <c r="E28" s="36"/>
      <c r="F28" s="36"/>
      <c r="G28" s="36"/>
      <c r="H28" s="36"/>
      <c r="I28" s="36"/>
      <c r="J28" s="22"/>
      <c r="K28" s="182"/>
    </row>
    <row r="29" spans="1:29" x14ac:dyDescent="0.2">
      <c r="A29" s="36" t="s">
        <v>10</v>
      </c>
      <c r="B29" s="22" t="str">
        <f>C2</f>
        <v>FY10</v>
      </c>
      <c r="C29" s="223"/>
      <c r="D29" s="223"/>
      <c r="E29" s="223"/>
      <c r="F29" s="223"/>
      <c r="G29" s="223"/>
      <c r="H29" s="223"/>
      <c r="I29" s="223"/>
      <c r="J29" s="223"/>
      <c r="K29" s="182"/>
    </row>
    <row r="30" spans="1:29" ht="45" x14ac:dyDescent="0.2">
      <c r="A30" s="20" t="s">
        <v>245</v>
      </c>
      <c r="B30" s="202" t="str">
        <f>B3</f>
        <v>ANB10</v>
      </c>
      <c r="C30" s="202" t="str">
        <f t="shared" ref="C30:I30" si="10">C3</f>
        <v>10/Pupil Property Tax</v>
      </c>
      <c r="D30" s="202" t="str">
        <f t="shared" si="10"/>
        <v>10/Pupil Non Levy Revenue</v>
      </c>
      <c r="E30" s="202" t="str">
        <f t="shared" si="10"/>
        <v>10/Pupil County Revenue</v>
      </c>
      <c r="F30" s="202" t="str">
        <f t="shared" si="10"/>
        <v>*10/Pupil State Revenue</v>
      </c>
      <c r="G30" s="202" t="str">
        <f t="shared" si="10"/>
        <v>10/Pupil Federal Revenue</v>
      </c>
      <c r="H30" s="202" t="str">
        <f t="shared" si="10"/>
        <v>10/ARRA Revenue</v>
      </c>
      <c r="I30" s="202" t="str">
        <f t="shared" si="10"/>
        <v>10/State Revenue NO SFSF (ARRA)</v>
      </c>
      <c r="J30" s="202" t="str">
        <f>K3</f>
        <v>*10/Rev Per ANB with ARRA</v>
      </c>
      <c r="K30" s="202" t="str">
        <f>L3</f>
        <v>*10/Rev Per ANB NO ARRA</v>
      </c>
      <c r="L30" s="202" t="str">
        <f>M3</f>
        <v>10/Rev Per ANB NO ARRA or SFSF</v>
      </c>
    </row>
    <row r="31" spans="1:29" x14ac:dyDescent="0.2">
      <c r="A31" s="33"/>
      <c r="B31" s="182"/>
      <c r="C31" s="182"/>
      <c r="D31" s="182"/>
      <c r="E31" s="182"/>
      <c r="F31" s="182"/>
      <c r="G31" s="182"/>
      <c r="H31" s="182"/>
      <c r="I31" s="182"/>
      <c r="J31" s="33"/>
      <c r="K31" s="182"/>
    </row>
    <row r="32" spans="1:29" x14ac:dyDescent="0.2">
      <c r="A32" s="33" t="s">
        <v>102</v>
      </c>
      <c r="B32" s="221">
        <f t="shared" ref="B32:B37" si="11">B4</f>
        <v>37450</v>
      </c>
      <c r="C32" s="182">
        <f t="shared" ref="C32:J38" si="12">C4/$B32</f>
        <v>2276.4451839786384</v>
      </c>
      <c r="D32" s="182">
        <f t="shared" si="12"/>
        <v>652.71144058744994</v>
      </c>
      <c r="E32" s="182">
        <f t="shared" si="12"/>
        <v>766.92077089452607</v>
      </c>
      <c r="F32" s="182">
        <f t="shared" si="12"/>
        <v>3863.6728819759674</v>
      </c>
      <c r="G32" s="182">
        <f t="shared" si="12"/>
        <v>810.87275567423217</v>
      </c>
      <c r="H32" s="182">
        <f t="shared" si="12"/>
        <v>224.03810307076103</v>
      </c>
      <c r="I32" s="182">
        <f>I4/$B32</f>
        <v>3716.8694534045394</v>
      </c>
      <c r="J32" s="182">
        <f>J4/$B32</f>
        <v>8594.661136181574</v>
      </c>
      <c r="K32" s="182">
        <f>SUM(C4:G4)/B32</f>
        <v>8370.6230331108145</v>
      </c>
      <c r="L32" s="182">
        <f>(SUM(C4:E4)+G4+I4)/B32</f>
        <v>8223.8196045393852</v>
      </c>
    </row>
    <row r="33" spans="1:12" x14ac:dyDescent="0.2">
      <c r="A33" s="33" t="s">
        <v>76</v>
      </c>
      <c r="B33" s="221">
        <f t="shared" si="11"/>
        <v>18051</v>
      </c>
      <c r="C33" s="182">
        <f t="shared" si="12"/>
        <v>2223.3640097501525</v>
      </c>
      <c r="D33" s="182">
        <f t="shared" si="12"/>
        <v>760.8424973685668</v>
      </c>
      <c r="E33" s="182">
        <f t="shared" si="12"/>
        <v>802.65419201152292</v>
      </c>
      <c r="F33" s="182">
        <f t="shared" si="12"/>
        <v>4204.6703213118381</v>
      </c>
      <c r="G33" s="182">
        <f t="shared" si="12"/>
        <v>1750.8033144978122</v>
      </c>
      <c r="H33" s="182">
        <f t="shared" ref="H33:I37" si="13">H5/$B33</f>
        <v>377.87218713644677</v>
      </c>
      <c r="I33" s="182">
        <f t="shared" si="13"/>
        <v>4053.653889535206</v>
      </c>
      <c r="J33" s="182">
        <f t="shared" si="12"/>
        <v>10120.206522076338</v>
      </c>
      <c r="K33" s="182">
        <f t="shared" ref="K33:K53" si="14">SUM(C5:G5)/B33</f>
        <v>9742.3343349398911</v>
      </c>
      <c r="L33" s="182">
        <f t="shared" ref="L33:L53" si="15">(SUM(C5:E5)+G5+I5)/B33</f>
        <v>9591.3179031632608</v>
      </c>
    </row>
    <row r="34" spans="1:12" x14ac:dyDescent="0.2">
      <c r="A34" s="33" t="s">
        <v>77</v>
      </c>
      <c r="B34" s="221">
        <f t="shared" si="11"/>
        <v>13477</v>
      </c>
      <c r="C34" s="182">
        <f t="shared" si="12"/>
        <v>1963.323453290792</v>
      </c>
      <c r="D34" s="182">
        <f t="shared" si="12"/>
        <v>1127.7576730726423</v>
      </c>
      <c r="E34" s="182">
        <f t="shared" si="12"/>
        <v>809.80030422200798</v>
      </c>
      <c r="F34" s="182">
        <f t="shared" si="12"/>
        <v>4276.4504281368254</v>
      </c>
      <c r="G34" s="182">
        <f t="shared" si="12"/>
        <v>1479.0919707650071</v>
      </c>
      <c r="H34" s="182">
        <f t="shared" si="13"/>
        <v>317.62589893893295</v>
      </c>
      <c r="I34" s="182">
        <f t="shared" si="13"/>
        <v>4121.0132418193971</v>
      </c>
      <c r="J34" s="182">
        <f t="shared" si="12"/>
        <v>9974.0497284262092</v>
      </c>
      <c r="K34" s="182">
        <f t="shared" si="14"/>
        <v>9656.4238294872757</v>
      </c>
      <c r="L34" s="182">
        <f t="shared" si="15"/>
        <v>9500.9866431698465</v>
      </c>
    </row>
    <row r="35" spans="1:12" x14ac:dyDescent="0.2">
      <c r="A35" s="33" t="s">
        <v>78</v>
      </c>
      <c r="B35" s="221">
        <f t="shared" si="11"/>
        <v>13204</v>
      </c>
      <c r="C35" s="182">
        <f t="shared" si="12"/>
        <v>2166.082256134504</v>
      </c>
      <c r="D35" s="182">
        <f t="shared" si="12"/>
        <v>910.02815889124497</v>
      </c>
      <c r="E35" s="182">
        <f t="shared" si="12"/>
        <v>792.39186307179614</v>
      </c>
      <c r="F35" s="182">
        <f t="shared" si="12"/>
        <v>4286.9663867009995</v>
      </c>
      <c r="G35" s="182">
        <f t="shared" si="12"/>
        <v>1797.8942169039683</v>
      </c>
      <c r="H35" s="182">
        <f t="shared" si="13"/>
        <v>197.05027794607693</v>
      </c>
      <c r="I35" s="182">
        <f t="shared" si="13"/>
        <v>4125.3419176007283</v>
      </c>
      <c r="J35" s="182">
        <f t="shared" si="12"/>
        <v>10150.413159648589</v>
      </c>
      <c r="K35" s="182">
        <f t="shared" si="14"/>
        <v>9953.3628817025128</v>
      </c>
      <c r="L35" s="182">
        <f t="shared" si="15"/>
        <v>9791.7384126022425</v>
      </c>
    </row>
    <row r="36" spans="1:12" x14ac:dyDescent="0.2">
      <c r="A36" s="33" t="s">
        <v>79</v>
      </c>
      <c r="B36" s="221">
        <f t="shared" si="11"/>
        <v>5654</v>
      </c>
      <c r="C36" s="182">
        <f t="shared" si="12"/>
        <v>2728.9829235939155</v>
      </c>
      <c r="D36" s="182">
        <f t="shared" si="12"/>
        <v>2010.9356384860275</v>
      </c>
      <c r="E36" s="182">
        <f t="shared" si="12"/>
        <v>970.32992925362612</v>
      </c>
      <c r="F36" s="182">
        <f t="shared" si="12"/>
        <v>4445.5241174389803</v>
      </c>
      <c r="G36" s="182">
        <f t="shared" si="12"/>
        <v>1782.2932118853917</v>
      </c>
      <c r="H36" s="182">
        <f t="shared" si="13"/>
        <v>258.55166607711351</v>
      </c>
      <c r="I36" s="182">
        <f t="shared" si="13"/>
        <v>4270.1017580473999</v>
      </c>
      <c r="J36" s="182">
        <f t="shared" si="12"/>
        <v>12196.617486735056</v>
      </c>
      <c r="K36" s="182">
        <f t="shared" si="14"/>
        <v>11938.065820657943</v>
      </c>
      <c r="L36" s="182">
        <f t="shared" si="15"/>
        <v>11762.643461266362</v>
      </c>
    </row>
    <row r="37" spans="1:12" x14ac:dyDescent="0.2">
      <c r="A37" s="33" t="s">
        <v>80</v>
      </c>
      <c r="B37" s="220">
        <f t="shared" si="11"/>
        <v>1790</v>
      </c>
      <c r="C37" s="183">
        <f t="shared" si="12"/>
        <v>2689.2736815642461</v>
      </c>
      <c r="D37" s="183">
        <f t="shared" si="12"/>
        <v>1949.4264692737427</v>
      </c>
      <c r="E37" s="183">
        <f t="shared" si="12"/>
        <v>928.63183240223452</v>
      </c>
      <c r="F37" s="183">
        <f t="shared" si="12"/>
        <v>4135.0171620111723</v>
      </c>
      <c r="G37" s="183">
        <f t="shared" si="12"/>
        <v>1621.6240279329609</v>
      </c>
      <c r="H37" s="183">
        <f t="shared" si="13"/>
        <v>127.88597765363129</v>
      </c>
      <c r="I37" s="183">
        <f t="shared" si="13"/>
        <v>3945.9715642458086</v>
      </c>
      <c r="J37" s="183">
        <f t="shared" si="12"/>
        <v>11451.859150837987</v>
      </c>
      <c r="K37" s="183">
        <f t="shared" si="14"/>
        <v>11323.973173184355</v>
      </c>
      <c r="L37" s="183">
        <f t="shared" si="15"/>
        <v>11134.927575418995</v>
      </c>
    </row>
    <row r="38" spans="1:12" x14ac:dyDescent="0.2">
      <c r="A38" s="33" t="s">
        <v>171</v>
      </c>
      <c r="B38" s="221">
        <f>SUM(B32:B37)</f>
        <v>89626</v>
      </c>
      <c r="C38" s="182">
        <f t="shared" si="12"/>
        <v>2239.2045333943274</v>
      </c>
      <c r="D38" s="182">
        <f t="shared" si="12"/>
        <v>895.41111753285873</v>
      </c>
      <c r="E38" s="182">
        <f t="shared" si="12"/>
        <v>800.37947637962202</v>
      </c>
      <c r="F38" s="182">
        <f t="shared" si="12"/>
        <v>4098.9060548278403</v>
      </c>
      <c r="G38" s="182">
        <f t="shared" si="12"/>
        <v>1323.5427876955348</v>
      </c>
      <c r="H38" s="182">
        <f t="shared" si="12"/>
        <v>265.37456697833221</v>
      </c>
      <c r="I38" s="182">
        <f>I10/$B38</f>
        <v>3945.1233120969364</v>
      </c>
      <c r="J38" s="182">
        <f t="shared" si="12"/>
        <v>9622.8185368085142</v>
      </c>
      <c r="K38" s="182">
        <f t="shared" si="14"/>
        <v>9357.4439698301831</v>
      </c>
      <c r="L38" s="182">
        <f t="shared" si="15"/>
        <v>9203.6612270992791</v>
      </c>
    </row>
    <row r="39" spans="1:12" x14ac:dyDescent="0.2">
      <c r="A39" s="33"/>
      <c r="B39" s="182"/>
      <c r="C39" s="182"/>
      <c r="D39" s="182"/>
      <c r="E39" s="182"/>
      <c r="F39" s="182"/>
      <c r="G39" s="182"/>
      <c r="H39" s="182"/>
      <c r="I39" s="182"/>
      <c r="J39" s="182"/>
      <c r="K39" s="182"/>
      <c r="L39" s="182"/>
    </row>
    <row r="40" spans="1:12" x14ac:dyDescent="0.2">
      <c r="A40" s="33"/>
      <c r="B40" s="221"/>
      <c r="C40" s="182"/>
      <c r="D40" s="182"/>
      <c r="E40" s="182"/>
      <c r="F40" s="182"/>
      <c r="G40" s="182"/>
      <c r="H40" s="182"/>
      <c r="I40" s="182"/>
      <c r="J40" s="182"/>
      <c r="K40" s="182"/>
      <c r="L40" s="182"/>
    </row>
    <row r="41" spans="1:12" x14ac:dyDescent="0.2">
      <c r="A41" s="33" t="s">
        <v>81</v>
      </c>
      <c r="B41" s="221">
        <f>B13</f>
        <v>22224</v>
      </c>
      <c r="C41" s="182">
        <f t="shared" ref="C41:J46" si="16">C13/$B41</f>
        <v>2980.6426880849531</v>
      </c>
      <c r="D41" s="182">
        <f t="shared" si="16"/>
        <v>1000.6255948524117</v>
      </c>
      <c r="E41" s="182">
        <f t="shared" si="16"/>
        <v>892.05724172066232</v>
      </c>
      <c r="F41" s="182">
        <f t="shared" si="16"/>
        <v>4255.0329891108722</v>
      </c>
      <c r="G41" s="182">
        <f t="shared" si="16"/>
        <v>892.53806920446345</v>
      </c>
      <c r="H41" s="182">
        <f t="shared" si="16"/>
        <v>205.6541540676746</v>
      </c>
      <c r="I41" s="182">
        <f t="shared" ref="I41:I46" si="17">I13/$B41</f>
        <v>4079.5472867170629</v>
      </c>
      <c r="J41" s="182">
        <f t="shared" si="16"/>
        <v>10226.550737041038</v>
      </c>
      <c r="K41" s="182">
        <f t="shared" si="14"/>
        <v>10020.896582973362</v>
      </c>
      <c r="L41" s="182">
        <f t="shared" si="15"/>
        <v>9845.4108805795531</v>
      </c>
    </row>
    <row r="42" spans="1:12" x14ac:dyDescent="0.2">
      <c r="A42" s="33" t="s">
        <v>82</v>
      </c>
      <c r="B42" s="221">
        <f>B14</f>
        <v>6925</v>
      </c>
      <c r="C42" s="182">
        <f t="shared" si="16"/>
        <v>2478.5861920577622</v>
      </c>
      <c r="D42" s="182">
        <f t="shared" si="16"/>
        <v>1006.1935046931409</v>
      </c>
      <c r="E42" s="182">
        <f t="shared" si="16"/>
        <v>900.8994945848375</v>
      </c>
      <c r="F42" s="182">
        <f t="shared" si="16"/>
        <v>4485.2634440433212</v>
      </c>
      <c r="G42" s="182">
        <f t="shared" si="16"/>
        <v>894.39085631768967</v>
      </c>
      <c r="H42" s="182">
        <f>H14/$B42</f>
        <v>0</v>
      </c>
      <c r="I42" s="182">
        <f t="shared" si="17"/>
        <v>4295.3021617328523</v>
      </c>
      <c r="J42" s="182">
        <f t="shared" si="16"/>
        <v>9765.3334916967524</v>
      </c>
      <c r="K42" s="182">
        <f t="shared" si="14"/>
        <v>9765.3334916967524</v>
      </c>
      <c r="L42" s="182">
        <f t="shared" si="15"/>
        <v>9575.3722093862834</v>
      </c>
    </row>
    <row r="43" spans="1:12" x14ac:dyDescent="0.2">
      <c r="A43" s="33" t="s">
        <v>83</v>
      </c>
      <c r="B43" s="221">
        <f>B15</f>
        <v>5426</v>
      </c>
      <c r="C43" s="182">
        <f t="shared" si="16"/>
        <v>2550.6906634721709</v>
      </c>
      <c r="D43" s="182">
        <f t="shared" si="16"/>
        <v>2129.2568024327315</v>
      </c>
      <c r="E43" s="182">
        <f t="shared" si="16"/>
        <v>929.26876704754886</v>
      </c>
      <c r="F43" s="182">
        <f t="shared" si="16"/>
        <v>4906.3853059343892</v>
      </c>
      <c r="G43" s="182">
        <f t="shared" si="16"/>
        <v>1122.6962274235166</v>
      </c>
      <c r="H43" s="182">
        <f>H15/$B43</f>
        <v>128.06629192775523</v>
      </c>
      <c r="I43" s="182">
        <f t="shared" si="17"/>
        <v>4702.6796406192416</v>
      </c>
      <c r="J43" s="182">
        <f t="shared" si="16"/>
        <v>11766.364058238114</v>
      </c>
      <c r="K43" s="182">
        <f t="shared" si="14"/>
        <v>11638.297766310359</v>
      </c>
      <c r="L43" s="182">
        <f t="shared" si="15"/>
        <v>11434.592100995211</v>
      </c>
    </row>
    <row r="44" spans="1:12" x14ac:dyDescent="0.2">
      <c r="A44" s="33" t="s">
        <v>84</v>
      </c>
      <c r="B44" s="221">
        <f>B16</f>
        <v>5335</v>
      </c>
      <c r="C44" s="182">
        <f t="shared" si="16"/>
        <v>3198.6996982193064</v>
      </c>
      <c r="D44" s="182">
        <f t="shared" si="16"/>
        <v>1513.6198013120897</v>
      </c>
      <c r="E44" s="182">
        <f t="shared" si="16"/>
        <v>1135.8263692596067</v>
      </c>
      <c r="F44" s="182">
        <f t="shared" si="16"/>
        <v>5741.7403823805053</v>
      </c>
      <c r="G44" s="182">
        <f t="shared" si="16"/>
        <v>1354.7421799437675</v>
      </c>
      <c r="H44" s="182">
        <f>H16/$B44</f>
        <v>54.119874414245551</v>
      </c>
      <c r="I44" s="182">
        <f t="shared" si="17"/>
        <v>5508.6105492033739</v>
      </c>
      <c r="J44" s="182">
        <f t="shared" si="16"/>
        <v>12998.748305529522</v>
      </c>
      <c r="K44" s="182">
        <f t="shared" si="14"/>
        <v>12944.628431115276</v>
      </c>
      <c r="L44" s="182">
        <f t="shared" si="15"/>
        <v>12711.498597938144</v>
      </c>
    </row>
    <row r="45" spans="1:12" x14ac:dyDescent="0.2">
      <c r="A45" s="33" t="s">
        <v>85</v>
      </c>
      <c r="B45" s="220">
        <f>B17</f>
        <v>1736</v>
      </c>
      <c r="C45" s="183">
        <f t="shared" si="16"/>
        <v>4876.3494758064517</v>
      </c>
      <c r="D45" s="183">
        <f t="shared" si="16"/>
        <v>4566.0673099078331</v>
      </c>
      <c r="E45" s="183">
        <f t="shared" si="16"/>
        <v>1620.7870910138249</v>
      </c>
      <c r="F45" s="183">
        <f t="shared" si="16"/>
        <v>7805.7174308755757</v>
      </c>
      <c r="G45" s="183">
        <f t="shared" si="16"/>
        <v>1217.5351843317974</v>
      </c>
      <c r="H45" s="183">
        <f>H17/$B45</f>
        <v>5.7603686635944698</v>
      </c>
      <c r="I45" s="183">
        <f t="shared" si="17"/>
        <v>7465.6363824884802</v>
      </c>
      <c r="J45" s="183">
        <f t="shared" si="16"/>
        <v>20092.216860599077</v>
      </c>
      <c r="K45" s="183">
        <f t="shared" si="14"/>
        <v>20086.456491935482</v>
      </c>
      <c r="L45" s="183">
        <f t="shared" si="15"/>
        <v>19746.375443548386</v>
      </c>
    </row>
    <row r="46" spans="1:12" x14ac:dyDescent="0.2">
      <c r="A46" s="33" t="s">
        <v>172</v>
      </c>
      <c r="B46" s="221">
        <f>SUM(B41:B45)</f>
        <v>41646</v>
      </c>
      <c r="C46" s="182">
        <f t="shared" si="16"/>
        <v>2948.0974307256402</v>
      </c>
      <c r="D46" s="182">
        <f t="shared" si="16"/>
        <v>1362.9399015511694</v>
      </c>
      <c r="E46" s="182">
        <f t="shared" si="16"/>
        <v>959.98034721221723</v>
      </c>
      <c r="F46" s="182">
        <f t="shared" si="16"/>
        <v>4716.6416839552421</v>
      </c>
      <c r="G46" s="182">
        <f t="shared" si="16"/>
        <v>995.59052658118412</v>
      </c>
      <c r="H46" s="182">
        <f t="shared" si="16"/>
        <v>133.60407121932479</v>
      </c>
      <c r="I46" s="182">
        <f t="shared" si="17"/>
        <v>4520.8266853959567</v>
      </c>
      <c r="J46" s="182">
        <f t="shared" si="16"/>
        <v>11116.853961244777</v>
      </c>
      <c r="K46" s="182">
        <f t="shared" si="14"/>
        <v>10983.249890025452</v>
      </c>
      <c r="L46" s="182">
        <f t="shared" si="15"/>
        <v>10787.434891466168</v>
      </c>
    </row>
    <row r="47" spans="1:12" x14ac:dyDescent="0.2">
      <c r="A47" s="33"/>
      <c r="B47" s="182"/>
      <c r="C47" s="182"/>
      <c r="D47" s="182"/>
      <c r="E47" s="182"/>
      <c r="F47" s="182"/>
      <c r="G47" s="182"/>
      <c r="H47" s="182"/>
      <c r="I47" s="182"/>
      <c r="J47" s="182"/>
      <c r="K47" s="182"/>
      <c r="L47" s="182"/>
    </row>
    <row r="48" spans="1:12" x14ac:dyDescent="0.2">
      <c r="A48" s="33"/>
      <c r="B48" s="221"/>
      <c r="C48" s="182"/>
      <c r="D48" s="182"/>
      <c r="E48" s="182"/>
      <c r="F48" s="182"/>
      <c r="G48" s="182"/>
      <c r="H48" s="182"/>
      <c r="I48" s="182"/>
      <c r="J48" s="182"/>
      <c r="K48" s="182"/>
      <c r="L48" s="182"/>
    </row>
    <row r="49" spans="1:12" x14ac:dyDescent="0.2">
      <c r="A49" s="33" t="s">
        <v>86</v>
      </c>
      <c r="B49" s="221">
        <f>B21</f>
        <v>10113</v>
      </c>
      <c r="C49" s="182">
        <f t="shared" ref="C49:J51" si="18">C21/$B49</f>
        <v>2047.1282300009887</v>
      </c>
      <c r="D49" s="182">
        <f t="shared" si="18"/>
        <v>925.48856521309176</v>
      </c>
      <c r="E49" s="182">
        <f t="shared" si="18"/>
        <v>746.70017106694354</v>
      </c>
      <c r="F49" s="182">
        <f t="shared" si="18"/>
        <v>4537.698857905666</v>
      </c>
      <c r="G49" s="182">
        <f t="shared" si="18"/>
        <v>995.30044497181848</v>
      </c>
      <c r="H49" s="182">
        <f t="shared" si="18"/>
        <v>181.48546029862547</v>
      </c>
      <c r="I49" s="182">
        <f>I21/$B49</f>
        <v>4366.5819460100856</v>
      </c>
      <c r="J49" s="182">
        <f t="shared" si="18"/>
        <v>9433.8017294571346</v>
      </c>
      <c r="K49" s="182">
        <f t="shared" si="14"/>
        <v>9252.3162691585094</v>
      </c>
      <c r="L49" s="182">
        <f t="shared" si="15"/>
        <v>9081.199357262929</v>
      </c>
    </row>
    <row r="50" spans="1:12" x14ac:dyDescent="0.2">
      <c r="A50" s="33" t="s">
        <v>87</v>
      </c>
      <c r="B50" s="220">
        <f>B22</f>
        <v>7480</v>
      </c>
      <c r="C50" s="183">
        <f t="shared" si="18"/>
        <v>3409.2578609625666</v>
      </c>
      <c r="D50" s="183">
        <f t="shared" si="18"/>
        <v>3059.6998676470589</v>
      </c>
      <c r="E50" s="183">
        <f t="shared" si="18"/>
        <v>1184.7755013368981</v>
      </c>
      <c r="F50" s="183">
        <f t="shared" si="18"/>
        <v>5129.2682259358298</v>
      </c>
      <c r="G50" s="183">
        <f t="shared" si="18"/>
        <v>1319.1862139037435</v>
      </c>
      <c r="H50" s="183">
        <f t="shared" si="18"/>
        <v>190.56260561497331</v>
      </c>
      <c r="I50" s="183">
        <f>I22/$B50</f>
        <v>4906.9847914438496</v>
      </c>
      <c r="J50" s="183">
        <f t="shared" si="18"/>
        <v>14292.750275401071</v>
      </c>
      <c r="K50" s="183">
        <f t="shared" si="14"/>
        <v>14102.187669786097</v>
      </c>
      <c r="L50" s="183">
        <f t="shared" si="15"/>
        <v>13879.904235294116</v>
      </c>
    </row>
    <row r="51" spans="1:12" x14ac:dyDescent="0.2">
      <c r="A51" s="33" t="s">
        <v>173</v>
      </c>
      <c r="B51" s="221">
        <f>SUM(B49:B50)</f>
        <v>17593</v>
      </c>
      <c r="C51" s="182">
        <f t="shared" si="18"/>
        <v>2626.2636611152161</v>
      </c>
      <c r="D51" s="182">
        <f t="shared" si="18"/>
        <v>1832.8892667538223</v>
      </c>
      <c r="E51" s="182">
        <f t="shared" si="18"/>
        <v>932.95626556016589</v>
      </c>
      <c r="F51" s="182">
        <f t="shared" si="18"/>
        <v>4789.2158744955386</v>
      </c>
      <c r="G51" s="182">
        <f t="shared" si="18"/>
        <v>1133.0066662877282</v>
      </c>
      <c r="H51" s="182">
        <f t="shared" si="18"/>
        <v>185.34478201557437</v>
      </c>
      <c r="I51" s="182">
        <f>I23/$B51</f>
        <v>4596.3445381685897</v>
      </c>
      <c r="J51" s="182">
        <f t="shared" si="18"/>
        <v>11499.676516228046</v>
      </c>
      <c r="K51" s="182">
        <f t="shared" si="14"/>
        <v>11314.331734212472</v>
      </c>
      <c r="L51" s="182">
        <f t="shared" si="15"/>
        <v>11121.460397885521</v>
      </c>
    </row>
    <row r="52" spans="1:12" x14ac:dyDescent="0.2">
      <c r="A52" s="33"/>
      <c r="B52" s="214"/>
      <c r="C52" s="182"/>
      <c r="D52" s="182"/>
      <c r="E52" s="182"/>
      <c r="F52" s="182"/>
      <c r="G52" s="182"/>
      <c r="H52" s="182"/>
      <c r="I52" s="182"/>
      <c r="J52" s="182"/>
      <c r="K52" s="182"/>
      <c r="L52" s="182"/>
    </row>
    <row r="53" spans="1:12" ht="13.5" thickBot="1" x14ac:dyDescent="0.25">
      <c r="A53" s="33" t="s">
        <v>174</v>
      </c>
      <c r="B53" s="222">
        <f>B51+B46+B38</f>
        <v>148865</v>
      </c>
      <c r="C53" s="192">
        <f t="shared" ref="C53:J53" si="19">C25/$B53</f>
        <v>2483.2651576932117</v>
      </c>
      <c r="D53" s="192">
        <f t="shared" si="19"/>
        <v>1136.9974999496187</v>
      </c>
      <c r="E53" s="192">
        <f t="shared" si="19"/>
        <v>860.69695408591679</v>
      </c>
      <c r="F53" s="192">
        <f t="shared" si="19"/>
        <v>4353.303251402278</v>
      </c>
      <c r="G53" s="192">
        <f t="shared" si="19"/>
        <v>1209.2781731098646</v>
      </c>
      <c r="H53" s="192">
        <f t="shared" si="19"/>
        <v>219.05287905148964</v>
      </c>
      <c r="I53" s="192">
        <f>I25/$B53</f>
        <v>4183.1421729083404</v>
      </c>
      <c r="J53" s="192">
        <f t="shared" si="19"/>
        <v>10262.59391529238</v>
      </c>
      <c r="K53" s="192">
        <f t="shared" si="14"/>
        <v>10043.541036240891</v>
      </c>
      <c r="L53" s="192">
        <f t="shared" si="15"/>
        <v>9873.3799577469526</v>
      </c>
    </row>
    <row r="54" spans="1:12" ht="13.5" thickTop="1" x14ac:dyDescent="0.2">
      <c r="A54" s="33"/>
      <c r="B54" s="270" t="s">
        <v>1034</v>
      </c>
      <c r="C54" s="182"/>
      <c r="D54" s="182"/>
      <c r="E54" s="182"/>
      <c r="F54" s="182"/>
      <c r="G54" s="182"/>
      <c r="H54" s="182"/>
      <c r="I54" s="182"/>
      <c r="J54" s="182"/>
      <c r="K54" s="182"/>
    </row>
    <row r="55" spans="1:12" x14ac:dyDescent="0.2">
      <c r="A55" s="33"/>
      <c r="B55" s="182"/>
      <c r="C55" s="182"/>
      <c r="D55" s="182"/>
      <c r="E55" s="182"/>
      <c r="F55" s="182"/>
      <c r="G55" s="182"/>
      <c r="H55" s="182"/>
      <c r="I55" s="182"/>
      <c r="J55" s="182"/>
      <c r="K55" s="182"/>
    </row>
    <row r="56" spans="1:12" x14ac:dyDescent="0.2">
      <c r="A56" s="36" t="s">
        <v>200</v>
      </c>
      <c r="B56" s="36"/>
      <c r="C56" s="36"/>
      <c r="D56" s="36"/>
      <c r="E56" s="36"/>
      <c r="F56" s="36"/>
      <c r="G56" s="36"/>
      <c r="H56" s="36"/>
      <c r="I56" s="36"/>
      <c r="J56" s="36"/>
      <c r="K56" s="182"/>
    </row>
    <row r="57" spans="1:12" x14ac:dyDescent="0.2">
      <c r="A57" s="36" t="s">
        <v>11</v>
      </c>
      <c r="B57" s="22" t="str">
        <f>C2</f>
        <v>FY10</v>
      </c>
      <c r="J57" s="202"/>
      <c r="K57" s="182"/>
    </row>
    <row r="58" spans="1:12" ht="22.5" x14ac:dyDescent="0.2">
      <c r="A58" s="20" t="s">
        <v>245</v>
      </c>
      <c r="B58" s="21"/>
      <c r="C58" s="202" t="str">
        <f t="shared" ref="C58:H58" si="20">C3</f>
        <v>10/Pupil Property Tax</v>
      </c>
      <c r="D58" s="202" t="str">
        <f t="shared" si="20"/>
        <v>10/Pupil Non Levy Revenue</v>
      </c>
      <c r="E58" s="202" t="str">
        <f t="shared" si="20"/>
        <v>10/Pupil County Revenue</v>
      </c>
      <c r="F58" s="202" t="str">
        <f t="shared" si="20"/>
        <v>*10/Pupil State Revenue</v>
      </c>
      <c r="G58" s="202" t="str">
        <f t="shared" si="20"/>
        <v>10/Pupil Federal Revenue</v>
      </c>
      <c r="H58" s="202" t="str">
        <f t="shared" si="20"/>
        <v>10/ARRA Revenue</v>
      </c>
      <c r="I58" s="202" t="str">
        <f>J3</f>
        <v>10/Pupil Total Revenue</v>
      </c>
      <c r="J58" s="202"/>
    </row>
    <row r="59" spans="1:12" x14ac:dyDescent="0.2">
      <c r="A59" s="33" t="s">
        <v>102</v>
      </c>
      <c r="B59" s="221"/>
      <c r="C59" s="224">
        <f t="shared" ref="C59:H65" si="21">C32/$J32</f>
        <v>0.26486735752679308</v>
      </c>
      <c r="D59" s="224">
        <f t="shared" si="21"/>
        <v>7.5943824921692701E-2</v>
      </c>
      <c r="E59" s="224">
        <f t="shared" si="21"/>
        <v>8.9232229024826068E-2</v>
      </c>
      <c r="F59" s="224">
        <f>F32/$J32</f>
        <v>0.44954336427654851</v>
      </c>
      <c r="G59" s="224">
        <f t="shared" si="21"/>
        <v>9.4346099610680606E-2</v>
      </c>
      <c r="H59" s="224">
        <f t="shared" si="21"/>
        <v>2.6067124639459191E-2</v>
      </c>
      <c r="I59" s="224">
        <f t="shared" ref="I59:I65" si="22">J32/$J32</f>
        <v>1</v>
      </c>
      <c r="J59" s="182"/>
    </row>
    <row r="60" spans="1:12" x14ac:dyDescent="0.2">
      <c r="A60" s="33" t="s">
        <v>76</v>
      </c>
      <c r="B60" s="221"/>
      <c r="C60" s="224">
        <f t="shared" si="21"/>
        <v>0.21969551756676903</v>
      </c>
      <c r="D60" s="224">
        <f t="shared" si="21"/>
        <v>7.518053072423532E-2</v>
      </c>
      <c r="E60" s="224">
        <f t="shared" si="21"/>
        <v>7.9312036791008525E-2</v>
      </c>
      <c r="F60" s="224">
        <f t="shared" si="21"/>
        <v>0.41547277836076968</v>
      </c>
      <c r="G60" s="224">
        <f t="shared" si="21"/>
        <v>0.17300074960709438</v>
      </c>
      <c r="H60" s="224">
        <f>H33/$J33</f>
        <v>3.7338386950123197E-2</v>
      </c>
      <c r="I60" s="224">
        <f t="shared" si="22"/>
        <v>1</v>
      </c>
      <c r="J60" s="182"/>
    </row>
    <row r="61" spans="1:12" x14ac:dyDescent="0.2">
      <c r="A61" s="33" t="s">
        <v>77</v>
      </c>
      <c r="B61" s="221"/>
      <c r="C61" s="224">
        <f t="shared" si="21"/>
        <v>0.19684315867157623</v>
      </c>
      <c r="D61" s="224">
        <f t="shared" si="21"/>
        <v>0.11306918491277561</v>
      </c>
      <c r="E61" s="224">
        <f t="shared" si="21"/>
        <v>8.119072255215086E-2</v>
      </c>
      <c r="F61" s="224">
        <f t="shared" si="21"/>
        <v>0.42875768063887526</v>
      </c>
      <c r="G61" s="224">
        <f t="shared" si="21"/>
        <v>0.14829402409630765</v>
      </c>
      <c r="H61" s="224">
        <f>H34/$J34</f>
        <v>3.184522912831423E-2</v>
      </c>
      <c r="I61" s="224">
        <f t="shared" si="22"/>
        <v>1</v>
      </c>
      <c r="J61" s="182"/>
    </row>
    <row r="62" spans="1:12" x14ac:dyDescent="0.2">
      <c r="A62" s="33" t="s">
        <v>78</v>
      </c>
      <c r="B62" s="221"/>
      <c r="C62" s="224">
        <f t="shared" si="21"/>
        <v>0.21339843236583037</v>
      </c>
      <c r="D62" s="224">
        <f t="shared" si="21"/>
        <v>8.9654297276185985E-2</v>
      </c>
      <c r="E62" s="224">
        <f t="shared" si="21"/>
        <v>7.8064986184190846E-2</v>
      </c>
      <c r="F62" s="224">
        <f t="shared" si="21"/>
        <v>0.42234402868872145</v>
      </c>
      <c r="G62" s="224">
        <f t="shared" si="21"/>
        <v>0.17712522521262691</v>
      </c>
      <c r="H62" s="224">
        <f>H35/$J35</f>
        <v>1.9413030272444485E-2</v>
      </c>
      <c r="I62" s="224">
        <f t="shared" si="22"/>
        <v>1</v>
      </c>
      <c r="J62" s="182"/>
    </row>
    <row r="63" spans="1:12" x14ac:dyDescent="0.2">
      <c r="A63" s="33" t="s">
        <v>79</v>
      </c>
      <c r="B63" s="221"/>
      <c r="C63" s="224">
        <f t="shared" si="21"/>
        <v>0.22374916049978083</v>
      </c>
      <c r="D63" s="224">
        <f t="shared" si="21"/>
        <v>0.16487650290526082</v>
      </c>
      <c r="E63" s="224">
        <f t="shared" si="21"/>
        <v>7.9557297776121055E-2</v>
      </c>
      <c r="F63" s="224">
        <f t="shared" si="21"/>
        <v>0.3644882790063636</v>
      </c>
      <c r="G63" s="224">
        <f t="shared" si="21"/>
        <v>0.14613012286593388</v>
      </c>
      <c r="H63" s="224">
        <f>H36/$J36</f>
        <v>2.1198636946539662E-2</v>
      </c>
      <c r="I63" s="224">
        <f t="shared" si="22"/>
        <v>1</v>
      </c>
      <c r="J63" s="182"/>
    </row>
    <row r="64" spans="1:12" x14ac:dyDescent="0.2">
      <c r="A64" s="33" t="s">
        <v>80</v>
      </c>
      <c r="B64" s="221"/>
      <c r="C64" s="225">
        <f t="shared" si="21"/>
        <v>0.23483293377455303</v>
      </c>
      <c r="D64" s="225">
        <f t="shared" si="21"/>
        <v>0.17022794671126337</v>
      </c>
      <c r="E64" s="225">
        <f t="shared" si="21"/>
        <v>8.1090050110709064E-2</v>
      </c>
      <c r="F64" s="225">
        <f t="shared" si="21"/>
        <v>0.36107824131844946</v>
      </c>
      <c r="G64" s="225">
        <f t="shared" si="21"/>
        <v>0.14160356031049326</v>
      </c>
      <c r="H64" s="225">
        <f>H37/$J37</f>
        <v>1.1167267774531899E-2</v>
      </c>
      <c r="I64" s="225">
        <f t="shared" si="22"/>
        <v>1</v>
      </c>
      <c r="J64" s="182"/>
    </row>
    <row r="65" spans="1:10" x14ac:dyDescent="0.2">
      <c r="A65" s="33" t="s">
        <v>171</v>
      </c>
      <c r="B65" s="221"/>
      <c r="C65" s="224">
        <f t="shared" si="21"/>
        <v>0.23269736666332044</v>
      </c>
      <c r="D65" s="224">
        <f t="shared" si="21"/>
        <v>9.3050816048104459E-2</v>
      </c>
      <c r="E65" s="224">
        <f t="shared" si="21"/>
        <v>8.3175160512283172E-2</v>
      </c>
      <c r="F65" s="224">
        <f t="shared" si="21"/>
        <v>0.4259569105609754</v>
      </c>
      <c r="G65" s="224">
        <f t="shared" si="21"/>
        <v>0.13754211228579383</v>
      </c>
      <c r="H65" s="224">
        <f t="shared" si="21"/>
        <v>2.7577633929522883E-2</v>
      </c>
      <c r="I65" s="224">
        <f t="shared" si="22"/>
        <v>1</v>
      </c>
      <c r="J65" s="182"/>
    </row>
    <row r="66" spans="1:10" x14ac:dyDescent="0.2">
      <c r="A66" s="33"/>
      <c r="B66" s="182"/>
      <c r="C66" s="224"/>
      <c r="D66" s="224"/>
      <c r="E66" s="224"/>
      <c r="F66" s="224"/>
      <c r="G66" s="224"/>
      <c r="H66" s="224"/>
      <c r="I66" s="224"/>
      <c r="J66" s="182"/>
    </row>
    <row r="67" spans="1:10" x14ac:dyDescent="0.2">
      <c r="A67" s="33"/>
      <c r="B67" s="221"/>
      <c r="C67" s="224"/>
      <c r="D67" s="224"/>
      <c r="E67" s="224"/>
      <c r="F67" s="224"/>
      <c r="G67" s="224"/>
      <c r="H67" s="224"/>
      <c r="I67" s="224"/>
      <c r="J67" s="182"/>
    </row>
    <row r="68" spans="1:10" x14ac:dyDescent="0.2">
      <c r="A68" s="33" t="s">
        <v>81</v>
      </c>
      <c r="B68" s="221"/>
      <c r="C68" s="224">
        <f t="shared" ref="C68:H73" si="23">C41/$J41</f>
        <v>0.29146119397705894</v>
      </c>
      <c r="D68" s="224">
        <f t="shared" si="23"/>
        <v>9.7845854441234004E-2</v>
      </c>
      <c r="E68" s="224">
        <f t="shared" si="23"/>
        <v>8.7229532680025715E-2</v>
      </c>
      <c r="F68" s="224">
        <f t="shared" si="23"/>
        <v>0.4160770428389845</v>
      </c>
      <c r="G68" s="224">
        <f t="shared" si="23"/>
        <v>8.7276550242072287E-2</v>
      </c>
      <c r="H68" s="224">
        <f t="shared" si="23"/>
        <v>2.0109825820624521E-2</v>
      </c>
      <c r="I68" s="224">
        <f t="shared" ref="I68:I73" si="24">J41/$J41</f>
        <v>1</v>
      </c>
      <c r="J68" s="182"/>
    </row>
    <row r="69" spans="1:10" x14ac:dyDescent="0.2">
      <c r="A69" s="33" t="s">
        <v>82</v>
      </c>
      <c r="B69" s="221"/>
      <c r="C69" s="224">
        <f t="shared" si="23"/>
        <v>0.25381480255285183</v>
      </c>
      <c r="D69" s="224">
        <f t="shared" si="23"/>
        <v>0.10303729059009455</v>
      </c>
      <c r="E69" s="224">
        <f t="shared" si="23"/>
        <v>9.2254862094658871E-2</v>
      </c>
      <c r="F69" s="224">
        <f t="shared" si="23"/>
        <v>0.45930468712174977</v>
      </c>
      <c r="G69" s="224">
        <f t="shared" si="23"/>
        <v>9.1588357640644893E-2</v>
      </c>
      <c r="H69" s="224">
        <f>H42/$J42</f>
        <v>0</v>
      </c>
      <c r="I69" s="224">
        <f t="shared" si="24"/>
        <v>1</v>
      </c>
      <c r="J69" s="182"/>
    </row>
    <row r="70" spans="1:10" x14ac:dyDescent="0.2">
      <c r="A70" s="33" t="s">
        <v>83</v>
      </c>
      <c r="B70" s="221"/>
      <c r="C70" s="224">
        <f t="shared" si="23"/>
        <v>0.21677815260920197</v>
      </c>
      <c r="D70" s="224">
        <f t="shared" si="23"/>
        <v>0.18096132262216988</v>
      </c>
      <c r="E70" s="224">
        <f t="shared" si="23"/>
        <v>7.897671383004079E-2</v>
      </c>
      <c r="F70" s="224">
        <f t="shared" si="23"/>
        <v>0.41698397921822145</v>
      </c>
      <c r="G70" s="224">
        <f t="shared" si="23"/>
        <v>9.5415730965545884E-2</v>
      </c>
      <c r="H70" s="224">
        <f>H43/$J43</f>
        <v>1.0884100754819903E-2</v>
      </c>
      <c r="I70" s="224">
        <f t="shared" si="24"/>
        <v>1</v>
      </c>
      <c r="J70" s="182"/>
    </row>
    <row r="71" spans="1:10" x14ac:dyDescent="0.2">
      <c r="A71" s="33" t="s">
        <v>84</v>
      </c>
      <c r="B71" s="221"/>
      <c r="C71" s="224">
        <f t="shared" si="23"/>
        <v>0.24607751631429123</v>
      </c>
      <c r="D71" s="224">
        <f t="shared" si="23"/>
        <v>0.1164435040770974</v>
      </c>
      <c r="E71" s="224">
        <f t="shared" si="23"/>
        <v>8.7379672454803894E-2</v>
      </c>
      <c r="F71" s="224">
        <f t="shared" si="23"/>
        <v>0.4417148672644145</v>
      </c>
      <c r="G71" s="224">
        <f t="shared" si="23"/>
        <v>0.1042209717506012</v>
      </c>
      <c r="H71" s="224">
        <f>H44/$J44</f>
        <v>4.1634681387917611E-3</v>
      </c>
      <c r="I71" s="224">
        <f t="shared" si="24"/>
        <v>1</v>
      </c>
      <c r="J71" s="182"/>
    </row>
    <row r="72" spans="1:10" x14ac:dyDescent="0.2">
      <c r="A72" s="33" t="s">
        <v>85</v>
      </c>
      <c r="B72" s="221"/>
      <c r="C72" s="225">
        <f t="shared" si="23"/>
        <v>0.24269842942861092</v>
      </c>
      <c r="D72" s="225">
        <f t="shared" si="23"/>
        <v>0.22725552593760376</v>
      </c>
      <c r="E72" s="225">
        <f t="shared" si="23"/>
        <v>8.0667409786532585E-2</v>
      </c>
      <c r="F72" s="225">
        <f t="shared" si="23"/>
        <v>0.3884945839989723</v>
      </c>
      <c r="G72" s="225">
        <f t="shared" si="23"/>
        <v>6.0597354327754101E-2</v>
      </c>
      <c r="H72" s="225">
        <f>H45/$J45</f>
        <v>2.8669652052634259E-4</v>
      </c>
      <c r="I72" s="225">
        <f t="shared" si="24"/>
        <v>1</v>
      </c>
      <c r="J72" s="182"/>
    </row>
    <row r="73" spans="1:10" x14ac:dyDescent="0.2">
      <c r="A73" s="33" t="s">
        <v>172</v>
      </c>
      <c r="B73" s="221"/>
      <c r="C73" s="224">
        <f t="shared" si="23"/>
        <v>0.26519170270682729</v>
      </c>
      <c r="D73" s="224">
        <f t="shared" si="23"/>
        <v>0.1226012238986504</v>
      </c>
      <c r="E73" s="224">
        <f t="shared" si="23"/>
        <v>8.6353598829207456E-2</v>
      </c>
      <c r="F73" s="224">
        <f t="shared" si="23"/>
        <v>0.42427846047076345</v>
      </c>
      <c r="G73" s="224">
        <f t="shared" si="23"/>
        <v>8.955685934635646E-2</v>
      </c>
      <c r="H73" s="224">
        <f t="shared" si="23"/>
        <v>1.2018154748195044E-2</v>
      </c>
      <c r="I73" s="224">
        <f t="shared" si="24"/>
        <v>1</v>
      </c>
      <c r="J73" s="182"/>
    </row>
    <row r="74" spans="1:10" x14ac:dyDescent="0.2">
      <c r="A74" s="33"/>
      <c r="B74" s="182"/>
      <c r="C74" s="224"/>
      <c r="D74" s="224"/>
      <c r="E74" s="224"/>
      <c r="F74" s="224"/>
      <c r="G74" s="224"/>
      <c r="H74" s="224"/>
      <c r="I74" s="224"/>
      <c r="J74" s="182"/>
    </row>
    <row r="75" spans="1:10" x14ac:dyDescent="0.2">
      <c r="A75" s="33"/>
      <c r="B75" s="221"/>
      <c r="C75" s="224"/>
      <c r="D75" s="224"/>
      <c r="E75" s="224"/>
      <c r="F75" s="224"/>
      <c r="G75" s="224"/>
      <c r="H75" s="224"/>
      <c r="I75" s="224"/>
      <c r="J75" s="182"/>
    </row>
    <row r="76" spans="1:10" x14ac:dyDescent="0.2">
      <c r="A76" s="33" t="s">
        <v>86</v>
      </c>
      <c r="B76" s="221"/>
      <c r="C76" s="224">
        <f t="shared" ref="C76:H78" si="25">C49/$J49</f>
        <v>0.21699928498696464</v>
      </c>
      <c r="D76" s="224">
        <f t="shared" si="25"/>
        <v>9.8103457307486652E-2</v>
      </c>
      <c r="E76" s="224">
        <f t="shared" si="25"/>
        <v>7.9151565029755205E-2</v>
      </c>
      <c r="F76" s="224">
        <f t="shared" si="25"/>
        <v>0.48100426403245883</v>
      </c>
      <c r="G76" s="224">
        <f t="shared" si="25"/>
        <v>0.10550364248847667</v>
      </c>
      <c r="H76" s="224">
        <f t="shared" si="25"/>
        <v>1.9237786154857953E-2</v>
      </c>
      <c r="I76" s="224">
        <f>J49/$J49</f>
        <v>1</v>
      </c>
      <c r="J76" s="182"/>
    </row>
    <row r="77" spans="1:10" x14ac:dyDescent="0.2">
      <c r="A77" s="33" t="s">
        <v>87</v>
      </c>
      <c r="B77" s="221"/>
      <c r="C77" s="225">
        <f t="shared" si="25"/>
        <v>0.2385305693635579</v>
      </c>
      <c r="D77" s="225">
        <f t="shared" si="25"/>
        <v>0.21407355538234227</v>
      </c>
      <c r="E77" s="225">
        <f t="shared" si="25"/>
        <v>8.2893458467261427E-2</v>
      </c>
      <c r="F77" s="225">
        <f t="shared" si="25"/>
        <v>0.3588720244251169</v>
      </c>
      <c r="G77" s="225">
        <f t="shared" si="25"/>
        <v>9.2297576637448503E-2</v>
      </c>
      <c r="H77" s="225">
        <f t="shared" si="25"/>
        <v>1.3332815724272905E-2</v>
      </c>
      <c r="I77" s="225">
        <f>J50/$J50</f>
        <v>1</v>
      </c>
      <c r="J77" s="182"/>
    </row>
    <row r="78" spans="1:10" x14ac:dyDescent="0.2">
      <c r="A78" s="33" t="s">
        <v>173</v>
      </c>
      <c r="B78" s="221"/>
      <c r="C78" s="224">
        <f t="shared" si="25"/>
        <v>0.22837717716747083</v>
      </c>
      <c r="D78" s="224">
        <f t="shared" si="25"/>
        <v>0.15938615874692616</v>
      </c>
      <c r="E78" s="224">
        <f t="shared" si="25"/>
        <v>8.112891386497717E-2</v>
      </c>
      <c r="F78" s="224">
        <f t="shared" si="25"/>
        <v>0.41646526906536208</v>
      </c>
      <c r="G78" s="224">
        <f t="shared" si="25"/>
        <v>9.8525090222221334E-2</v>
      </c>
      <c r="H78" s="224">
        <f t="shared" si="25"/>
        <v>1.6117390933042385E-2</v>
      </c>
      <c r="I78" s="224">
        <f>J51/$J51</f>
        <v>1</v>
      </c>
      <c r="J78" s="182"/>
    </row>
    <row r="79" spans="1:10" x14ac:dyDescent="0.2">
      <c r="A79" s="33"/>
      <c r="B79" s="221"/>
      <c r="C79" s="224"/>
      <c r="D79" s="224"/>
      <c r="E79" s="224"/>
      <c r="F79" s="224"/>
      <c r="G79" s="224"/>
      <c r="H79" s="224"/>
      <c r="I79" s="224"/>
      <c r="J79" s="182"/>
    </row>
    <row r="80" spans="1:10" ht="13.5" thickBot="1" x14ac:dyDescent="0.25">
      <c r="A80" s="33" t="s">
        <v>208</v>
      </c>
      <c r="B80" s="221"/>
      <c r="C80" s="226">
        <f t="shared" ref="C80:H80" si="26">C53/$J53</f>
        <v>0.241972466044172</v>
      </c>
      <c r="D80" s="226">
        <f t="shared" si="26"/>
        <v>0.11079045992995679</v>
      </c>
      <c r="E80" s="226">
        <f t="shared" si="26"/>
        <v>8.386738880931309E-2</v>
      </c>
      <c r="F80" s="226">
        <f t="shared" si="26"/>
        <v>0.4241913192058962</v>
      </c>
      <c r="G80" s="226">
        <f t="shared" si="26"/>
        <v>0.11783357921898369</v>
      </c>
      <c r="H80" s="226">
        <f t="shared" si="26"/>
        <v>2.1344786791678179E-2</v>
      </c>
      <c r="I80" s="226">
        <f>J53/$J53</f>
        <v>1</v>
      </c>
      <c r="J80" s="182"/>
    </row>
    <row r="81" spans="1:11" ht="13.5" thickTop="1" x14ac:dyDescent="0.2">
      <c r="A81" s="33"/>
      <c r="B81" s="33"/>
      <c r="C81" s="270" t="s">
        <v>1034</v>
      </c>
      <c r="D81" s="33"/>
      <c r="E81" s="33"/>
      <c r="F81" s="33"/>
      <c r="G81" s="33"/>
      <c r="H81" s="33"/>
      <c r="I81" s="33"/>
      <c r="J81" s="33"/>
      <c r="K81" s="182"/>
    </row>
    <row r="82" spans="1:11" x14ac:dyDescent="0.2">
      <c r="A82" s="33"/>
      <c r="B82" s="33"/>
      <c r="C82" s="33"/>
      <c r="D82" s="33"/>
      <c r="E82" s="33"/>
      <c r="F82" s="33"/>
      <c r="G82" s="33"/>
      <c r="H82" s="33"/>
      <c r="I82" s="33"/>
      <c r="J82" s="33"/>
      <c r="K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K82"/>
  <sheetViews>
    <sheetView topLeftCell="A25" zoomScaleNormal="100" workbookViewId="0">
      <selection activeCell="J32" sqref="J3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1.42578125" bestFit="1" customWidth="1"/>
    <col min="7" max="7" width="13.42578125" bestFit="1" customWidth="1"/>
    <col min="8" max="8" width="8.7109375" bestFit="1" customWidth="1"/>
    <col min="9" max="9" width="11.28515625" bestFit="1" customWidth="1"/>
    <col min="10" max="10" width="11.42578125" bestFit="1" customWidth="1"/>
    <col min="13" max="13" width="7.140625" bestFit="1" customWidth="1"/>
  </cols>
  <sheetData>
    <row r="1" spans="1:11" x14ac:dyDescent="0.2">
      <c r="A1" s="36" t="s">
        <v>200</v>
      </c>
      <c r="B1" s="36"/>
      <c r="C1" s="22"/>
      <c r="D1" s="22"/>
      <c r="E1" s="22"/>
      <c r="F1" s="22"/>
      <c r="G1" s="22"/>
      <c r="H1" s="22"/>
      <c r="I1" s="22"/>
      <c r="J1" s="22"/>
    </row>
    <row r="2" spans="1:11" x14ac:dyDescent="0.2">
      <c r="A2" s="36" t="s">
        <v>8</v>
      </c>
      <c r="B2" s="239"/>
      <c r="C2" s="22" t="s">
        <v>9</v>
      </c>
      <c r="D2" s="22"/>
      <c r="E2" s="22"/>
      <c r="F2" s="22"/>
      <c r="G2" s="22"/>
      <c r="H2" s="22"/>
      <c r="I2" s="22"/>
      <c r="J2" s="22"/>
    </row>
    <row r="3" spans="1:11" ht="33.75" x14ac:dyDescent="0.2">
      <c r="A3" s="20" t="s">
        <v>245</v>
      </c>
      <c r="B3" s="21" t="s">
        <v>624</v>
      </c>
      <c r="C3" s="202" t="s">
        <v>12</v>
      </c>
      <c r="D3" s="202" t="s">
        <v>13</v>
      </c>
      <c r="E3" s="202" t="s">
        <v>14</v>
      </c>
      <c r="F3" s="202" t="s">
        <v>15</v>
      </c>
      <c r="G3" s="202" t="s">
        <v>16</v>
      </c>
      <c r="H3" s="202" t="s">
        <v>18</v>
      </c>
      <c r="I3" s="202" t="s">
        <v>17</v>
      </c>
      <c r="J3" s="202" t="s">
        <v>19</v>
      </c>
      <c r="K3" s="202" t="s">
        <v>20</v>
      </c>
    </row>
    <row r="4" spans="1:11" x14ac:dyDescent="0.2">
      <c r="A4" s="33" t="s">
        <v>102</v>
      </c>
      <c r="B4" s="229">
        <v>37242</v>
      </c>
      <c r="C4" s="229">
        <v>88094068.960000008</v>
      </c>
      <c r="D4" s="229">
        <v>20734083.899999999</v>
      </c>
      <c r="E4" s="229">
        <v>29533095.960000001</v>
      </c>
      <c r="F4" s="229">
        <v>141015781.09</v>
      </c>
      <c r="G4" s="229">
        <v>30895737.170000002</v>
      </c>
      <c r="H4" s="229">
        <v>810505.61</v>
      </c>
      <c r="I4" s="229">
        <f t="shared" ref="I4:I9" si="0">SUM(C4:H4)</f>
        <v>311083272.69000006</v>
      </c>
      <c r="J4" s="214">
        <f t="shared" ref="J4:J10" si="1">I4/B4</f>
        <v>8353.0227348155331</v>
      </c>
      <c r="K4" s="214">
        <f>SUM(C4:G4)/B4</f>
        <v>8331.2595209709471</v>
      </c>
    </row>
    <row r="5" spans="1:11" x14ac:dyDescent="0.2">
      <c r="A5" s="33" t="s">
        <v>76</v>
      </c>
      <c r="B5" s="229">
        <v>18748</v>
      </c>
      <c r="C5" s="229">
        <v>43536523.439999998</v>
      </c>
      <c r="D5" s="229">
        <v>11349293.310000001</v>
      </c>
      <c r="E5" s="229">
        <v>14960199.489999998</v>
      </c>
      <c r="F5" s="229">
        <v>77153086.439999998</v>
      </c>
      <c r="G5" s="229">
        <v>32610609.030000001</v>
      </c>
      <c r="H5" s="229">
        <v>340530</v>
      </c>
      <c r="I5" s="229">
        <f t="shared" si="0"/>
        <v>179950241.71000001</v>
      </c>
      <c r="J5" s="214">
        <f t="shared" si="1"/>
        <v>9598.3700506720725</v>
      </c>
      <c r="K5" s="214">
        <f t="shared" ref="K5:K25" si="2">SUM(C5:G5)/B5</f>
        <v>9580.2065132280786</v>
      </c>
    </row>
    <row r="6" spans="1:11" x14ac:dyDescent="0.2">
      <c r="A6" s="33" t="s">
        <v>77</v>
      </c>
      <c r="B6" s="229">
        <v>11756</v>
      </c>
      <c r="C6" s="229">
        <v>24673235.619999997</v>
      </c>
      <c r="D6" s="229">
        <v>14213653.569999998</v>
      </c>
      <c r="E6" s="229">
        <v>9730047.1799999997</v>
      </c>
      <c r="F6" s="229">
        <v>48520547.200000003</v>
      </c>
      <c r="G6" s="229">
        <v>17563928.390000004</v>
      </c>
      <c r="H6" s="229">
        <v>233836.95</v>
      </c>
      <c r="I6" s="229">
        <f t="shared" si="0"/>
        <v>114935248.91</v>
      </c>
      <c r="J6" s="214">
        <f t="shared" si="1"/>
        <v>9776.7309382443</v>
      </c>
      <c r="K6" s="214">
        <f t="shared" si="2"/>
        <v>9756.8400782579101</v>
      </c>
    </row>
    <row r="7" spans="1:11" x14ac:dyDescent="0.2">
      <c r="A7" s="33" t="s">
        <v>78</v>
      </c>
      <c r="B7" s="229">
        <v>14373</v>
      </c>
      <c r="C7" s="229">
        <v>30530675.959999993</v>
      </c>
      <c r="D7" s="229">
        <v>11265957.560000002</v>
      </c>
      <c r="E7" s="229">
        <v>11756111.639999999</v>
      </c>
      <c r="F7" s="229">
        <v>60835186.630000003</v>
      </c>
      <c r="G7" s="229">
        <v>28122725.299999997</v>
      </c>
      <c r="H7" s="229">
        <v>445095</v>
      </c>
      <c r="I7" s="229">
        <f t="shared" si="0"/>
        <v>142955752.08999997</v>
      </c>
      <c r="J7" s="214">
        <f t="shared" si="1"/>
        <v>9946.1317811173703</v>
      </c>
      <c r="K7" s="214">
        <f t="shared" si="2"/>
        <v>9915.1643421693443</v>
      </c>
    </row>
    <row r="8" spans="1:11" x14ac:dyDescent="0.2">
      <c r="A8" s="33" t="s">
        <v>79</v>
      </c>
      <c r="B8" s="229">
        <v>5804</v>
      </c>
      <c r="C8" s="229">
        <v>15876309.98</v>
      </c>
      <c r="D8" s="229">
        <v>14291682.109999996</v>
      </c>
      <c r="E8" s="229">
        <v>5503540.6200000001</v>
      </c>
      <c r="F8" s="229">
        <v>25285309.539999999</v>
      </c>
      <c r="G8" s="229">
        <v>8972330.6899999995</v>
      </c>
      <c r="H8" s="229">
        <v>101682</v>
      </c>
      <c r="I8" s="229">
        <f t="shared" si="0"/>
        <v>70030854.939999998</v>
      </c>
      <c r="J8" s="214">
        <f t="shared" si="1"/>
        <v>12065.963980013783</v>
      </c>
      <c r="K8" s="214">
        <f t="shared" si="2"/>
        <v>12048.444682977257</v>
      </c>
    </row>
    <row r="9" spans="1:11" x14ac:dyDescent="0.2">
      <c r="A9" s="33" t="s">
        <v>80</v>
      </c>
      <c r="B9" s="240">
        <v>1629</v>
      </c>
      <c r="C9" s="237">
        <v>4507057.59</v>
      </c>
      <c r="D9" s="238">
        <v>3833912.13</v>
      </c>
      <c r="E9" s="238">
        <v>1491077.81</v>
      </c>
      <c r="F9" s="238">
        <v>6691480.21</v>
      </c>
      <c r="G9" s="238">
        <v>2960960.98</v>
      </c>
      <c r="H9" s="238">
        <v>18322</v>
      </c>
      <c r="I9" s="238">
        <f t="shared" si="0"/>
        <v>19502810.719999999</v>
      </c>
      <c r="J9" s="220">
        <f t="shared" si="1"/>
        <v>11972.259496623696</v>
      </c>
      <c r="K9" s="220">
        <f t="shared" si="2"/>
        <v>11961.012105586249</v>
      </c>
    </row>
    <row r="10" spans="1:11" x14ac:dyDescent="0.2">
      <c r="A10" s="33" t="s">
        <v>171</v>
      </c>
      <c r="B10" s="229">
        <f t="shared" ref="B10:I10" si="3">SUM(B4:B9)</f>
        <v>89552</v>
      </c>
      <c r="C10" s="229">
        <f t="shared" si="3"/>
        <v>207217871.55000001</v>
      </c>
      <c r="D10" s="229">
        <f t="shared" si="3"/>
        <v>75688582.579999998</v>
      </c>
      <c r="E10" s="229">
        <f t="shared" si="3"/>
        <v>72974072.700000003</v>
      </c>
      <c r="F10" s="229">
        <f t="shared" si="3"/>
        <v>359501391.11000001</v>
      </c>
      <c r="G10" s="229">
        <f t="shared" si="3"/>
        <v>121126291.56</v>
      </c>
      <c r="H10" s="229">
        <f t="shared" si="3"/>
        <v>1949971.5599999998</v>
      </c>
      <c r="I10" s="229">
        <f t="shared" si="3"/>
        <v>838458181.06000018</v>
      </c>
      <c r="J10" s="214">
        <f t="shared" si="1"/>
        <v>9362.8079893246395</v>
      </c>
      <c r="K10" s="214">
        <f t="shared" si="2"/>
        <v>9341.033248838663</v>
      </c>
    </row>
    <row r="11" spans="1:11" x14ac:dyDescent="0.2">
      <c r="A11" s="33"/>
      <c r="B11" s="229"/>
      <c r="C11" s="214"/>
      <c r="D11" s="214"/>
      <c r="E11" s="214"/>
      <c r="F11" s="214"/>
      <c r="G11" s="214"/>
      <c r="H11" s="214"/>
      <c r="I11" s="214"/>
      <c r="J11" s="214"/>
      <c r="K11" s="214"/>
    </row>
    <row r="12" spans="1:11" x14ac:dyDescent="0.2">
      <c r="A12" s="33"/>
      <c r="B12" s="229"/>
      <c r="C12" s="214"/>
      <c r="D12" s="214"/>
      <c r="E12" s="214"/>
      <c r="F12" s="214"/>
      <c r="G12" s="214"/>
      <c r="H12" s="214"/>
      <c r="I12" s="214"/>
      <c r="J12" s="214"/>
      <c r="K12" s="214"/>
    </row>
    <row r="13" spans="1:11" x14ac:dyDescent="0.2">
      <c r="A13" s="33" t="s">
        <v>81</v>
      </c>
      <c r="B13" s="229">
        <v>22505</v>
      </c>
      <c r="C13" s="229">
        <v>67306855.679999992</v>
      </c>
      <c r="D13" s="229">
        <v>19144456.530000001</v>
      </c>
      <c r="E13" s="229">
        <v>19683160.459999997</v>
      </c>
      <c r="F13" s="229">
        <v>94117724.359999985</v>
      </c>
      <c r="G13" s="229">
        <v>18304380.090000004</v>
      </c>
      <c r="H13" s="229">
        <v>0</v>
      </c>
      <c r="I13" s="229">
        <f>SUM(C13:H13)</f>
        <v>218556577.11999997</v>
      </c>
      <c r="J13" s="214">
        <f t="shared" ref="J13:J18" si="4">I13/B13</f>
        <v>9711.4675458786933</v>
      </c>
      <c r="K13" s="214">
        <f t="shared" si="2"/>
        <v>9711.4675458786933</v>
      </c>
    </row>
    <row r="14" spans="1:11" x14ac:dyDescent="0.2">
      <c r="A14" s="33" t="s">
        <v>82</v>
      </c>
      <c r="B14" s="229">
        <v>7979</v>
      </c>
      <c r="C14" s="229">
        <v>20273073.25</v>
      </c>
      <c r="D14" s="229">
        <v>15553082.110000001</v>
      </c>
      <c r="E14" s="229">
        <v>7292960.1099999994</v>
      </c>
      <c r="F14" s="229">
        <v>35005643.579999998</v>
      </c>
      <c r="G14" s="229">
        <v>6391031.209999999</v>
      </c>
      <c r="H14" s="229">
        <v>164122</v>
      </c>
      <c r="I14" s="229">
        <f>SUM(C14:H14)</f>
        <v>84679912.25999999</v>
      </c>
      <c r="J14" s="214">
        <f t="shared" si="4"/>
        <v>10612.847757864392</v>
      </c>
      <c r="K14" s="214">
        <f t="shared" si="2"/>
        <v>10592.278513598194</v>
      </c>
    </row>
    <row r="15" spans="1:11" x14ac:dyDescent="0.2">
      <c r="A15" s="33" t="s">
        <v>83</v>
      </c>
      <c r="B15" s="229">
        <v>5389</v>
      </c>
      <c r="C15" s="229">
        <v>15983290.549999999</v>
      </c>
      <c r="D15" s="229">
        <v>6336644.0599999996</v>
      </c>
      <c r="E15" s="229">
        <v>5374187.419999999</v>
      </c>
      <c r="F15" s="229">
        <v>26359560.210000001</v>
      </c>
      <c r="G15" s="229">
        <v>4945921.17</v>
      </c>
      <c r="H15" s="229">
        <v>52286.21</v>
      </c>
      <c r="I15" s="229">
        <f>SUM(C15:H15)</f>
        <v>59051889.619999997</v>
      </c>
      <c r="J15" s="214">
        <f t="shared" si="4"/>
        <v>10957.856674707737</v>
      </c>
      <c r="K15" s="214">
        <f t="shared" si="2"/>
        <v>10948.154279087028</v>
      </c>
    </row>
    <row r="16" spans="1:11" x14ac:dyDescent="0.2">
      <c r="A16" s="33" t="s">
        <v>84</v>
      </c>
      <c r="B16" s="229">
        <v>5197</v>
      </c>
      <c r="C16" s="229">
        <v>17045215.98</v>
      </c>
      <c r="D16" s="229">
        <v>8621561.5800000019</v>
      </c>
      <c r="E16" s="229">
        <v>5924445.5200000005</v>
      </c>
      <c r="F16" s="229">
        <v>29812272.219999999</v>
      </c>
      <c r="G16" s="229">
        <v>7169046.5499999989</v>
      </c>
      <c r="H16" s="229">
        <v>194223</v>
      </c>
      <c r="I16" s="229">
        <f>SUM(C16:H16)</f>
        <v>68766764.849999994</v>
      </c>
      <c r="J16" s="214">
        <f t="shared" si="4"/>
        <v>13232.011708678083</v>
      </c>
      <c r="K16" s="214">
        <f t="shared" si="2"/>
        <v>13194.639570906291</v>
      </c>
    </row>
    <row r="17" spans="1:11" x14ac:dyDescent="0.2">
      <c r="A17" s="33" t="s">
        <v>85</v>
      </c>
      <c r="B17" s="240">
        <v>1480</v>
      </c>
      <c r="C17" s="237">
        <v>7111172.9200000009</v>
      </c>
      <c r="D17" s="237">
        <v>11403455.039999999</v>
      </c>
      <c r="E17" s="237">
        <v>2462337.4500000007</v>
      </c>
      <c r="F17" s="237">
        <v>11803757.909999998</v>
      </c>
      <c r="G17" s="237">
        <v>2804380.36</v>
      </c>
      <c r="H17" s="237">
        <v>43891</v>
      </c>
      <c r="I17" s="238">
        <f>SUM(C17:H17)</f>
        <v>35628994.68</v>
      </c>
      <c r="J17" s="220">
        <f t="shared" si="4"/>
        <v>24073.645054054054</v>
      </c>
      <c r="K17" s="220">
        <f t="shared" si="2"/>
        <v>24043.988972972973</v>
      </c>
    </row>
    <row r="18" spans="1:11" x14ac:dyDescent="0.2">
      <c r="A18" s="33" t="s">
        <v>172</v>
      </c>
      <c r="B18" s="229">
        <f t="shared" ref="B18:I18" si="5">SUM(B13:B17)</f>
        <v>42550</v>
      </c>
      <c r="C18" s="229">
        <f t="shared" si="5"/>
        <v>127719608.38</v>
      </c>
      <c r="D18" s="229">
        <f t="shared" si="5"/>
        <v>61059199.32</v>
      </c>
      <c r="E18" s="229">
        <f t="shared" si="5"/>
        <v>40737090.960000001</v>
      </c>
      <c r="F18" s="229">
        <f t="shared" si="5"/>
        <v>197098958.27999997</v>
      </c>
      <c r="G18" s="229">
        <f t="shared" si="5"/>
        <v>39614759.380000003</v>
      </c>
      <c r="H18" s="229">
        <f t="shared" si="5"/>
        <v>454522.20999999996</v>
      </c>
      <c r="I18" s="229">
        <f t="shared" si="5"/>
        <v>466684138.53000003</v>
      </c>
      <c r="J18" s="214">
        <f t="shared" si="4"/>
        <v>10967.899847943596</v>
      </c>
      <c r="K18" s="214">
        <f t="shared" si="2"/>
        <v>10957.217774853112</v>
      </c>
    </row>
    <row r="19" spans="1:11" x14ac:dyDescent="0.2">
      <c r="A19" s="33"/>
      <c r="B19" s="229"/>
      <c r="C19" s="214"/>
      <c r="D19" s="214"/>
      <c r="E19" s="214"/>
      <c r="F19" s="214"/>
      <c r="G19" s="214"/>
      <c r="H19" s="214"/>
      <c r="I19" s="214"/>
      <c r="J19" s="214"/>
      <c r="K19" s="214"/>
    </row>
    <row r="20" spans="1:11" x14ac:dyDescent="0.2">
      <c r="A20" s="33"/>
      <c r="B20" s="229"/>
      <c r="C20" s="214"/>
      <c r="D20" s="214"/>
      <c r="E20" s="214"/>
      <c r="F20" s="214"/>
      <c r="G20" s="214"/>
      <c r="H20" s="214"/>
      <c r="I20" s="214"/>
      <c r="J20" s="214"/>
      <c r="K20" s="214"/>
    </row>
    <row r="21" spans="1:11" x14ac:dyDescent="0.2">
      <c r="A21" s="33" t="s">
        <v>86</v>
      </c>
      <c r="B21" s="229">
        <v>10157</v>
      </c>
      <c r="C21" s="229">
        <v>20206034.110000003</v>
      </c>
      <c r="D21" s="229">
        <v>6951291.9500000002</v>
      </c>
      <c r="E21" s="229">
        <v>7704637.4899999993</v>
      </c>
      <c r="F21" s="229">
        <v>44712908.499999985</v>
      </c>
      <c r="G21" s="229">
        <v>9425255.0399999991</v>
      </c>
      <c r="H21" s="229">
        <v>194654</v>
      </c>
      <c r="I21" s="221">
        <f>SUM(C21:H21)</f>
        <v>89194781.089999974</v>
      </c>
      <c r="J21" s="214">
        <f>I21/B21</f>
        <v>8781.6068809687877</v>
      </c>
      <c r="K21" s="214">
        <f t="shared" si="2"/>
        <v>8762.4423638869721</v>
      </c>
    </row>
    <row r="22" spans="1:11" x14ac:dyDescent="0.2">
      <c r="A22" s="33" t="s">
        <v>87</v>
      </c>
      <c r="B22" s="240">
        <v>7489</v>
      </c>
      <c r="C22" s="237">
        <v>25696310.359999999</v>
      </c>
      <c r="D22" s="238">
        <v>32165888.15000001</v>
      </c>
      <c r="E22" s="238">
        <v>8667462.1699999981</v>
      </c>
      <c r="F22" s="238">
        <v>37225243.230000004</v>
      </c>
      <c r="G22" s="238">
        <v>9796544.75</v>
      </c>
      <c r="H22" s="238">
        <v>121795</v>
      </c>
      <c r="I22" s="220">
        <f>SUM(C22:H22)</f>
        <v>113673243.66000001</v>
      </c>
      <c r="J22" s="220">
        <f>I22/B22</f>
        <v>15178.694573374283</v>
      </c>
      <c r="K22" s="220">
        <f t="shared" si="2"/>
        <v>15162.431387368142</v>
      </c>
    </row>
    <row r="23" spans="1:11" x14ac:dyDescent="0.2">
      <c r="A23" s="33" t="s">
        <v>173</v>
      </c>
      <c r="B23" s="221">
        <f t="shared" ref="B23:I23" si="6">SUM(B21:B22)</f>
        <v>17646</v>
      </c>
      <c r="C23" s="221">
        <f t="shared" si="6"/>
        <v>45902344.469999999</v>
      </c>
      <c r="D23" s="221">
        <f t="shared" si="6"/>
        <v>39117180.100000009</v>
      </c>
      <c r="E23" s="221">
        <f t="shared" si="6"/>
        <v>16372099.659999996</v>
      </c>
      <c r="F23" s="221">
        <f t="shared" si="6"/>
        <v>81938151.729999989</v>
      </c>
      <c r="G23" s="221">
        <f t="shared" si="6"/>
        <v>19221799.789999999</v>
      </c>
      <c r="H23" s="221">
        <f t="shared" si="6"/>
        <v>316449</v>
      </c>
      <c r="I23" s="221">
        <f t="shared" si="6"/>
        <v>202868024.75</v>
      </c>
      <c r="J23" s="221">
        <f>I23/B23</f>
        <v>11496.544528505043</v>
      </c>
      <c r="K23" s="214">
        <f t="shared" si="2"/>
        <v>11478.611342513883</v>
      </c>
    </row>
    <row r="24" spans="1:11" x14ac:dyDescent="0.2">
      <c r="A24" s="33"/>
      <c r="B24" s="214"/>
      <c r="C24" s="214"/>
      <c r="D24" s="214"/>
      <c r="E24" s="214"/>
      <c r="F24" s="214"/>
      <c r="G24" s="214"/>
      <c r="H24" s="214"/>
      <c r="I24" s="214"/>
      <c r="J24" s="214"/>
      <c r="K24" s="214"/>
    </row>
    <row r="25" spans="1:11" ht="13.5" thickBot="1" x14ac:dyDescent="0.25">
      <c r="A25" s="33" t="s">
        <v>174</v>
      </c>
      <c r="B25" s="222">
        <f>B23+B18+B10</f>
        <v>149748</v>
      </c>
      <c r="C25" s="192">
        <f t="shared" ref="C25:I25" si="7">C10+C18+C23</f>
        <v>380839824.39999998</v>
      </c>
      <c r="D25" s="192">
        <f t="shared" si="7"/>
        <v>175864962</v>
      </c>
      <c r="E25" s="192">
        <f t="shared" si="7"/>
        <v>130083263.31999999</v>
      </c>
      <c r="F25" s="192">
        <f t="shared" si="7"/>
        <v>638538501.12</v>
      </c>
      <c r="G25" s="192">
        <f t="shared" si="7"/>
        <v>179962850.72999999</v>
      </c>
      <c r="H25" s="192">
        <f t="shared" si="7"/>
        <v>2720942.7699999996</v>
      </c>
      <c r="I25" s="192">
        <f t="shared" si="7"/>
        <v>1508010344.3400002</v>
      </c>
      <c r="J25" s="222">
        <f>I25/B25</f>
        <v>10070.320433929002</v>
      </c>
      <c r="K25" s="222">
        <f t="shared" si="2"/>
        <v>10052.150289619896</v>
      </c>
    </row>
    <row r="26" spans="1:11" ht="13.5" thickTop="1" x14ac:dyDescent="0.2">
      <c r="A26" s="33"/>
      <c r="B26" s="182"/>
      <c r="C26" s="182"/>
      <c r="D26" s="182"/>
      <c r="E26" s="182"/>
      <c r="F26" s="182"/>
      <c r="G26" s="182"/>
      <c r="H26" s="182"/>
      <c r="I26" s="182"/>
      <c r="J26" s="182"/>
    </row>
    <row r="27" spans="1:11" x14ac:dyDescent="0.2">
      <c r="A27" s="33"/>
      <c r="B27" s="182"/>
      <c r="C27" s="33"/>
      <c r="D27" s="33"/>
      <c r="E27" s="33"/>
      <c r="F27" s="33"/>
      <c r="G27" s="33"/>
      <c r="H27" s="33"/>
      <c r="I27" s="182"/>
      <c r="J27" s="182"/>
    </row>
    <row r="28" spans="1:11" x14ac:dyDescent="0.2">
      <c r="A28" s="36" t="s">
        <v>200</v>
      </c>
      <c r="B28" s="22"/>
      <c r="C28" s="36"/>
      <c r="D28" s="36"/>
      <c r="E28" s="36"/>
      <c r="F28" s="36"/>
      <c r="G28" s="36"/>
      <c r="H28" s="36"/>
      <c r="I28" s="22"/>
      <c r="J28" s="182"/>
    </row>
    <row r="29" spans="1:11" x14ac:dyDescent="0.2">
      <c r="A29" s="36" t="s">
        <v>10</v>
      </c>
      <c r="B29" s="22" t="str">
        <f>C2</f>
        <v>FY09</v>
      </c>
      <c r="C29" s="223"/>
      <c r="D29" s="223"/>
      <c r="E29" s="223"/>
      <c r="F29" s="223"/>
      <c r="G29" s="223"/>
      <c r="H29" s="223"/>
      <c r="I29" s="223"/>
      <c r="J29" s="182"/>
    </row>
    <row r="30" spans="1:11" ht="33.75" x14ac:dyDescent="0.2">
      <c r="A30" s="20" t="s">
        <v>245</v>
      </c>
      <c r="B30" s="202" t="str">
        <f>B3</f>
        <v>ANB09</v>
      </c>
      <c r="C30" s="202" t="str">
        <f t="shared" ref="C30:H30" si="8">C3</f>
        <v>09/Pupil Property Tax</v>
      </c>
      <c r="D30" s="202" t="str">
        <f t="shared" si="8"/>
        <v>09/Pupil Non Levy Revenue</v>
      </c>
      <c r="E30" s="202" t="str">
        <f t="shared" si="8"/>
        <v>09/Pupil County Revenue</v>
      </c>
      <c r="F30" s="202" t="str">
        <f t="shared" si="8"/>
        <v>09/Pupil State Revenue</v>
      </c>
      <c r="G30" s="202" t="str">
        <f t="shared" si="8"/>
        <v>09/Pupil Federal Revenue</v>
      </c>
      <c r="H30" s="202" t="str">
        <f t="shared" si="8"/>
        <v>09/ARRA Revenue</v>
      </c>
      <c r="I30" s="202" t="str">
        <f>J3</f>
        <v>09/Rev Per ANB with ARRA</v>
      </c>
      <c r="J30" s="202" t="str">
        <f>K3</f>
        <v>09/Rev Per ANB NO ARRA</v>
      </c>
    </row>
    <row r="31" spans="1:11" x14ac:dyDescent="0.2">
      <c r="A31" s="33"/>
      <c r="B31" s="182"/>
      <c r="C31" s="182"/>
      <c r="D31" s="182"/>
      <c r="E31" s="182"/>
      <c r="F31" s="182"/>
      <c r="G31" s="182"/>
      <c r="H31" s="182"/>
      <c r="I31" s="33"/>
      <c r="J31" s="182"/>
    </row>
    <row r="32" spans="1:11" x14ac:dyDescent="0.2">
      <c r="A32" s="33" t="s">
        <v>102</v>
      </c>
      <c r="B32" s="221">
        <f t="shared" ref="B32:B37" si="9">B4</f>
        <v>37242</v>
      </c>
      <c r="C32" s="182">
        <f t="shared" ref="C32:I38" si="10">C4/$B32</f>
        <v>2365.4494645829977</v>
      </c>
      <c r="D32" s="182">
        <f t="shared" si="10"/>
        <v>556.73927017883034</v>
      </c>
      <c r="E32" s="182">
        <f t="shared" si="10"/>
        <v>793.00510069276629</v>
      </c>
      <c r="F32" s="182">
        <f t="shared" si="10"/>
        <v>3786.4717547392729</v>
      </c>
      <c r="G32" s="182">
        <f t="shared" si="10"/>
        <v>829.59393077707966</v>
      </c>
      <c r="H32" s="182">
        <f t="shared" si="10"/>
        <v>21.763213844584072</v>
      </c>
      <c r="I32" s="182">
        <f>I4/$B32</f>
        <v>8353.0227348155331</v>
      </c>
      <c r="J32" s="182">
        <f>SUM(C4:G4)/B32</f>
        <v>8331.2595209709471</v>
      </c>
    </row>
    <row r="33" spans="1:10" x14ac:dyDescent="0.2">
      <c r="A33" s="33" t="s">
        <v>76</v>
      </c>
      <c r="B33" s="221">
        <f t="shared" si="9"/>
        <v>18748</v>
      </c>
      <c r="C33" s="182">
        <f t="shared" si="10"/>
        <v>2322.1956176658841</v>
      </c>
      <c r="D33" s="182">
        <f t="shared" si="10"/>
        <v>605.36021495626198</v>
      </c>
      <c r="E33" s="182">
        <f t="shared" si="10"/>
        <v>797.96242212502659</v>
      </c>
      <c r="F33" s="182">
        <f t="shared" si="10"/>
        <v>4115.2702389588221</v>
      </c>
      <c r="G33" s="182">
        <f t="shared" si="10"/>
        <v>1739.4180195220824</v>
      </c>
      <c r="H33" s="182">
        <f>H5/$B33</f>
        <v>18.163537443994027</v>
      </c>
      <c r="I33" s="182">
        <f t="shared" si="10"/>
        <v>9598.3700506720725</v>
      </c>
      <c r="J33" s="182">
        <f t="shared" ref="J33:J53" si="11">SUM(C5:G5)/B33</f>
        <v>9580.2065132280786</v>
      </c>
    </row>
    <row r="34" spans="1:10" x14ac:dyDescent="0.2">
      <c r="A34" s="33" t="s">
        <v>77</v>
      </c>
      <c r="B34" s="221">
        <f t="shared" si="9"/>
        <v>11756</v>
      </c>
      <c r="C34" s="182">
        <f t="shared" si="10"/>
        <v>2098.778123511398</v>
      </c>
      <c r="D34" s="182">
        <f t="shared" si="10"/>
        <v>1209.05525433821</v>
      </c>
      <c r="E34" s="182">
        <f t="shared" si="10"/>
        <v>827.66648349778836</v>
      </c>
      <c r="F34" s="182">
        <f t="shared" si="10"/>
        <v>4127.3007145287511</v>
      </c>
      <c r="G34" s="182">
        <f t="shared" si="10"/>
        <v>1494.0395023817628</v>
      </c>
      <c r="H34" s="182">
        <f>H6/$B34</f>
        <v>19.89085998638993</v>
      </c>
      <c r="I34" s="182">
        <f t="shared" si="10"/>
        <v>9776.7309382443</v>
      </c>
      <c r="J34" s="182">
        <f t="shared" si="11"/>
        <v>9756.8400782579101</v>
      </c>
    </row>
    <row r="35" spans="1:10" x14ac:dyDescent="0.2">
      <c r="A35" s="33" t="s">
        <v>78</v>
      </c>
      <c r="B35" s="221">
        <f t="shared" si="9"/>
        <v>14373</v>
      </c>
      <c r="C35" s="182">
        <f t="shared" si="10"/>
        <v>2124.1686467682457</v>
      </c>
      <c r="D35" s="182">
        <f t="shared" si="10"/>
        <v>783.82784109093461</v>
      </c>
      <c r="E35" s="182">
        <f t="shared" si="10"/>
        <v>817.93026090586511</v>
      </c>
      <c r="F35" s="182">
        <f t="shared" si="10"/>
        <v>4232.6018666944965</v>
      </c>
      <c r="G35" s="182">
        <f t="shared" si="10"/>
        <v>1956.6357267098028</v>
      </c>
      <c r="H35" s="182">
        <f>H7/$B35</f>
        <v>30.967438948027553</v>
      </c>
      <c r="I35" s="182">
        <f t="shared" si="10"/>
        <v>9946.1317811173703</v>
      </c>
      <c r="J35" s="182">
        <f t="shared" si="11"/>
        <v>9915.1643421693443</v>
      </c>
    </row>
    <row r="36" spans="1:10" x14ac:dyDescent="0.2">
      <c r="A36" s="33" t="s">
        <v>79</v>
      </c>
      <c r="B36" s="221">
        <f t="shared" si="9"/>
        <v>5804</v>
      </c>
      <c r="C36" s="182">
        <f t="shared" si="10"/>
        <v>2735.4083356305996</v>
      </c>
      <c r="D36" s="182">
        <f t="shared" si="10"/>
        <v>2462.3849259131625</v>
      </c>
      <c r="E36" s="182">
        <f t="shared" si="10"/>
        <v>948.23236044107512</v>
      </c>
      <c r="F36" s="182">
        <f t="shared" si="10"/>
        <v>4356.5316230186081</v>
      </c>
      <c r="G36" s="182">
        <f t="shared" si="10"/>
        <v>1545.8874379738111</v>
      </c>
      <c r="H36" s="182">
        <f>H8/$B36</f>
        <v>17.519297036526535</v>
      </c>
      <c r="I36" s="182">
        <f t="shared" si="10"/>
        <v>12065.963980013783</v>
      </c>
      <c r="J36" s="182">
        <f t="shared" si="11"/>
        <v>12048.444682977257</v>
      </c>
    </row>
    <row r="37" spans="1:10" x14ac:dyDescent="0.2">
      <c r="A37" s="33" t="s">
        <v>80</v>
      </c>
      <c r="B37" s="220">
        <f t="shared" si="9"/>
        <v>1629</v>
      </c>
      <c r="C37" s="183">
        <f t="shared" si="10"/>
        <v>2766.7634069981582</v>
      </c>
      <c r="D37" s="183">
        <f t="shared" si="10"/>
        <v>2353.5372191528545</v>
      </c>
      <c r="E37" s="183">
        <f t="shared" si="10"/>
        <v>915.3332166973604</v>
      </c>
      <c r="F37" s="183">
        <f t="shared" si="10"/>
        <v>4107.7226580724373</v>
      </c>
      <c r="G37" s="183">
        <f t="shared" si="10"/>
        <v>1817.6556046654389</v>
      </c>
      <c r="H37" s="183">
        <f>H9/$B37</f>
        <v>11.247391037446286</v>
      </c>
      <c r="I37" s="183">
        <f t="shared" si="10"/>
        <v>11972.259496623696</v>
      </c>
      <c r="J37" s="183">
        <f t="shared" si="11"/>
        <v>11961.012105586249</v>
      </c>
    </row>
    <row r="38" spans="1:10" x14ac:dyDescent="0.2">
      <c r="A38" s="33" t="s">
        <v>171</v>
      </c>
      <c r="B38" s="221">
        <f>SUM(B32:B37)</f>
        <v>89552</v>
      </c>
      <c r="C38" s="182">
        <f t="shared" si="10"/>
        <v>2313.9390694791855</v>
      </c>
      <c r="D38" s="182">
        <f t="shared" si="10"/>
        <v>845.19142598713597</v>
      </c>
      <c r="E38" s="182">
        <f t="shared" si="10"/>
        <v>814.87931816151513</v>
      </c>
      <c r="F38" s="182">
        <f t="shared" si="10"/>
        <v>4014.4429059094159</v>
      </c>
      <c r="G38" s="182">
        <f t="shared" si="10"/>
        <v>1352.5805293014114</v>
      </c>
      <c r="H38" s="182">
        <f t="shared" si="10"/>
        <v>21.774740485974629</v>
      </c>
      <c r="I38" s="182">
        <f t="shared" si="10"/>
        <v>9362.8079893246395</v>
      </c>
      <c r="J38" s="182">
        <f t="shared" si="11"/>
        <v>9341.033248838663</v>
      </c>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22505</v>
      </c>
      <c r="C41" s="182">
        <f t="shared" ref="C41:I46" si="12">C13/$B41</f>
        <v>2990.7511966229722</v>
      </c>
      <c r="D41" s="182">
        <f t="shared" si="12"/>
        <v>850.67569562319488</v>
      </c>
      <c r="E41" s="182">
        <f t="shared" si="12"/>
        <v>874.6127731615195</v>
      </c>
      <c r="F41" s="182">
        <f t="shared" si="12"/>
        <v>4182.0806203065977</v>
      </c>
      <c r="G41" s="182">
        <f t="shared" si="12"/>
        <v>813.34726016440811</v>
      </c>
      <c r="H41" s="182">
        <f t="shared" si="12"/>
        <v>0</v>
      </c>
      <c r="I41" s="182">
        <f t="shared" si="12"/>
        <v>9711.4675458786933</v>
      </c>
      <c r="J41" s="182">
        <f t="shared" si="11"/>
        <v>9711.4675458786933</v>
      </c>
    </row>
    <row r="42" spans="1:10" x14ac:dyDescent="0.2">
      <c r="A42" s="33" t="s">
        <v>82</v>
      </c>
      <c r="B42" s="221">
        <f>B14</f>
        <v>7979</v>
      </c>
      <c r="C42" s="182">
        <f t="shared" si="12"/>
        <v>2540.8037661361072</v>
      </c>
      <c r="D42" s="182">
        <f t="shared" si="12"/>
        <v>1949.2520503822536</v>
      </c>
      <c r="E42" s="182">
        <f t="shared" si="12"/>
        <v>914.01931445043226</v>
      </c>
      <c r="F42" s="182">
        <f t="shared" si="12"/>
        <v>4387.2219050006261</v>
      </c>
      <c r="G42" s="182">
        <f t="shared" si="12"/>
        <v>800.98147762877545</v>
      </c>
      <c r="H42" s="182">
        <f>H14/$B42</f>
        <v>20.569244266198773</v>
      </c>
      <c r="I42" s="182">
        <f t="shared" si="12"/>
        <v>10612.847757864392</v>
      </c>
      <c r="J42" s="182">
        <f t="shared" si="11"/>
        <v>10592.278513598194</v>
      </c>
    </row>
    <row r="43" spans="1:10" x14ac:dyDescent="0.2">
      <c r="A43" s="33" t="s">
        <v>83</v>
      </c>
      <c r="B43" s="221">
        <f>B15</f>
        <v>5389</v>
      </c>
      <c r="C43" s="182">
        <f t="shared" si="12"/>
        <v>2965.9102894785674</v>
      </c>
      <c r="D43" s="182">
        <f t="shared" si="12"/>
        <v>1175.8478493226944</v>
      </c>
      <c r="E43" s="182">
        <f t="shared" si="12"/>
        <v>997.25133048803104</v>
      </c>
      <c r="F43" s="182">
        <f t="shared" si="12"/>
        <v>4891.3639283726106</v>
      </c>
      <c r="G43" s="182">
        <f t="shared" si="12"/>
        <v>917.78088142512524</v>
      </c>
      <c r="H43" s="182">
        <f>H15/$B43</f>
        <v>9.7023956207088506</v>
      </c>
      <c r="I43" s="182">
        <f t="shared" si="12"/>
        <v>10957.856674707737</v>
      </c>
      <c r="J43" s="182">
        <f t="shared" si="11"/>
        <v>10948.154279087028</v>
      </c>
    </row>
    <row r="44" spans="1:10" x14ac:dyDescent="0.2">
      <c r="A44" s="33" t="s">
        <v>84</v>
      </c>
      <c r="B44" s="221">
        <f>B16</f>
        <v>5197</v>
      </c>
      <c r="C44" s="182">
        <f t="shared" si="12"/>
        <v>3279.8183528959016</v>
      </c>
      <c r="D44" s="182">
        <f t="shared" si="12"/>
        <v>1658.9496979026364</v>
      </c>
      <c r="E44" s="182">
        <f t="shared" si="12"/>
        <v>1139.9741235328074</v>
      </c>
      <c r="F44" s="182">
        <f t="shared" si="12"/>
        <v>5736.438756975178</v>
      </c>
      <c r="G44" s="182">
        <f t="shared" si="12"/>
        <v>1379.458639599769</v>
      </c>
      <c r="H44" s="182">
        <f>H16/$B44</f>
        <v>37.372137771791415</v>
      </c>
      <c r="I44" s="182">
        <f t="shared" si="12"/>
        <v>13232.011708678083</v>
      </c>
      <c r="J44" s="182">
        <f t="shared" si="11"/>
        <v>13194.639570906291</v>
      </c>
    </row>
    <row r="45" spans="1:10" x14ac:dyDescent="0.2">
      <c r="A45" s="33" t="s">
        <v>85</v>
      </c>
      <c r="B45" s="220">
        <f>B17</f>
        <v>1480</v>
      </c>
      <c r="C45" s="183">
        <f t="shared" si="12"/>
        <v>4804.8465675675679</v>
      </c>
      <c r="D45" s="183">
        <f t="shared" si="12"/>
        <v>7705.0371891891882</v>
      </c>
      <c r="E45" s="183">
        <f t="shared" si="12"/>
        <v>1663.7415202702707</v>
      </c>
      <c r="F45" s="183">
        <f t="shared" si="12"/>
        <v>7975.5121013513499</v>
      </c>
      <c r="G45" s="183">
        <f t="shared" si="12"/>
        <v>1894.8515945945944</v>
      </c>
      <c r="H45" s="183">
        <f>H17/$B45</f>
        <v>29.65608108108108</v>
      </c>
      <c r="I45" s="183">
        <f t="shared" si="12"/>
        <v>24073.645054054054</v>
      </c>
      <c r="J45" s="183">
        <f t="shared" si="11"/>
        <v>24043.988972972973</v>
      </c>
    </row>
    <row r="46" spans="1:10" x14ac:dyDescent="0.2">
      <c r="A46" s="33" t="s">
        <v>172</v>
      </c>
      <c r="B46" s="221">
        <f>SUM(B41:B45)</f>
        <v>42550</v>
      </c>
      <c r="C46" s="182">
        <f t="shared" si="12"/>
        <v>3001.6359196239719</v>
      </c>
      <c r="D46" s="182">
        <f t="shared" si="12"/>
        <v>1434.9988089306698</v>
      </c>
      <c r="E46" s="182">
        <f t="shared" si="12"/>
        <v>957.39344206815508</v>
      </c>
      <c r="F46" s="182">
        <f t="shared" si="12"/>
        <v>4632.1729325499409</v>
      </c>
      <c r="G46" s="182">
        <f t="shared" si="12"/>
        <v>931.01667168037613</v>
      </c>
      <c r="H46" s="182">
        <f t="shared" si="12"/>
        <v>10.682073090481785</v>
      </c>
      <c r="I46" s="182">
        <f t="shared" si="12"/>
        <v>10967.899847943596</v>
      </c>
      <c r="J46" s="182">
        <f t="shared" si="11"/>
        <v>10957.217774853112</v>
      </c>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10157</v>
      </c>
      <c r="C49" s="182">
        <f t="shared" ref="C49:I51" si="13">C21/$B49</f>
        <v>1989.3702973318896</v>
      </c>
      <c r="D49" s="182">
        <f t="shared" si="13"/>
        <v>684.38436053952944</v>
      </c>
      <c r="E49" s="182">
        <f t="shared" si="13"/>
        <v>758.55444422565711</v>
      </c>
      <c r="F49" s="182">
        <f t="shared" si="13"/>
        <v>4402.1766761839108</v>
      </c>
      <c r="G49" s="182">
        <f t="shared" si="13"/>
        <v>927.95658560598588</v>
      </c>
      <c r="H49" s="182">
        <f t="shared" si="13"/>
        <v>19.164517081815497</v>
      </c>
      <c r="I49" s="182">
        <f t="shared" si="13"/>
        <v>8781.6068809687877</v>
      </c>
      <c r="J49" s="182">
        <f t="shared" si="11"/>
        <v>8762.4423638869721</v>
      </c>
    </row>
    <row r="50" spans="1:10" x14ac:dyDescent="0.2">
      <c r="A50" s="33" t="s">
        <v>87</v>
      </c>
      <c r="B50" s="220">
        <f>B22</f>
        <v>7489</v>
      </c>
      <c r="C50" s="183">
        <f t="shared" si="13"/>
        <v>3431.207151822673</v>
      </c>
      <c r="D50" s="183">
        <f t="shared" si="13"/>
        <v>4295.0845439978648</v>
      </c>
      <c r="E50" s="183">
        <f t="shared" si="13"/>
        <v>1157.3590826545599</v>
      </c>
      <c r="F50" s="183">
        <f t="shared" si="13"/>
        <v>4970.6560595540132</v>
      </c>
      <c r="G50" s="183">
        <f t="shared" si="13"/>
        <v>1308.1245493390306</v>
      </c>
      <c r="H50" s="183">
        <f t="shared" si="13"/>
        <v>16.263186006142341</v>
      </c>
      <c r="I50" s="183">
        <f t="shared" si="13"/>
        <v>15178.694573374283</v>
      </c>
      <c r="J50" s="183">
        <f t="shared" si="11"/>
        <v>15162.431387368142</v>
      </c>
    </row>
    <row r="51" spans="1:10" x14ac:dyDescent="0.2">
      <c r="A51" s="33" t="s">
        <v>173</v>
      </c>
      <c r="B51" s="221">
        <f>SUM(B49:B50)</f>
        <v>17646</v>
      </c>
      <c r="C51" s="182">
        <f t="shared" si="13"/>
        <v>2601.2889306358379</v>
      </c>
      <c r="D51" s="182">
        <f t="shared" si="13"/>
        <v>2216.7732120593905</v>
      </c>
      <c r="E51" s="182">
        <f t="shared" si="13"/>
        <v>927.80798254561921</v>
      </c>
      <c r="F51" s="182">
        <f t="shared" si="13"/>
        <v>4643.4405377989342</v>
      </c>
      <c r="G51" s="182">
        <f t="shared" si="13"/>
        <v>1089.3006794741018</v>
      </c>
      <c r="H51" s="182">
        <f t="shared" si="13"/>
        <v>17.933185991159469</v>
      </c>
      <c r="I51" s="182">
        <f t="shared" si="13"/>
        <v>11496.544528505043</v>
      </c>
      <c r="J51" s="182">
        <f t="shared" si="11"/>
        <v>11478.611342513883</v>
      </c>
    </row>
    <row r="52" spans="1:10" x14ac:dyDescent="0.2">
      <c r="A52" s="33"/>
      <c r="B52" s="214"/>
      <c r="C52" s="182"/>
      <c r="D52" s="182"/>
      <c r="E52" s="182"/>
      <c r="F52" s="182"/>
      <c r="G52" s="182"/>
      <c r="H52" s="182"/>
      <c r="I52" s="182"/>
      <c r="J52" s="182"/>
    </row>
    <row r="53" spans="1:10" ht="13.5" thickBot="1" x14ac:dyDescent="0.25">
      <c r="A53" s="33" t="s">
        <v>174</v>
      </c>
      <c r="B53" s="222">
        <f>B51+B46+B38</f>
        <v>149748</v>
      </c>
      <c r="C53" s="192">
        <f t="shared" ref="C53:I53" si="14">C25/$B53</f>
        <v>2543.2047466410236</v>
      </c>
      <c r="D53" s="192">
        <f t="shared" si="14"/>
        <v>1174.4060822181264</v>
      </c>
      <c r="E53" s="192">
        <f t="shared" si="14"/>
        <v>868.6811397814995</v>
      </c>
      <c r="F53" s="192">
        <f t="shared" si="14"/>
        <v>4264.0870069717121</v>
      </c>
      <c r="G53" s="192">
        <f t="shared" si="14"/>
        <v>1201.7713140075325</v>
      </c>
      <c r="H53" s="192">
        <f t="shared" si="14"/>
        <v>18.170144309105961</v>
      </c>
      <c r="I53" s="192">
        <f t="shared" si="14"/>
        <v>10070.320433929002</v>
      </c>
      <c r="J53" s="192">
        <f t="shared" si="11"/>
        <v>10052.150289619896</v>
      </c>
    </row>
    <row r="54" spans="1:10" ht="13.5" thickTop="1" x14ac:dyDescent="0.2">
      <c r="A54" s="33"/>
      <c r="B54" s="182"/>
      <c r="C54" s="182"/>
      <c r="D54" s="182"/>
      <c r="E54" s="182"/>
      <c r="F54" s="182"/>
      <c r="G54" s="182"/>
      <c r="H54" s="182"/>
      <c r="I54" s="182"/>
      <c r="J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FY09</v>
      </c>
      <c r="I57" s="202"/>
      <c r="J57" s="182"/>
    </row>
    <row r="58" spans="1:10" ht="22.5" x14ac:dyDescent="0.2">
      <c r="A58" s="20" t="s">
        <v>245</v>
      </c>
      <c r="B58" s="21"/>
      <c r="C58" s="202" t="str">
        <f>C3</f>
        <v>09/Pupil Property Tax</v>
      </c>
      <c r="D58" s="202" t="str">
        <f t="shared" ref="D58:I58" si="15">D3</f>
        <v>09/Pupil Non Levy Revenue</v>
      </c>
      <c r="E58" s="202" t="str">
        <f t="shared" si="15"/>
        <v>09/Pupil County Revenue</v>
      </c>
      <c r="F58" s="202" t="str">
        <f t="shared" si="15"/>
        <v>09/Pupil State Revenue</v>
      </c>
      <c r="G58" s="202" t="str">
        <f t="shared" si="15"/>
        <v>09/Pupil Federal Revenue</v>
      </c>
      <c r="H58" s="202" t="str">
        <f t="shared" si="15"/>
        <v>09/ARRA Revenue</v>
      </c>
      <c r="I58" s="202" t="str">
        <f t="shared" si="15"/>
        <v>09/Pupil Total Revenue</v>
      </c>
      <c r="J58" s="202"/>
    </row>
    <row r="59" spans="1:10" x14ac:dyDescent="0.2">
      <c r="A59" s="33" t="s">
        <v>102</v>
      </c>
      <c r="B59" s="221"/>
      <c r="C59" s="224">
        <f t="shared" ref="C59:I65" si="16">C32/$I32</f>
        <v>0.28318484693256807</v>
      </c>
      <c r="D59" s="224">
        <f t="shared" si="16"/>
        <v>6.6651233673569704E-2</v>
      </c>
      <c r="E59" s="224">
        <f t="shared" si="16"/>
        <v>9.4936303403977129E-2</v>
      </c>
      <c r="F59" s="224">
        <f t="shared" si="16"/>
        <v>0.45330557271886712</v>
      </c>
      <c r="G59" s="224">
        <f t="shared" si="16"/>
        <v>9.9316613531927653E-2</v>
      </c>
      <c r="H59" s="224">
        <f t="shared" si="16"/>
        <v>2.6054297390900958E-3</v>
      </c>
      <c r="I59" s="224">
        <f t="shared" si="16"/>
        <v>1</v>
      </c>
      <c r="J59" s="182"/>
    </row>
    <row r="60" spans="1:10" x14ac:dyDescent="0.2">
      <c r="A60" s="33" t="s">
        <v>76</v>
      </c>
      <c r="B60" s="221"/>
      <c r="C60" s="224">
        <f t="shared" si="16"/>
        <v>0.24193645435698588</v>
      </c>
      <c r="D60" s="224">
        <f t="shared" si="16"/>
        <v>6.3069063993201113E-2</v>
      </c>
      <c r="E60" s="224">
        <f t="shared" si="16"/>
        <v>8.3135200863520956E-2</v>
      </c>
      <c r="F60" s="224">
        <f t="shared" si="16"/>
        <v>0.42874677859192073</v>
      </c>
      <c r="G60" s="224">
        <f t="shared" si="16"/>
        <v>0.1812201457475886</v>
      </c>
      <c r="H60" s="224">
        <f>H33/$I33</f>
        <v>1.8923564467825688E-3</v>
      </c>
      <c r="I60" s="224">
        <f t="shared" si="16"/>
        <v>1</v>
      </c>
      <c r="J60" s="182"/>
    </row>
    <row r="61" spans="1:10" x14ac:dyDescent="0.2">
      <c r="A61" s="33" t="s">
        <v>77</v>
      </c>
      <c r="B61" s="221"/>
      <c r="C61" s="224">
        <f t="shared" si="16"/>
        <v>0.21467074595471025</v>
      </c>
      <c r="D61" s="224">
        <f t="shared" si="16"/>
        <v>0.12366661842034199</v>
      </c>
      <c r="E61" s="224">
        <f t="shared" si="16"/>
        <v>8.4656772158897137E-2</v>
      </c>
      <c r="F61" s="224">
        <f t="shared" si="16"/>
        <v>0.42215549764018867</v>
      </c>
      <c r="G61" s="224">
        <f t="shared" si="16"/>
        <v>0.15281585550620272</v>
      </c>
      <c r="H61" s="224">
        <f>H34/$I34</f>
        <v>2.0345103196592542E-3</v>
      </c>
      <c r="I61" s="224">
        <f t="shared" si="16"/>
        <v>1</v>
      </c>
      <c r="J61" s="182"/>
    </row>
    <row r="62" spans="1:10" x14ac:dyDescent="0.2">
      <c r="A62" s="33" t="s">
        <v>78</v>
      </c>
      <c r="B62" s="221"/>
      <c r="C62" s="224">
        <f t="shared" si="16"/>
        <v>0.21356731375718932</v>
      </c>
      <c r="D62" s="224">
        <f t="shared" si="16"/>
        <v>7.880730502475583E-2</v>
      </c>
      <c r="E62" s="224">
        <f t="shared" si="16"/>
        <v>8.2236016866245168E-2</v>
      </c>
      <c r="F62" s="224">
        <f t="shared" si="16"/>
        <v>0.42555256252788126</v>
      </c>
      <c r="G62" s="224">
        <f t="shared" si="16"/>
        <v>0.19672328597379493</v>
      </c>
      <c r="H62" s="224">
        <f>H35/$I35</f>
        <v>3.1135158501337094E-3</v>
      </c>
      <c r="I62" s="224">
        <f t="shared" si="16"/>
        <v>1</v>
      </c>
      <c r="J62" s="182"/>
    </row>
    <row r="63" spans="1:10" x14ac:dyDescent="0.2">
      <c r="A63" s="33" t="s">
        <v>79</v>
      </c>
      <c r="B63" s="221"/>
      <c r="C63" s="224">
        <f t="shared" si="16"/>
        <v>0.22670450037490292</v>
      </c>
      <c r="D63" s="224">
        <f t="shared" si="16"/>
        <v>0.20407693326383938</v>
      </c>
      <c r="E63" s="224">
        <f t="shared" si="16"/>
        <v>7.8587368735041754E-2</v>
      </c>
      <c r="F63" s="224">
        <f t="shared" si="16"/>
        <v>0.36105955812853602</v>
      </c>
      <c r="G63" s="224">
        <f t="shared" si="16"/>
        <v>0.12811967949966027</v>
      </c>
      <c r="H63" s="224">
        <f>H36/$I36</f>
        <v>1.451959998019696E-3</v>
      </c>
      <c r="I63" s="224">
        <f t="shared" si="16"/>
        <v>1</v>
      </c>
      <c r="J63" s="182"/>
    </row>
    <row r="64" spans="1:10" x14ac:dyDescent="0.2">
      <c r="A64" s="33" t="s">
        <v>80</v>
      </c>
      <c r="B64" s="221"/>
      <c r="C64" s="225">
        <f t="shared" si="16"/>
        <v>0.23109784813621981</v>
      </c>
      <c r="D64" s="225">
        <f t="shared" si="16"/>
        <v>0.19658254315457971</v>
      </c>
      <c r="E64" s="225">
        <f t="shared" si="16"/>
        <v>7.6454508604285945E-2</v>
      </c>
      <c r="F64" s="225">
        <f t="shared" si="16"/>
        <v>0.34310337653730766</v>
      </c>
      <c r="G64" s="225">
        <f t="shared" si="16"/>
        <v>0.15182226923648265</v>
      </c>
      <c r="H64" s="225">
        <f>H37/$I37</f>
        <v>9.3945433112422683E-4</v>
      </c>
      <c r="I64" s="225">
        <f t="shared" si="16"/>
        <v>1</v>
      </c>
      <c r="J64" s="182"/>
    </row>
    <row r="65" spans="1:10" x14ac:dyDescent="0.2">
      <c r="A65" s="33" t="s">
        <v>171</v>
      </c>
      <c r="B65" s="221"/>
      <c r="C65" s="224">
        <f t="shared" si="16"/>
        <v>0.2471415703619588</v>
      </c>
      <c r="D65" s="224">
        <f t="shared" si="16"/>
        <v>9.0271148030677664E-2</v>
      </c>
      <c r="E65" s="224">
        <f t="shared" si="16"/>
        <v>8.7033646219235802E-2</v>
      </c>
      <c r="F65" s="224">
        <f t="shared" si="16"/>
        <v>0.42876484388942238</v>
      </c>
      <c r="G65" s="224">
        <f t="shared" si="16"/>
        <v>0.14446312803206127</v>
      </c>
      <c r="H65" s="224">
        <f t="shared" si="16"/>
        <v>2.325663466643973E-3</v>
      </c>
      <c r="I65" s="224">
        <f t="shared" si="16"/>
        <v>1</v>
      </c>
      <c r="J65" s="182"/>
    </row>
    <row r="66" spans="1:10" x14ac:dyDescent="0.2">
      <c r="A66" s="33"/>
      <c r="B66" s="182"/>
      <c r="C66" s="224"/>
      <c r="D66" s="224"/>
      <c r="E66" s="224"/>
      <c r="F66" s="224"/>
      <c r="G66" s="224"/>
      <c r="H66" s="224"/>
      <c r="I66" s="224"/>
      <c r="J66" s="182"/>
    </row>
    <row r="67" spans="1:10" x14ac:dyDescent="0.2">
      <c r="A67" s="33"/>
      <c r="B67" s="221"/>
      <c r="C67" s="224"/>
      <c r="D67" s="224"/>
      <c r="E67" s="224"/>
      <c r="F67" s="224"/>
      <c r="G67" s="224"/>
      <c r="H67" s="224"/>
      <c r="I67" s="224"/>
      <c r="J67" s="182"/>
    </row>
    <row r="68" spans="1:10" x14ac:dyDescent="0.2">
      <c r="A68" s="33" t="s">
        <v>81</v>
      </c>
      <c r="B68" s="221"/>
      <c r="C68" s="224">
        <f t="shared" ref="C68:I73" si="17">C41/$I41</f>
        <v>0.30796078785148934</v>
      </c>
      <c r="D68" s="224">
        <f t="shared" si="17"/>
        <v>8.7594968690823727E-2</v>
      </c>
      <c r="E68" s="224">
        <f t="shared" si="17"/>
        <v>9.0059794673636479E-2</v>
      </c>
      <c r="F68" s="224">
        <f t="shared" si="17"/>
        <v>0.43063322824791495</v>
      </c>
      <c r="G68" s="224">
        <f t="shared" si="17"/>
        <v>8.3751220536135401E-2</v>
      </c>
      <c r="H68" s="224">
        <f t="shared" si="17"/>
        <v>0</v>
      </c>
      <c r="I68" s="224">
        <f t="shared" si="17"/>
        <v>1</v>
      </c>
      <c r="J68" s="182"/>
    </row>
    <row r="69" spans="1:10" x14ac:dyDescent="0.2">
      <c r="A69" s="33" t="s">
        <v>82</v>
      </c>
      <c r="B69" s="221"/>
      <c r="C69" s="224">
        <f t="shared" si="17"/>
        <v>0.23940829305247563</v>
      </c>
      <c r="D69" s="224">
        <f t="shared" si="17"/>
        <v>0.18366908626742601</v>
      </c>
      <c r="E69" s="224">
        <f t="shared" si="17"/>
        <v>8.6123850572822971E-2</v>
      </c>
      <c r="F69" s="224">
        <f t="shared" si="17"/>
        <v>0.41338781117910434</v>
      </c>
      <c r="G69" s="224">
        <f t="shared" si="17"/>
        <v>7.5472813320555512E-2</v>
      </c>
      <c r="H69" s="224">
        <f>H42/$I42</f>
        <v>1.9381456076156783E-3</v>
      </c>
      <c r="I69" s="224">
        <f t="shared" si="17"/>
        <v>1</v>
      </c>
      <c r="J69" s="182"/>
    </row>
    <row r="70" spans="1:10" x14ac:dyDescent="0.2">
      <c r="A70" s="33" t="s">
        <v>83</v>
      </c>
      <c r="B70" s="221"/>
      <c r="C70" s="224">
        <f t="shared" si="17"/>
        <v>0.27066518366902009</v>
      </c>
      <c r="D70" s="224">
        <f t="shared" si="17"/>
        <v>0.10730637242561453</v>
      </c>
      <c r="E70" s="224">
        <f t="shared" si="17"/>
        <v>9.1007882297806139E-2</v>
      </c>
      <c r="F70" s="224">
        <f t="shared" si="17"/>
        <v>0.44637962272882814</v>
      </c>
      <c r="G70" s="224">
        <f t="shared" si="17"/>
        <v>8.3755510650498993E-2</v>
      </c>
      <c r="H70" s="224">
        <f>H43/$I43</f>
        <v>8.8542822823219937E-4</v>
      </c>
      <c r="I70" s="224">
        <f t="shared" si="17"/>
        <v>1</v>
      </c>
      <c r="J70" s="182"/>
    </row>
    <row r="71" spans="1:10" x14ac:dyDescent="0.2">
      <c r="A71" s="33" t="s">
        <v>84</v>
      </c>
      <c r="B71" s="221"/>
      <c r="C71" s="224">
        <f t="shared" si="17"/>
        <v>0.24786997057634597</v>
      </c>
      <c r="D71" s="224">
        <f t="shared" si="17"/>
        <v>0.12537395933640466</v>
      </c>
      <c r="E71" s="224">
        <f t="shared" si="17"/>
        <v>8.6152744467809586E-2</v>
      </c>
      <c r="F71" s="224">
        <f t="shared" si="17"/>
        <v>0.43352733380767733</v>
      </c>
      <c r="G71" s="224">
        <f t="shared" si="17"/>
        <v>0.10425161872363405</v>
      </c>
      <c r="H71" s="224">
        <f>H44/$I44</f>
        <v>2.824373088128487E-3</v>
      </c>
      <c r="I71" s="224">
        <f t="shared" si="17"/>
        <v>1</v>
      </c>
      <c r="J71" s="182"/>
    </row>
    <row r="72" spans="1:10" x14ac:dyDescent="0.2">
      <c r="A72" s="33" t="s">
        <v>85</v>
      </c>
      <c r="B72" s="221"/>
      <c r="C72" s="225">
        <f t="shared" si="17"/>
        <v>0.19958949119582625</v>
      </c>
      <c r="D72" s="225">
        <f t="shared" si="17"/>
        <v>0.32006109469042138</v>
      </c>
      <c r="E72" s="225">
        <f t="shared" si="17"/>
        <v>6.9110494756177074E-2</v>
      </c>
      <c r="F72" s="225">
        <f t="shared" si="17"/>
        <v>0.33129640664899046</v>
      </c>
      <c r="G72" s="225">
        <f t="shared" si="17"/>
        <v>7.8710622771913694E-2</v>
      </c>
      <c r="H72" s="225">
        <f>H45/$I45</f>
        <v>1.2318899366710956E-3</v>
      </c>
      <c r="I72" s="225">
        <f t="shared" si="17"/>
        <v>1</v>
      </c>
      <c r="J72" s="182"/>
    </row>
    <row r="73" spans="1:10" x14ac:dyDescent="0.2">
      <c r="A73" s="33" t="s">
        <v>172</v>
      </c>
      <c r="B73" s="221"/>
      <c r="C73" s="224">
        <f t="shared" si="17"/>
        <v>0.27367462880204524</v>
      </c>
      <c r="D73" s="224">
        <f t="shared" si="17"/>
        <v>0.13083624292938106</v>
      </c>
      <c r="E73" s="224">
        <f t="shared" si="17"/>
        <v>8.7290498212167722E-2</v>
      </c>
      <c r="F73" s="224">
        <f t="shared" si="17"/>
        <v>0.42233909834784283</v>
      </c>
      <c r="G73" s="224">
        <f t="shared" si="17"/>
        <v>8.4885592008294569E-2</v>
      </c>
      <c r="H73" s="224">
        <f t="shared" si="17"/>
        <v>9.7393970026856129E-4</v>
      </c>
      <c r="I73" s="224">
        <f t="shared" si="17"/>
        <v>1</v>
      </c>
      <c r="J73" s="182"/>
    </row>
    <row r="74" spans="1:10" x14ac:dyDescent="0.2">
      <c r="A74" s="33"/>
      <c r="B74" s="182"/>
      <c r="C74" s="224"/>
      <c r="D74" s="224"/>
      <c r="E74" s="224"/>
      <c r="F74" s="224"/>
      <c r="G74" s="224"/>
      <c r="H74" s="224"/>
      <c r="I74" s="224"/>
      <c r="J74" s="182"/>
    </row>
    <row r="75" spans="1:10" x14ac:dyDescent="0.2">
      <c r="A75" s="33"/>
      <c r="B75" s="221"/>
      <c r="C75" s="224"/>
      <c r="D75" s="224"/>
      <c r="E75" s="224"/>
      <c r="F75" s="224"/>
      <c r="G75" s="224"/>
      <c r="H75" s="224"/>
      <c r="I75" s="224"/>
      <c r="J75" s="182"/>
    </row>
    <row r="76" spans="1:10" x14ac:dyDescent="0.2">
      <c r="A76" s="33" t="s">
        <v>86</v>
      </c>
      <c r="B76" s="221"/>
      <c r="C76" s="224">
        <f t="shared" ref="C76:I78" si="18">C49/$I49</f>
        <v>0.22653830036996853</v>
      </c>
      <c r="D76" s="224">
        <f t="shared" si="18"/>
        <v>7.7933841700737583E-2</v>
      </c>
      <c r="E76" s="224">
        <f t="shared" si="18"/>
        <v>8.6379913665865823E-2</v>
      </c>
      <c r="F76" s="224">
        <f t="shared" si="18"/>
        <v>0.50129512011340027</v>
      </c>
      <c r="G76" s="224">
        <f t="shared" si="18"/>
        <v>0.10567047673439164</v>
      </c>
      <c r="H76" s="224">
        <f t="shared" si="18"/>
        <v>2.1823474156362219E-3</v>
      </c>
      <c r="I76" s="224">
        <f>I49/$I49</f>
        <v>1</v>
      </c>
      <c r="J76" s="182"/>
    </row>
    <row r="77" spans="1:10" x14ac:dyDescent="0.2">
      <c r="A77" s="33" t="s">
        <v>87</v>
      </c>
      <c r="B77" s="221"/>
      <c r="C77" s="225">
        <f t="shared" si="18"/>
        <v>0.22605416659753647</v>
      </c>
      <c r="D77" s="225">
        <f t="shared" si="18"/>
        <v>0.28296798010100882</v>
      </c>
      <c r="E77" s="225">
        <f t="shared" si="18"/>
        <v>7.6248920950339305E-2</v>
      </c>
      <c r="F77" s="225">
        <f t="shared" si="18"/>
        <v>0.32747586003036733</v>
      </c>
      <c r="G77" s="225">
        <f t="shared" si="18"/>
        <v>8.6181624053077541E-2</v>
      </c>
      <c r="H77" s="225">
        <f t="shared" si="18"/>
        <v>1.0714482676705557E-3</v>
      </c>
      <c r="I77" s="225">
        <f t="shared" si="18"/>
        <v>1</v>
      </c>
      <c r="J77" s="182"/>
    </row>
    <row r="78" spans="1:10" x14ac:dyDescent="0.2">
      <c r="A78" s="33" t="s">
        <v>173</v>
      </c>
      <c r="B78" s="221"/>
      <c r="C78" s="224">
        <f t="shared" si="18"/>
        <v>0.22626702520797329</v>
      </c>
      <c r="D78" s="224">
        <f t="shared" si="18"/>
        <v>0.19282082599367353</v>
      </c>
      <c r="E78" s="224">
        <f t="shared" si="18"/>
        <v>8.070320436242133E-2</v>
      </c>
      <c r="F78" s="224">
        <f t="shared" si="18"/>
        <v>0.40389879987728328</v>
      </c>
      <c r="G78" s="224">
        <f t="shared" si="18"/>
        <v>9.4750268376140437E-2</v>
      </c>
      <c r="H78" s="224">
        <f t="shared" si="18"/>
        <v>1.5598761825081555E-3</v>
      </c>
      <c r="I78" s="224">
        <f t="shared" si="18"/>
        <v>1</v>
      </c>
      <c r="J78" s="182"/>
    </row>
    <row r="79" spans="1:10" x14ac:dyDescent="0.2">
      <c r="A79" s="33"/>
      <c r="B79" s="221"/>
      <c r="C79" s="224"/>
      <c r="D79" s="224"/>
      <c r="E79" s="224"/>
      <c r="F79" s="224"/>
      <c r="G79" s="224"/>
      <c r="H79" s="224"/>
      <c r="I79" s="224"/>
      <c r="J79" s="182"/>
    </row>
    <row r="80" spans="1:10" ht="13.5" thickBot="1" x14ac:dyDescent="0.25">
      <c r="A80" s="33" t="s">
        <v>208</v>
      </c>
      <c r="B80" s="221"/>
      <c r="C80" s="226">
        <f t="shared" ref="C80:I80" si="19">C53/$I53</f>
        <v>0.2525445702872014</v>
      </c>
      <c r="D80" s="226">
        <f t="shared" si="19"/>
        <v>0.11662052761114812</v>
      </c>
      <c r="E80" s="226">
        <f t="shared" si="19"/>
        <v>8.6261519231774608E-2</v>
      </c>
      <c r="F80" s="226">
        <f t="shared" si="19"/>
        <v>0.42343111472452422</v>
      </c>
      <c r="G80" s="226">
        <f t="shared" si="19"/>
        <v>0.11933794181548735</v>
      </c>
      <c r="H80" s="226">
        <f t="shared" si="19"/>
        <v>1.8043263298640397E-3</v>
      </c>
      <c r="I80" s="226">
        <f t="shared" si="19"/>
        <v>1</v>
      </c>
      <c r="J80" s="182"/>
    </row>
    <row r="81" spans="1:10" ht="13.5" thickTop="1" x14ac:dyDescent="0.2">
      <c r="A81" s="33"/>
      <c r="B81" s="33"/>
      <c r="C81" s="33"/>
      <c r="D81" s="33"/>
      <c r="E81" s="33"/>
      <c r="F81" s="33"/>
      <c r="G81" s="33"/>
      <c r="H81" s="33"/>
      <c r="I81" s="33"/>
      <c r="J81" s="182"/>
    </row>
    <row r="82" spans="1:10" x14ac:dyDescent="0.2">
      <c r="A82" s="33"/>
      <c r="B82" s="33"/>
      <c r="C82" s="33"/>
      <c r="D82" s="33"/>
      <c r="E82" s="33"/>
      <c r="F82" s="33"/>
      <c r="G82" s="33"/>
      <c r="H82" s="33"/>
      <c r="I82" s="33"/>
      <c r="J82" s="182"/>
    </row>
  </sheetData>
  <phoneticPr fontId="7"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J26"/>
  <sheetViews>
    <sheetView workbookViewId="0">
      <pane xSplit="1" topLeftCell="S1" activePane="topRight" state="frozen"/>
      <selection activeCell="G28" sqref="G28"/>
      <selection pane="topRight" activeCell="AK8" sqref="AK8"/>
    </sheetView>
  </sheetViews>
  <sheetFormatPr defaultColWidth="8" defaultRowHeight="12.75" x14ac:dyDescent="0.2"/>
  <cols>
    <col min="1" max="1" width="47.140625" bestFit="1" customWidth="1"/>
    <col min="2" max="14" width="8" customWidth="1"/>
    <col min="15" max="18" width="7.7109375" style="122" customWidth="1"/>
    <col min="19" max="19" width="7.7109375" style="122" bestFit="1" customWidth="1"/>
    <col min="20" max="20" width="7.7109375" bestFit="1" customWidth="1"/>
    <col min="21" max="34" width="7.7109375" customWidth="1"/>
    <col min="35" max="35" width="10" customWidth="1"/>
  </cols>
  <sheetData>
    <row r="1" spans="1:36" x14ac:dyDescent="0.2">
      <c r="A1" s="132" t="s">
        <v>247</v>
      </c>
    </row>
    <row r="2" spans="1:36" x14ac:dyDescent="0.2">
      <c r="A2" s="132" t="s">
        <v>432</v>
      </c>
    </row>
    <row r="3" spans="1:36" x14ac:dyDescent="0.2">
      <c r="T3" s="133"/>
      <c r="U3" s="133"/>
      <c r="V3" s="133"/>
      <c r="W3" s="133"/>
      <c r="X3" s="133"/>
      <c r="Y3" s="133"/>
      <c r="Z3" s="133"/>
      <c r="AA3" s="133"/>
      <c r="AB3" s="133"/>
      <c r="AC3" s="133"/>
      <c r="AD3" s="133"/>
      <c r="AE3" s="133"/>
      <c r="AF3" s="133"/>
      <c r="AG3" s="133"/>
      <c r="AH3" s="133"/>
      <c r="AI3" s="133" t="s">
        <v>232</v>
      </c>
      <c r="AJ3" s="343" t="s">
        <v>232</v>
      </c>
    </row>
    <row r="4" spans="1:36" x14ac:dyDescent="0.2">
      <c r="A4" s="143" t="s">
        <v>88</v>
      </c>
      <c r="B4" s="144" t="s">
        <v>314</v>
      </c>
      <c r="C4" s="144" t="s">
        <v>330</v>
      </c>
      <c r="D4" s="144" t="s">
        <v>345</v>
      </c>
      <c r="E4" s="144" t="str">
        <f>'94func'!B4</f>
        <v>94 ANB</v>
      </c>
      <c r="F4" s="144" t="str">
        <f>'95func'!B3</f>
        <v>95 ANB</v>
      </c>
      <c r="G4" s="144" t="str">
        <f>'96func'!B3</f>
        <v>96 ANB</v>
      </c>
      <c r="H4" s="144" t="str">
        <f>'97func'!B28</f>
        <v>97 ANB</v>
      </c>
      <c r="I4" s="144" t="str">
        <f>'98func'!B4</f>
        <v>98 ANB</v>
      </c>
      <c r="J4" s="144" t="str">
        <f>'99func'!B32</f>
        <v>99 ANB</v>
      </c>
      <c r="K4" s="145" t="s">
        <v>231</v>
      </c>
      <c r="L4" s="145" t="s">
        <v>272</v>
      </c>
      <c r="M4" s="145" t="s">
        <v>425</v>
      </c>
      <c r="N4" s="145" t="s">
        <v>494</v>
      </c>
      <c r="O4" s="145" t="s">
        <v>528</v>
      </c>
      <c r="P4" s="145" t="s">
        <v>555</v>
      </c>
      <c r="Q4" s="145" t="s">
        <v>75</v>
      </c>
      <c r="R4" s="145" t="s">
        <v>44</v>
      </c>
      <c r="S4" s="145" t="s">
        <v>29</v>
      </c>
      <c r="T4" s="145" t="s">
        <v>27</v>
      </c>
      <c r="U4" s="145" t="s">
        <v>1069</v>
      </c>
      <c r="V4" s="145" t="s">
        <v>1127</v>
      </c>
      <c r="W4" s="145" t="s">
        <v>1165</v>
      </c>
      <c r="X4" s="319" t="s">
        <v>1196</v>
      </c>
      <c r="Y4" s="319" t="s">
        <v>1242</v>
      </c>
      <c r="Z4" s="319" t="s">
        <v>1268</v>
      </c>
      <c r="AA4" s="319" t="s">
        <v>1309</v>
      </c>
      <c r="AB4" s="319" t="s">
        <v>1329</v>
      </c>
      <c r="AC4" s="319" t="s">
        <v>1340</v>
      </c>
      <c r="AD4" s="319" t="s">
        <v>1344</v>
      </c>
      <c r="AE4" s="319" t="s">
        <v>1351</v>
      </c>
      <c r="AF4" s="319" t="s">
        <v>1371</v>
      </c>
      <c r="AG4" s="319" t="s">
        <v>1406</v>
      </c>
      <c r="AH4" s="351" t="s">
        <v>1419</v>
      </c>
      <c r="AI4" s="344">
        <v>2013</v>
      </c>
      <c r="AJ4" s="345">
        <v>2009</v>
      </c>
    </row>
    <row r="5" spans="1:36" x14ac:dyDescent="0.2">
      <c r="A5" s="104" t="s">
        <v>102</v>
      </c>
      <c r="B5" s="6">
        <f>'91func'!B4</f>
        <v>38043</v>
      </c>
      <c r="C5" s="6">
        <f>'92func'!B4</f>
        <v>38593</v>
      </c>
      <c r="D5" s="6">
        <f>'93func'!B4</f>
        <v>39396</v>
      </c>
      <c r="E5" s="6">
        <f>'94func'!B5</f>
        <v>40537</v>
      </c>
      <c r="F5" s="6">
        <f>'95func'!B4</f>
        <v>41482</v>
      </c>
      <c r="G5" s="6">
        <f>'96func'!B4</f>
        <v>41227</v>
      </c>
      <c r="H5" s="6">
        <f>'97func'!B29</f>
        <v>40796</v>
      </c>
      <c r="I5" s="6">
        <f>'98func'!B5</f>
        <v>39846</v>
      </c>
      <c r="J5" s="6">
        <f>'99func'!B34</f>
        <v>39026</v>
      </c>
      <c r="K5" s="130">
        <v>35959</v>
      </c>
      <c r="L5" s="130">
        <f>'01func'!B4</f>
        <v>35570</v>
      </c>
      <c r="M5" s="130">
        <f>'02func'!B4</f>
        <v>34874</v>
      </c>
      <c r="N5" s="130">
        <f>'03func'!B4</f>
        <v>34236</v>
      </c>
      <c r="O5" s="207">
        <f>'04func'!B4</f>
        <v>33931</v>
      </c>
      <c r="P5" s="207">
        <f>'05func'!B4</f>
        <v>35945</v>
      </c>
      <c r="Q5" s="208">
        <v>35880</v>
      </c>
      <c r="R5" s="208">
        <f>'07func'!$B4</f>
        <v>35547</v>
      </c>
      <c r="S5" s="208">
        <f>'08func'!$B4</f>
        <v>37120</v>
      </c>
      <c r="T5" s="208">
        <f>'09funcWithARRA'!$B4</f>
        <v>37242</v>
      </c>
      <c r="U5" s="208">
        <f>'10func_NO_ARRA_NO_SFSF'!B4</f>
        <v>37450</v>
      </c>
      <c r="V5" s="208">
        <f>'11func_NO_ARRA_NO_SFSF'!B4</f>
        <v>37842</v>
      </c>
      <c r="W5" s="208">
        <f>'12Rev'!$B$4</f>
        <v>38250</v>
      </c>
      <c r="X5" s="214">
        <f>'13Rev'!$B$4</f>
        <v>39033</v>
      </c>
      <c r="Y5" s="214">
        <f>'14Rev'!$B$4</f>
        <v>39709</v>
      </c>
      <c r="Z5" s="214">
        <f>'15Rev'!$B$4</f>
        <v>40133</v>
      </c>
      <c r="AA5" s="214">
        <f>'16Rev'!$B$4</f>
        <v>40614</v>
      </c>
      <c r="AB5" s="214">
        <f>'17Rev'!$B$4</f>
        <v>40904</v>
      </c>
      <c r="AC5" s="214">
        <f>'18Rev'!$B$4</f>
        <v>41164</v>
      </c>
      <c r="AD5" s="214">
        <f>'19Rev'!$B$4</f>
        <v>41234</v>
      </c>
      <c r="AE5" s="214">
        <f>'20Rev'!$B$4</f>
        <v>41686</v>
      </c>
      <c r="AF5" s="214">
        <f>'21Rev'!$B$4</f>
        <v>42204</v>
      </c>
      <c r="AG5" s="214">
        <f>'22Rev'!$B$4</f>
        <v>41340</v>
      </c>
      <c r="AH5" s="348">
        <f>'23Rev'!$B$4</f>
        <v>41244</v>
      </c>
      <c r="AI5" s="134">
        <f t="shared" ref="AI5:AI11" si="0">(AH5/X5)-1</f>
        <v>5.6644377834140336E-2</v>
      </c>
      <c r="AJ5" s="134">
        <f t="shared" ref="AJ5:AJ11" si="1">(AH5/T5)-1</f>
        <v>0.1074593201224423</v>
      </c>
    </row>
    <row r="6" spans="1:36" x14ac:dyDescent="0.2">
      <c r="A6" s="104" t="s">
        <v>76</v>
      </c>
      <c r="B6" s="6">
        <f>'91func'!B5</f>
        <v>25370</v>
      </c>
      <c r="C6" s="6">
        <f>'92func'!B5</f>
        <v>25666</v>
      </c>
      <c r="D6" s="6">
        <f>'93func'!B5</f>
        <v>23853</v>
      </c>
      <c r="E6" s="6">
        <f>'94func'!B6</f>
        <v>24977</v>
      </c>
      <c r="F6" s="6">
        <f>'95func'!B5</f>
        <v>24927</v>
      </c>
      <c r="G6" s="6">
        <f>'96func'!B5</f>
        <v>24918</v>
      </c>
      <c r="H6" s="6">
        <f>'97func'!B30</f>
        <v>24993</v>
      </c>
      <c r="I6" s="6">
        <f>'98func'!B6</f>
        <v>23909</v>
      </c>
      <c r="J6" s="6">
        <f>'99func'!B35</f>
        <v>23422</v>
      </c>
      <c r="K6" s="130">
        <v>24474</v>
      </c>
      <c r="L6" s="130">
        <f>'01func'!B5</f>
        <v>24009</v>
      </c>
      <c r="M6" s="130">
        <f>'02func'!B5</f>
        <v>22782</v>
      </c>
      <c r="N6" s="130">
        <f>'03func'!B5</f>
        <v>21444</v>
      </c>
      <c r="O6" s="207">
        <f>'04func'!B5</f>
        <v>21202</v>
      </c>
      <c r="P6" s="207">
        <f>'05func'!B5</f>
        <v>18832</v>
      </c>
      <c r="Q6" s="208">
        <v>18007</v>
      </c>
      <c r="R6" s="208">
        <f>'07func'!B5</f>
        <v>17831</v>
      </c>
      <c r="S6" s="208">
        <f>'08func'!$B5</f>
        <v>18592</v>
      </c>
      <c r="T6" s="208">
        <f>'09funcWithARRA'!$B5</f>
        <v>18748</v>
      </c>
      <c r="U6" s="208">
        <f>'10func_NO_ARRA_NO_SFSF'!B5</f>
        <v>18051</v>
      </c>
      <c r="V6" s="208">
        <f>'11func_NO_ARRA_NO_SFSF'!B5</f>
        <v>18223</v>
      </c>
      <c r="W6" s="208">
        <f>'12Rev'!$B$5</f>
        <v>17543</v>
      </c>
      <c r="X6" s="214">
        <f>'13Rev'!$B$5</f>
        <v>20207</v>
      </c>
      <c r="Y6" s="214">
        <f>'14Rev'!$B$5</f>
        <v>20553</v>
      </c>
      <c r="Z6" s="214">
        <f>'15Rev'!$B$5</f>
        <v>20955</v>
      </c>
      <c r="AA6" s="214">
        <f>'16Rev'!$B$5</f>
        <v>21203</v>
      </c>
      <c r="AB6" s="214">
        <f>'17Rev'!$B$5</f>
        <v>20549</v>
      </c>
      <c r="AC6" s="214">
        <f>'18Rev'!$B$5</f>
        <v>20520</v>
      </c>
      <c r="AD6" s="214">
        <f>'19Rev'!$B$5</f>
        <v>18111</v>
      </c>
      <c r="AE6" s="214">
        <f>'20Rev'!$B$5</f>
        <v>18011</v>
      </c>
      <c r="AF6" s="214">
        <f>'21Rev'!$B$5</f>
        <v>16998</v>
      </c>
      <c r="AG6" s="214">
        <f>'22Rev'!$B$5</f>
        <v>17505</v>
      </c>
      <c r="AH6" s="348">
        <f>'23Rev'!$B$5</f>
        <v>16500</v>
      </c>
      <c r="AI6" s="134">
        <f t="shared" si="0"/>
        <v>-0.18345127925966254</v>
      </c>
      <c r="AJ6" s="134">
        <f t="shared" si="1"/>
        <v>-0.11990612331982076</v>
      </c>
    </row>
    <row r="7" spans="1:36" x14ac:dyDescent="0.2">
      <c r="A7" s="104" t="s">
        <v>77</v>
      </c>
      <c r="B7" s="6">
        <f>'91func'!B6</f>
        <v>14951</v>
      </c>
      <c r="C7" s="6">
        <f>'92func'!B6</f>
        <v>16248</v>
      </c>
      <c r="D7" s="6">
        <f>'93func'!B6</f>
        <v>15381</v>
      </c>
      <c r="E7" s="6">
        <f>'94func'!B7</f>
        <v>14910</v>
      </c>
      <c r="F7" s="6">
        <f>'95func'!B6</f>
        <v>14333</v>
      </c>
      <c r="G7" s="6">
        <f>'96func'!B6</f>
        <v>14206</v>
      </c>
      <c r="H7" s="6">
        <f>'97func'!B31</f>
        <v>12810</v>
      </c>
      <c r="I7" s="6">
        <f>'98func'!B7</f>
        <v>12684</v>
      </c>
      <c r="J7" s="6">
        <f>'99func'!B36</f>
        <v>12312</v>
      </c>
      <c r="K7" s="130">
        <v>12843</v>
      </c>
      <c r="L7" s="130">
        <f>'01func'!B6</f>
        <v>12224</v>
      </c>
      <c r="M7" s="130">
        <f>'02func'!B6</f>
        <v>12060</v>
      </c>
      <c r="N7" s="130">
        <f>'03func'!B6</f>
        <v>12158</v>
      </c>
      <c r="O7" s="207">
        <f>'04func'!B6</f>
        <v>11728</v>
      </c>
      <c r="P7" s="207">
        <f>'05func'!B6</f>
        <v>11889</v>
      </c>
      <c r="Q7" s="208">
        <v>11214</v>
      </c>
      <c r="R7" s="208">
        <f>'07func'!B6</f>
        <v>10574</v>
      </c>
      <c r="S7" s="208">
        <f>'08func'!$B6</f>
        <v>11316</v>
      </c>
      <c r="T7" s="208">
        <f>'09funcWithARRA'!$B6</f>
        <v>11756</v>
      </c>
      <c r="U7" s="208">
        <f>'10func_NO_ARRA_NO_SFSF'!B6</f>
        <v>13477</v>
      </c>
      <c r="V7" s="208">
        <f>'11func_NO_ARRA_NO_SFSF'!B6</f>
        <v>13498</v>
      </c>
      <c r="W7" s="208">
        <f>'12Rev'!$B$6</f>
        <v>14801</v>
      </c>
      <c r="X7" s="214">
        <f>'13Rev'!$B$6</f>
        <v>12825</v>
      </c>
      <c r="Y7" s="214">
        <f>'14Rev'!$B$6</f>
        <v>12931</v>
      </c>
      <c r="Z7" s="214">
        <f>'15Rev'!$B$6</f>
        <v>13511</v>
      </c>
      <c r="AA7" s="214">
        <f>'16Rev'!$B$6</f>
        <v>14952</v>
      </c>
      <c r="AB7" s="214">
        <f>'17Rev'!$B$6</f>
        <v>15272</v>
      </c>
      <c r="AC7" s="214">
        <f>'18Rev'!$B$6</f>
        <v>15370</v>
      </c>
      <c r="AD7" s="214">
        <f>'19Rev'!$B$6</f>
        <v>15624</v>
      </c>
      <c r="AE7" s="214">
        <f>'20Rev'!$B$6</f>
        <v>16102</v>
      </c>
      <c r="AF7" s="214">
        <f>'21Rev'!$B$6</f>
        <v>16591</v>
      </c>
      <c r="AG7" s="214">
        <f>'22Rev'!$B$6</f>
        <v>14921</v>
      </c>
      <c r="AH7" s="348">
        <f>'23Rev'!$B$6</f>
        <v>17268</v>
      </c>
      <c r="AI7" s="134">
        <f t="shared" si="0"/>
        <v>0.34643274853801165</v>
      </c>
      <c r="AJ7" s="134">
        <f t="shared" si="1"/>
        <v>0.46886696155154817</v>
      </c>
    </row>
    <row r="8" spans="1:36" x14ac:dyDescent="0.2">
      <c r="A8" s="104" t="s">
        <v>78</v>
      </c>
      <c r="B8" s="6">
        <f>'91func'!B7</f>
        <v>16667</v>
      </c>
      <c r="C8" s="6">
        <f>'92func'!B7</f>
        <v>15588</v>
      </c>
      <c r="D8" s="6">
        <f>'93func'!B7</f>
        <v>15059</v>
      </c>
      <c r="E8" s="6">
        <f>'94func'!B8</f>
        <v>14190</v>
      </c>
      <c r="F8" s="6">
        <f>'95func'!B7</f>
        <v>14333</v>
      </c>
      <c r="G8" s="6">
        <f>'96func'!B7</f>
        <v>14270</v>
      </c>
      <c r="H8" s="6">
        <f>'97func'!B32</f>
        <v>15459</v>
      </c>
      <c r="I8" s="6">
        <f>'98func'!B8</f>
        <v>14732</v>
      </c>
      <c r="J8" s="6">
        <f>'99func'!B37</f>
        <v>15008</v>
      </c>
      <c r="K8" s="130">
        <v>14333</v>
      </c>
      <c r="L8" s="130">
        <f>'01func'!B7</f>
        <v>13555</v>
      </c>
      <c r="M8" s="130">
        <f>'02func'!B7</f>
        <v>13847</v>
      </c>
      <c r="N8" s="130">
        <f>'03func'!B7</f>
        <v>13223</v>
      </c>
      <c r="O8" s="207">
        <f>'04func'!B7</f>
        <v>13035</v>
      </c>
      <c r="P8" s="207">
        <f>'05func'!B7</f>
        <v>12931</v>
      </c>
      <c r="Q8" s="208">
        <v>15199</v>
      </c>
      <c r="R8" s="208">
        <f>'07func'!B7</f>
        <v>15113</v>
      </c>
      <c r="S8" s="208">
        <f>'08func'!$B7</f>
        <v>15720</v>
      </c>
      <c r="T8" s="208">
        <f>'09funcWithARRA'!$B7</f>
        <v>14373</v>
      </c>
      <c r="U8" s="208">
        <f>'10func_NO_ARRA_NO_SFSF'!B7</f>
        <v>13204</v>
      </c>
      <c r="V8" s="208">
        <f>'11func_NO_ARRA_NO_SFSF'!B7</f>
        <v>13549</v>
      </c>
      <c r="W8" s="208">
        <f>'12Rev'!$B$7</f>
        <v>13300</v>
      </c>
      <c r="X8" s="214">
        <f>'13Rev'!$B$7</f>
        <v>12640</v>
      </c>
      <c r="Y8" s="214">
        <f>'14Rev'!$B$7</f>
        <v>12657</v>
      </c>
      <c r="Z8" s="214">
        <f>'15Rev'!$B$7</f>
        <v>12550</v>
      </c>
      <c r="AA8" s="214">
        <f>'16Rev'!$B$7</f>
        <v>11202</v>
      </c>
      <c r="AB8" s="214">
        <f>'17Rev'!$B$7</f>
        <v>12245</v>
      </c>
      <c r="AC8" s="214">
        <f>'18Rev'!$B$7</f>
        <v>12079</v>
      </c>
      <c r="AD8" s="214">
        <f>'19Rev'!$B$7</f>
        <v>12187</v>
      </c>
      <c r="AE8" s="214">
        <f>'20Rev'!$B$7</f>
        <v>11739</v>
      </c>
      <c r="AF8" s="214">
        <f>'21Rev'!$B$7</f>
        <v>12479</v>
      </c>
      <c r="AG8" s="214">
        <f>'22Rev'!$B$7</f>
        <v>12983</v>
      </c>
      <c r="AH8" s="348">
        <f>'23Rev'!$B$7</f>
        <v>12117</v>
      </c>
      <c r="AI8" s="134">
        <f t="shared" si="0"/>
        <v>-4.1376582278481067E-2</v>
      </c>
      <c r="AJ8" s="134">
        <f t="shared" si="1"/>
        <v>-0.15696096848257146</v>
      </c>
    </row>
    <row r="9" spans="1:36" x14ac:dyDescent="0.2">
      <c r="A9" s="104" t="s">
        <v>79</v>
      </c>
      <c r="B9" s="6">
        <f>'91func'!B8</f>
        <v>8429</v>
      </c>
      <c r="C9" s="6">
        <f>'92func'!B8</f>
        <v>8372</v>
      </c>
      <c r="D9" s="6">
        <f>'93func'!B8</f>
        <v>7546</v>
      </c>
      <c r="E9" s="6">
        <f>'94func'!B9</f>
        <v>6867</v>
      </c>
      <c r="F9" s="6">
        <f>'95func'!B8</f>
        <v>6853</v>
      </c>
      <c r="G9" s="6">
        <f>'96func'!B8</f>
        <v>6317</v>
      </c>
      <c r="H9" s="6">
        <f>'97func'!B33</f>
        <v>6391</v>
      </c>
      <c r="I9" s="6">
        <f>'98func'!B9</f>
        <v>6597</v>
      </c>
      <c r="J9" s="6">
        <f>'99func'!B38</f>
        <v>5864</v>
      </c>
      <c r="K9" s="131">
        <v>5735</v>
      </c>
      <c r="L9" s="130">
        <f>'01func'!B8</f>
        <v>6320</v>
      </c>
      <c r="M9" s="130">
        <f>'02func'!B8</f>
        <v>6286</v>
      </c>
      <c r="N9" s="130">
        <f>'03func'!B8</f>
        <v>6800</v>
      </c>
      <c r="O9" s="207">
        <f>'04func'!B8</f>
        <v>6607</v>
      </c>
      <c r="P9" s="207">
        <f>'05func'!B8</f>
        <v>5888</v>
      </c>
      <c r="Q9" s="208">
        <v>5522</v>
      </c>
      <c r="R9" s="208">
        <f>'07func'!B8</f>
        <v>5509</v>
      </c>
      <c r="S9" s="208">
        <f>'08func'!$B8</f>
        <v>5238</v>
      </c>
      <c r="T9" s="208">
        <f>'09funcWithARRA'!$B8</f>
        <v>5804</v>
      </c>
      <c r="U9" s="208">
        <f>'10func_NO_ARRA_NO_SFSF'!B8</f>
        <v>5654</v>
      </c>
      <c r="V9" s="208">
        <f>'11func_NO_ARRA_NO_SFSF'!B8</f>
        <v>4973</v>
      </c>
      <c r="W9" s="208">
        <f>'12Rev'!$B$8</f>
        <v>4966</v>
      </c>
      <c r="X9" s="214">
        <f>'13Rev'!$B$8</f>
        <v>4985</v>
      </c>
      <c r="Y9" s="214">
        <f>'14Rev'!$B$8</f>
        <v>5090</v>
      </c>
      <c r="Z9" s="214">
        <f>'15Rev'!$B$8</f>
        <v>4913</v>
      </c>
      <c r="AA9" s="214">
        <f>'16Rev'!$B$8</f>
        <v>5029</v>
      </c>
      <c r="AB9" s="214">
        <f>'17Rev'!$B$8</f>
        <v>4891</v>
      </c>
      <c r="AC9" s="214">
        <f>'18Rev'!$B$8</f>
        <v>5086</v>
      </c>
      <c r="AD9" s="214">
        <f>'19Rev'!$B$8</f>
        <v>5057</v>
      </c>
      <c r="AE9" s="214">
        <f>'20Rev'!$B$8</f>
        <v>4752</v>
      </c>
      <c r="AF9" s="214">
        <f>'21Rev'!$B$8</f>
        <v>5230</v>
      </c>
      <c r="AG9" s="214">
        <f>'22Rev'!$B$8</f>
        <v>4802</v>
      </c>
      <c r="AH9" s="348">
        <f>'23Rev'!$B$8</f>
        <v>4860</v>
      </c>
      <c r="AI9" s="134">
        <f t="shared" si="0"/>
        <v>-2.5075225677031132E-2</v>
      </c>
      <c r="AJ9" s="134">
        <f t="shared" si="1"/>
        <v>-0.16264645072363892</v>
      </c>
    </row>
    <row r="10" spans="1:36" x14ac:dyDescent="0.2">
      <c r="A10" s="114" t="s">
        <v>80</v>
      </c>
      <c r="B10" s="7">
        <f>'91func'!B9</f>
        <v>2116</v>
      </c>
      <c r="C10" s="7">
        <f>'92func'!B9</f>
        <v>2111</v>
      </c>
      <c r="D10" s="7">
        <f>'93func'!B9</f>
        <v>1787</v>
      </c>
      <c r="E10" s="7">
        <f>'94func'!B10</f>
        <v>1788</v>
      </c>
      <c r="F10" s="7">
        <f>'95func'!B9</f>
        <v>1707</v>
      </c>
      <c r="G10" s="7">
        <f>'96func'!B9</f>
        <v>1733</v>
      </c>
      <c r="H10" s="7">
        <f>'97func'!B34</f>
        <v>1696</v>
      </c>
      <c r="I10" s="7">
        <f>'98func'!B10</f>
        <v>1590</v>
      </c>
      <c r="J10" s="7">
        <f>'99func'!B39</f>
        <v>1573</v>
      </c>
      <c r="K10" s="135">
        <v>1522</v>
      </c>
      <c r="L10" s="135">
        <f>'01func'!B9</f>
        <v>1638</v>
      </c>
      <c r="M10" s="135">
        <f>'02func'!B9</f>
        <v>1492</v>
      </c>
      <c r="N10" s="135">
        <f>'03func'!B9</f>
        <v>1427</v>
      </c>
      <c r="O10" s="210">
        <f>'04func'!B9</f>
        <v>1364</v>
      </c>
      <c r="P10" s="210">
        <f>'05func'!B9</f>
        <v>1451</v>
      </c>
      <c r="Q10" s="209">
        <v>1621</v>
      </c>
      <c r="R10" s="209">
        <f>'07func'!B9</f>
        <v>1723</v>
      </c>
      <c r="S10" s="209">
        <f>'08func'!$B9</f>
        <v>1630</v>
      </c>
      <c r="T10" s="209">
        <f>'09funcWithARRA'!$B9</f>
        <v>1629</v>
      </c>
      <c r="U10" s="209">
        <f>'10func_NO_ARRA_NO_SFSF'!B9</f>
        <v>1790</v>
      </c>
      <c r="V10" s="209">
        <f>'11func_NO_ARRA_NO_SFSF'!B9</f>
        <v>1854</v>
      </c>
      <c r="W10" s="209">
        <f>'12Rev'!$B$9</f>
        <v>1664</v>
      </c>
      <c r="X10" s="220">
        <f>'13Rev'!$B$9</f>
        <v>1674</v>
      </c>
      <c r="Y10" s="220">
        <f>'14Rev'!$B$9</f>
        <v>1747</v>
      </c>
      <c r="Z10" s="220">
        <f>'15Rev'!$B$9</f>
        <v>1676</v>
      </c>
      <c r="AA10" s="220">
        <f>'16Rev'!$B$9</f>
        <v>1578</v>
      </c>
      <c r="AB10" s="220">
        <f>'17Rev'!$B$9</f>
        <v>1519</v>
      </c>
      <c r="AC10" s="220">
        <f>'18Rev'!$B$9</f>
        <v>1396</v>
      </c>
      <c r="AD10" s="220">
        <f>'19Rev'!$B$9</f>
        <v>1434</v>
      </c>
      <c r="AE10" s="220">
        <f>'20Rev'!$B$9</f>
        <v>1577</v>
      </c>
      <c r="AF10" s="220">
        <f>'21Rev'!$B$9</f>
        <v>1296</v>
      </c>
      <c r="AG10" s="220">
        <f>'22Rev'!$B$9</f>
        <v>1384</v>
      </c>
      <c r="AH10" s="349">
        <f>'23Rev'!$B$9</f>
        <v>1438</v>
      </c>
      <c r="AI10" s="346">
        <f t="shared" si="0"/>
        <v>-0.14097968936678618</v>
      </c>
      <c r="AJ10" s="346">
        <f t="shared" si="1"/>
        <v>-0.11724984653161452</v>
      </c>
    </row>
    <row r="11" spans="1:36" x14ac:dyDescent="0.2">
      <c r="A11" s="104" t="s">
        <v>363</v>
      </c>
      <c r="B11" s="6">
        <f>'91func'!B10</f>
        <v>105576</v>
      </c>
      <c r="C11" s="6">
        <f>'92func'!B10</f>
        <v>106578</v>
      </c>
      <c r="D11" s="6">
        <f>'93func'!B10</f>
        <v>103022</v>
      </c>
      <c r="E11" s="6">
        <f>'94func'!B11</f>
        <v>103269</v>
      </c>
      <c r="F11" s="6">
        <f>'95func'!B10</f>
        <v>103635</v>
      </c>
      <c r="G11" s="6">
        <f>'96func'!B10</f>
        <v>102671</v>
      </c>
      <c r="H11" s="6">
        <f>'97func'!B35</f>
        <v>102145</v>
      </c>
      <c r="I11" s="6">
        <f>'98func'!B11</f>
        <v>99358</v>
      </c>
      <c r="J11" s="6">
        <f>'99func'!B40</f>
        <v>97205</v>
      </c>
      <c r="K11" s="130">
        <v>94866</v>
      </c>
      <c r="L11" s="131">
        <f>'01func'!B10</f>
        <v>93316</v>
      </c>
      <c r="M11" s="130">
        <f>'02func'!B10</f>
        <v>91341</v>
      </c>
      <c r="N11" s="131">
        <f>'03func'!B10</f>
        <v>89288</v>
      </c>
      <c r="O11" s="207">
        <f>'04func'!B10</f>
        <v>87867</v>
      </c>
      <c r="P11" s="207">
        <f>'05func'!B10</f>
        <v>86936</v>
      </c>
      <c r="Q11" s="208">
        <v>87443</v>
      </c>
      <c r="R11" s="208">
        <f>'07func'!B10</f>
        <v>86297</v>
      </c>
      <c r="S11" s="208">
        <f>'08func'!$B10</f>
        <v>89616</v>
      </c>
      <c r="T11" s="208">
        <f>'09funcWithARRA'!$B10</f>
        <v>89552</v>
      </c>
      <c r="U11" s="208">
        <f>'10func_NO_ARRA_NO_SFSF'!B10</f>
        <v>89626</v>
      </c>
      <c r="V11" s="208">
        <f>'11func_NO_ARRA_NO_SFSF'!B10</f>
        <v>89939</v>
      </c>
      <c r="W11" s="208">
        <f>'12Rev'!$B$10</f>
        <v>90524</v>
      </c>
      <c r="X11" s="214">
        <f>'13Rev'!$B$10</f>
        <v>91364</v>
      </c>
      <c r="Y11" s="214">
        <f>'14Rev'!$B$10</f>
        <v>92687</v>
      </c>
      <c r="Z11" s="214">
        <f>'15Rev'!$B$10</f>
        <v>93738</v>
      </c>
      <c r="AA11" s="214">
        <f>'16Rev'!$B$10</f>
        <v>94578</v>
      </c>
      <c r="AB11" s="214">
        <f>'17Rev'!$B$10</f>
        <v>95380</v>
      </c>
      <c r="AC11" s="214">
        <f>'18Rev'!$B$10</f>
        <v>95615</v>
      </c>
      <c r="AD11" s="214">
        <f>'19Rev'!$B$10</f>
        <v>93647</v>
      </c>
      <c r="AE11" s="214">
        <f>'20Rev'!$B$10</f>
        <v>93867</v>
      </c>
      <c r="AF11" s="214">
        <f>'21Rev'!$B$10</f>
        <v>94798</v>
      </c>
      <c r="AG11" s="214">
        <f>'22Rev'!$B$10</f>
        <v>92935</v>
      </c>
      <c r="AH11" s="348">
        <f>'23Rev'!$B$10</f>
        <v>93427</v>
      </c>
      <c r="AI11" s="134">
        <f t="shared" si="0"/>
        <v>2.2580009631802511E-2</v>
      </c>
      <c r="AJ11" s="134">
        <f t="shared" si="1"/>
        <v>4.3270948722530012E-2</v>
      </c>
    </row>
    <row r="12" spans="1:36" x14ac:dyDescent="0.2">
      <c r="A12" s="104"/>
      <c r="B12" s="6"/>
      <c r="C12" s="6"/>
      <c r="D12" s="6"/>
      <c r="E12" s="6"/>
      <c r="F12" s="6"/>
      <c r="G12" s="1"/>
      <c r="H12" s="1"/>
      <c r="I12" s="1"/>
      <c r="J12" s="1"/>
      <c r="K12" s="130"/>
      <c r="L12" s="130"/>
      <c r="M12" s="130"/>
      <c r="N12" s="130"/>
      <c r="O12" s="207"/>
      <c r="P12" s="207"/>
      <c r="Q12" s="182"/>
      <c r="R12" s="208"/>
      <c r="S12" s="208"/>
      <c r="T12" s="208"/>
      <c r="U12" s="208"/>
      <c r="V12" s="208"/>
      <c r="W12" s="208"/>
      <c r="X12" s="214"/>
      <c r="Y12" s="214"/>
      <c r="Z12" s="214"/>
      <c r="AA12" s="214"/>
      <c r="AB12" s="214"/>
      <c r="AC12" s="214"/>
      <c r="AD12" s="214"/>
      <c r="AE12" s="214"/>
      <c r="AF12" s="214"/>
      <c r="AG12" s="214"/>
      <c r="AH12" s="348"/>
      <c r="AI12" s="134"/>
      <c r="AJ12" s="134"/>
    </row>
    <row r="13" spans="1:36" x14ac:dyDescent="0.2">
      <c r="A13" s="104" t="s">
        <v>81</v>
      </c>
      <c r="B13" s="6">
        <f>'91func'!B12</f>
        <v>18590</v>
      </c>
      <c r="C13" s="6">
        <f>'92func'!B12</f>
        <v>18182</v>
      </c>
      <c r="D13" s="6">
        <f>'93func'!B12</f>
        <v>18443</v>
      </c>
      <c r="E13" s="6">
        <f>'94func'!B13</f>
        <v>19757</v>
      </c>
      <c r="F13" s="6">
        <f>'95func'!B12</f>
        <v>20897</v>
      </c>
      <c r="G13" s="6">
        <f>'96func'!B12</f>
        <v>21487</v>
      </c>
      <c r="H13" s="6">
        <f>'97func'!B37</f>
        <v>21977</v>
      </c>
      <c r="I13" s="6">
        <f>'98func'!B13</f>
        <v>22340</v>
      </c>
      <c r="J13" s="6">
        <f>'99func'!B42</f>
        <v>22638</v>
      </c>
      <c r="K13" s="130">
        <v>22915</v>
      </c>
      <c r="L13" s="130">
        <f>'01func'!B12</f>
        <v>22945</v>
      </c>
      <c r="M13" s="130">
        <f>'02func'!B12</f>
        <v>22879</v>
      </c>
      <c r="N13" s="131">
        <f>'03func'!B12</f>
        <v>23004</v>
      </c>
      <c r="O13" s="207">
        <f>'04func'!B12</f>
        <v>22769</v>
      </c>
      <c r="P13" s="207">
        <f>'05func'!B12</f>
        <v>22656</v>
      </c>
      <c r="Q13" s="208">
        <v>22784</v>
      </c>
      <c r="R13" s="208">
        <f>'07func'!B12</f>
        <v>22695</v>
      </c>
      <c r="S13" s="208">
        <f>'08func'!$B12</f>
        <v>22683</v>
      </c>
      <c r="T13" s="208">
        <f>'09funcWithARRA'!$B12</f>
        <v>22505</v>
      </c>
      <c r="U13" s="208">
        <f>'10func_NO_ARRA_NO_SFSF'!B12</f>
        <v>22224</v>
      </c>
      <c r="V13" s="208">
        <f>'11func_NO_ARRA_NO_SFSF'!B12</f>
        <v>21890</v>
      </c>
      <c r="W13" s="208">
        <f>'12Rev'!$B$13</f>
        <v>21593</v>
      </c>
      <c r="X13" s="214">
        <f>'13Rev'!$B$13</f>
        <v>21424</v>
      </c>
      <c r="Y13" s="214">
        <f>'14Rev'!$B$13</f>
        <v>21393</v>
      </c>
      <c r="Z13" s="214">
        <f>'15Rev'!$B$13</f>
        <v>21295</v>
      </c>
      <c r="AA13" s="214">
        <f>'16Rev'!$B$13</f>
        <v>19924</v>
      </c>
      <c r="AB13" s="214">
        <f>'17Rev'!$B$13</f>
        <v>21519</v>
      </c>
      <c r="AC13" s="214">
        <f>'18Rev'!$B$13</f>
        <v>20375</v>
      </c>
      <c r="AD13" s="214">
        <f>'19Rev'!$B$13</f>
        <v>20388</v>
      </c>
      <c r="AE13" s="214">
        <f>'20Rev'!$B$13</f>
        <v>20514</v>
      </c>
      <c r="AF13" s="214">
        <f>'21Rev'!$B$13</f>
        <v>21877</v>
      </c>
      <c r="AG13" s="214">
        <f>'22Rev'!$B$13</f>
        <v>22026</v>
      </c>
      <c r="AH13" s="348">
        <f>'23Rev'!$B$13</f>
        <v>22534</v>
      </c>
      <c r="AI13" s="134">
        <f t="shared" ref="AI13:AI18" si="2">(AH13/X13)-1</f>
        <v>5.1811053024645171E-2</v>
      </c>
      <c r="AJ13" s="134">
        <f t="shared" ref="AJ13:AJ18" si="3">(AH13/T13)-1</f>
        <v>1.2886025327705219E-3</v>
      </c>
    </row>
    <row r="14" spans="1:36" x14ac:dyDescent="0.2">
      <c r="A14" s="104" t="s">
        <v>82</v>
      </c>
      <c r="B14" s="6">
        <f>'91func'!B13</f>
        <v>8329</v>
      </c>
      <c r="C14" s="6">
        <f>'92func'!B13</f>
        <v>8311</v>
      </c>
      <c r="D14" s="6">
        <f>'93func'!B13</f>
        <v>8278</v>
      </c>
      <c r="E14" s="6">
        <f>'94func'!B14</f>
        <v>9163</v>
      </c>
      <c r="F14" s="6">
        <f>'95func'!B13</f>
        <v>10092</v>
      </c>
      <c r="G14" s="6">
        <f>'96func'!B13</f>
        <v>10286</v>
      </c>
      <c r="H14" s="6">
        <f>'97func'!B38</f>
        <v>10144</v>
      </c>
      <c r="I14" s="6">
        <f>'98func'!B14</f>
        <v>10792</v>
      </c>
      <c r="J14" s="6">
        <f>'99func'!B43</f>
        <v>10487</v>
      </c>
      <c r="K14" s="130">
        <v>10365</v>
      </c>
      <c r="L14" s="130">
        <f>'01func'!B13</f>
        <v>10221</v>
      </c>
      <c r="M14" s="130">
        <f>'02func'!B13</f>
        <v>9866</v>
      </c>
      <c r="N14" s="131">
        <f>'03func'!B13</f>
        <v>9223</v>
      </c>
      <c r="O14" s="207">
        <f>'04func'!B13</f>
        <v>9254</v>
      </c>
      <c r="P14" s="207">
        <f>'05func'!B13</f>
        <v>9214</v>
      </c>
      <c r="Q14" s="208">
        <v>9015</v>
      </c>
      <c r="R14" s="208">
        <f>'07func'!B13</f>
        <v>9003</v>
      </c>
      <c r="S14" s="208">
        <f>'08func'!$B13</f>
        <v>8960</v>
      </c>
      <c r="T14" s="208">
        <f>'09funcWithARRA'!$B13</f>
        <v>7979</v>
      </c>
      <c r="U14" s="208">
        <f>'10func_NO_ARRA_NO_SFSF'!B13</f>
        <v>6925</v>
      </c>
      <c r="V14" s="208">
        <f>'11func_NO_ARRA_NO_SFSF'!B13</f>
        <v>6282</v>
      </c>
      <c r="W14" s="208">
        <f>'12Rev'!$B$14</f>
        <v>6158</v>
      </c>
      <c r="X14" s="214">
        <f>'13Rev'!$B$14</f>
        <v>6363</v>
      </c>
      <c r="Y14" s="214">
        <f>'14Rev'!$B$14</f>
        <v>5870</v>
      </c>
      <c r="Z14" s="214">
        <f>'15Rev'!$B$14</f>
        <v>6285</v>
      </c>
      <c r="AA14" s="214">
        <f>'16Rev'!$B$14</f>
        <v>7627</v>
      </c>
      <c r="AB14" s="214">
        <f>'17Rev'!$B$14</f>
        <v>5945</v>
      </c>
      <c r="AC14" s="214">
        <f>'18Rev'!$B$14</f>
        <v>7188</v>
      </c>
      <c r="AD14" s="214">
        <f>'19Rev'!$B$14</f>
        <v>7161</v>
      </c>
      <c r="AE14" s="214">
        <f>'20Rev'!$B$14</f>
        <v>8088</v>
      </c>
      <c r="AF14" s="214">
        <f>'21Rev'!$B$14</f>
        <v>6459</v>
      </c>
      <c r="AG14" s="214">
        <f>'22Rev'!$B$14</f>
        <v>6094</v>
      </c>
      <c r="AH14" s="348">
        <f>'23Rev'!$B$14</f>
        <v>6468</v>
      </c>
      <c r="AI14" s="134">
        <f t="shared" si="2"/>
        <v>1.650165016501659E-2</v>
      </c>
      <c r="AJ14" s="134">
        <f t="shared" si="3"/>
        <v>-0.1893721017671387</v>
      </c>
    </row>
    <row r="15" spans="1:36" x14ac:dyDescent="0.2">
      <c r="A15" s="104" t="s">
        <v>83</v>
      </c>
      <c r="B15" s="6">
        <f>'91func'!B14</f>
        <v>5258</v>
      </c>
      <c r="C15" s="6">
        <f>'92func'!B14</f>
        <v>5201</v>
      </c>
      <c r="D15" s="6">
        <f>'93func'!B14</f>
        <v>5306</v>
      </c>
      <c r="E15" s="6">
        <f>'94func'!B15</f>
        <v>4345</v>
      </c>
      <c r="F15" s="6">
        <f>'95func'!B14</f>
        <v>4243</v>
      </c>
      <c r="G15" s="6">
        <f>'96func'!B14</f>
        <v>4524</v>
      </c>
      <c r="H15" s="6">
        <f>'97func'!B39</f>
        <v>5772</v>
      </c>
      <c r="I15" s="6">
        <f>'98func'!B15</f>
        <v>5193</v>
      </c>
      <c r="J15" s="6">
        <f>'99func'!B44</f>
        <v>5470</v>
      </c>
      <c r="K15" s="130">
        <v>4844</v>
      </c>
      <c r="L15" s="130">
        <f>'01func'!B14</f>
        <v>4767</v>
      </c>
      <c r="M15" s="130">
        <f>'02func'!B14</f>
        <v>4940</v>
      </c>
      <c r="N15" s="131">
        <f>'03func'!B14</f>
        <v>5092</v>
      </c>
      <c r="O15" s="207">
        <f>'04func'!B14</f>
        <v>5112</v>
      </c>
      <c r="P15" s="207">
        <f>'05func'!B14</f>
        <v>4359</v>
      </c>
      <c r="Q15" s="208">
        <v>5035</v>
      </c>
      <c r="R15" s="208">
        <f>'07func'!B14</f>
        <v>4976</v>
      </c>
      <c r="S15" s="208">
        <f>'08func'!$B14</f>
        <v>4842</v>
      </c>
      <c r="T15" s="208">
        <f>'09funcWithARRA'!$B14</f>
        <v>5389</v>
      </c>
      <c r="U15" s="208">
        <f>'10func_NO_ARRA_NO_SFSF'!B14</f>
        <v>5426</v>
      </c>
      <c r="V15" s="208">
        <f>'11func_NO_ARRA_NO_SFSF'!B14</f>
        <v>5828</v>
      </c>
      <c r="W15" s="208">
        <f>'12Rev'!$B$15</f>
        <v>5197</v>
      </c>
      <c r="X15" s="214">
        <f>'13Rev'!$B$15</f>
        <v>4424</v>
      </c>
      <c r="Y15" s="214">
        <f>'14Rev'!$B$15</f>
        <v>4769</v>
      </c>
      <c r="Z15" s="214">
        <f>'15Rev'!$B$15</f>
        <v>4540</v>
      </c>
      <c r="AA15" s="214">
        <f>'16Rev'!$B$15</f>
        <v>4350</v>
      </c>
      <c r="AB15" s="214">
        <f>'17Rev'!$B$15</f>
        <v>4371</v>
      </c>
      <c r="AC15" s="214">
        <f>'18Rev'!$B$15</f>
        <v>4611</v>
      </c>
      <c r="AD15" s="214">
        <f>'19Rev'!$B$15</f>
        <v>4666</v>
      </c>
      <c r="AE15" s="214">
        <f>'20Rev'!$B$15</f>
        <v>4253</v>
      </c>
      <c r="AF15" s="214">
        <f>'21Rev'!$B$15</f>
        <v>4724</v>
      </c>
      <c r="AG15" s="214">
        <f>'22Rev'!$B$15</f>
        <v>5366</v>
      </c>
      <c r="AH15" s="348">
        <f>'23Rev'!$B$15</f>
        <v>5072</v>
      </c>
      <c r="AI15" s="134">
        <f t="shared" si="2"/>
        <v>0.14647377938517181</v>
      </c>
      <c r="AJ15" s="134">
        <f t="shared" si="3"/>
        <v>-5.8823529411764719E-2</v>
      </c>
    </row>
    <row r="16" spans="1:36" x14ac:dyDescent="0.2">
      <c r="A16" s="104" t="s">
        <v>84</v>
      </c>
      <c r="B16" s="6">
        <f>'91func'!B15</f>
        <v>7072</v>
      </c>
      <c r="C16" s="6">
        <f>'92func'!B15</f>
        <v>7332</v>
      </c>
      <c r="D16" s="6">
        <f>'93func'!B15</f>
        <v>5862</v>
      </c>
      <c r="E16" s="6">
        <f>'94func'!B16</f>
        <v>5247</v>
      </c>
      <c r="F16" s="6">
        <f>'95func'!B15</f>
        <v>5294</v>
      </c>
      <c r="G16" s="6">
        <f>'96func'!B15</f>
        <v>5074</v>
      </c>
      <c r="H16" s="6">
        <f>'97func'!B40</f>
        <v>5234</v>
      </c>
      <c r="I16" s="6">
        <f>'98func'!B16</f>
        <v>4967</v>
      </c>
      <c r="J16" s="6">
        <f>'99func'!B45</f>
        <v>5258</v>
      </c>
      <c r="K16" s="130">
        <v>5489</v>
      </c>
      <c r="L16" s="130">
        <f>'01func'!B15</f>
        <v>5471</v>
      </c>
      <c r="M16" s="130">
        <f>'02func'!B15</f>
        <v>5024</v>
      </c>
      <c r="N16" s="131">
        <f>'03func'!B15</f>
        <v>4900</v>
      </c>
      <c r="O16" s="207">
        <f>'04func'!B15</f>
        <v>4817</v>
      </c>
      <c r="P16" s="207">
        <f>'05func'!B15</f>
        <v>5093</v>
      </c>
      <c r="Q16" s="208">
        <v>5261</v>
      </c>
      <c r="R16" s="208">
        <f>'07func'!B15</f>
        <v>5244</v>
      </c>
      <c r="S16" s="208">
        <f>'08func'!$B15</f>
        <v>4878</v>
      </c>
      <c r="T16" s="208">
        <f>'09funcWithARRA'!$B15</f>
        <v>5197</v>
      </c>
      <c r="U16" s="208">
        <f>'10func_NO_ARRA_NO_SFSF'!B15</f>
        <v>5335</v>
      </c>
      <c r="V16" s="208">
        <f>'11func_NO_ARRA_NO_SFSF'!B15</f>
        <v>5163</v>
      </c>
      <c r="W16" s="208">
        <f>'12Rev'!$B$16</f>
        <v>5184</v>
      </c>
      <c r="X16" s="214">
        <f>'13Rev'!$B$16</f>
        <v>4952</v>
      </c>
      <c r="Y16" s="214">
        <f>'14Rev'!$B$16</f>
        <v>5040</v>
      </c>
      <c r="Z16" s="214">
        <f>'15Rev'!$B$16</f>
        <v>4531</v>
      </c>
      <c r="AA16" s="214">
        <f>'16Rev'!$B$16</f>
        <v>4471</v>
      </c>
      <c r="AB16" s="214">
        <f>'17Rev'!$B$16</f>
        <v>4839</v>
      </c>
      <c r="AC16" s="214">
        <f>'18Rev'!$B$16</f>
        <v>4159</v>
      </c>
      <c r="AD16" s="214">
        <f>'19Rev'!$B$16</f>
        <v>4303</v>
      </c>
      <c r="AE16" s="214">
        <f>'20Rev'!$B$16</f>
        <v>3947</v>
      </c>
      <c r="AF16" s="214">
        <f>'21Rev'!$B$16</f>
        <v>3916</v>
      </c>
      <c r="AG16" s="214">
        <f>'22Rev'!$B$16</f>
        <v>3820</v>
      </c>
      <c r="AH16" s="348">
        <f>'23Rev'!$B$16</f>
        <v>3747</v>
      </c>
      <c r="AI16" s="134">
        <f t="shared" si="2"/>
        <v>-0.24333602584814218</v>
      </c>
      <c r="AJ16" s="134">
        <f t="shared" si="3"/>
        <v>-0.27900711949201462</v>
      </c>
    </row>
    <row r="17" spans="1:36" x14ac:dyDescent="0.2">
      <c r="A17" s="114" t="s">
        <v>85</v>
      </c>
      <c r="B17" s="7">
        <f>'91func'!B16</f>
        <v>3145</v>
      </c>
      <c r="C17" s="7">
        <f>'92func'!B16</f>
        <v>2864</v>
      </c>
      <c r="D17" s="7">
        <f>'93func'!B16</f>
        <v>2330</v>
      </c>
      <c r="E17" s="7">
        <f>'94func'!B17</f>
        <v>1333</v>
      </c>
      <c r="F17" s="7">
        <f>'95func'!B16</f>
        <v>1450</v>
      </c>
      <c r="G17" s="7">
        <f>'96func'!B16</f>
        <v>1489</v>
      </c>
      <c r="H17" s="7">
        <f>'97func'!B41</f>
        <v>1591</v>
      </c>
      <c r="I17" s="7">
        <f>'98func'!B17</f>
        <v>1524</v>
      </c>
      <c r="J17" s="7">
        <f>'99func'!B46</f>
        <v>1479</v>
      </c>
      <c r="K17" s="135">
        <v>1447</v>
      </c>
      <c r="L17" s="135">
        <f>'01func'!B16</f>
        <v>1316</v>
      </c>
      <c r="M17" s="135">
        <f>'02func'!B16</f>
        <v>1460</v>
      </c>
      <c r="N17" s="135">
        <f>'03func'!B16</f>
        <v>1532</v>
      </c>
      <c r="O17" s="210">
        <f>'04func'!B16</f>
        <v>1482</v>
      </c>
      <c r="P17" s="210">
        <f>'05func'!B16</f>
        <v>1714</v>
      </c>
      <c r="Q17" s="209">
        <v>1470</v>
      </c>
      <c r="R17" s="209">
        <f>'07func'!B16</f>
        <v>1341</v>
      </c>
      <c r="S17" s="209">
        <f>'08func'!$B16</f>
        <v>1657</v>
      </c>
      <c r="T17" s="209">
        <f>'09funcWithARRA'!$B16</f>
        <v>1480</v>
      </c>
      <c r="U17" s="209">
        <f>'10func_NO_ARRA_NO_SFSF'!B16</f>
        <v>1736</v>
      </c>
      <c r="V17" s="209">
        <f>'11func_NO_ARRA_NO_SFSF'!B16</f>
        <v>1384</v>
      </c>
      <c r="W17" s="209">
        <f>'12Rev'!$B$17</f>
        <v>1583</v>
      </c>
      <c r="X17" s="220">
        <f>'13Rev'!$B$17</f>
        <v>1691</v>
      </c>
      <c r="Y17" s="220">
        <f>'14Rev'!$B$17</f>
        <v>1381</v>
      </c>
      <c r="Z17" s="220">
        <f>'15Rev'!$B$17</f>
        <v>1583</v>
      </c>
      <c r="AA17" s="220">
        <f>'16Rev'!$B$17</f>
        <v>1663</v>
      </c>
      <c r="AB17" s="220">
        <f>'17Rev'!$B$17</f>
        <v>1571</v>
      </c>
      <c r="AC17" s="220">
        <f>'18Rev'!$B$17</f>
        <v>1795</v>
      </c>
      <c r="AD17" s="220">
        <f>'19Rev'!$B$17</f>
        <v>1583</v>
      </c>
      <c r="AE17" s="220">
        <f>'20Rev'!$B$17</f>
        <v>1455</v>
      </c>
      <c r="AF17" s="220">
        <f>'21Rev'!$B$17</f>
        <v>1465</v>
      </c>
      <c r="AG17" s="220">
        <f>'22Rev'!$B$17</f>
        <v>1372</v>
      </c>
      <c r="AH17" s="349">
        <f>'23Rev'!$B$17</f>
        <v>1464</v>
      </c>
      <c r="AI17" s="346">
        <f t="shared" si="2"/>
        <v>-0.13424009461856889</v>
      </c>
      <c r="AJ17" s="346">
        <f t="shared" si="3"/>
        <v>-1.0810810810810811E-2</v>
      </c>
    </row>
    <row r="18" spans="1:36" x14ac:dyDescent="0.2">
      <c r="A18" s="104" t="s">
        <v>104</v>
      </c>
      <c r="B18" s="6">
        <f>'91func'!B17</f>
        <v>42394</v>
      </c>
      <c r="C18" s="6">
        <f>'92func'!B17</f>
        <v>41890</v>
      </c>
      <c r="D18" s="6">
        <f>'93func'!B17</f>
        <v>40219</v>
      </c>
      <c r="E18" s="6">
        <f>'94func'!B18</f>
        <v>39845</v>
      </c>
      <c r="F18" s="6">
        <f>'95func'!B17</f>
        <v>41976</v>
      </c>
      <c r="G18" s="6">
        <f>'96func'!B17</f>
        <v>42860</v>
      </c>
      <c r="H18" s="6">
        <f>'97func'!B42</f>
        <v>44718</v>
      </c>
      <c r="I18" s="6">
        <f>'98func'!B18</f>
        <v>44816</v>
      </c>
      <c r="J18" s="6">
        <f>'99func'!B47</f>
        <v>45332</v>
      </c>
      <c r="K18" s="130">
        <v>45060</v>
      </c>
      <c r="L18" s="130">
        <f>'01func'!B17</f>
        <v>44720</v>
      </c>
      <c r="M18" s="130">
        <f>'02func'!B17</f>
        <v>44169</v>
      </c>
      <c r="N18" s="131">
        <f>'03func'!B17</f>
        <v>43751</v>
      </c>
      <c r="O18" s="207">
        <f>'04func'!B17</f>
        <v>43434</v>
      </c>
      <c r="P18" s="207">
        <f>'05func'!B17</f>
        <v>43036</v>
      </c>
      <c r="Q18" s="208">
        <v>43565</v>
      </c>
      <c r="R18" s="208">
        <f>'07func'!B17</f>
        <v>43259</v>
      </c>
      <c r="S18" s="208">
        <f>'08func'!$B17</f>
        <v>43020</v>
      </c>
      <c r="T18" s="208">
        <f>'09funcWithARRA'!$B17</f>
        <v>42550</v>
      </c>
      <c r="U18" s="208">
        <f>'10func_NO_ARRA_NO_SFSF'!B17</f>
        <v>41646</v>
      </c>
      <c r="V18" s="208">
        <f>'11func_NO_ARRA_NO_SFSF'!B17</f>
        <v>40547</v>
      </c>
      <c r="W18" s="208">
        <f>'12Rev'!$B$18</f>
        <v>39715</v>
      </c>
      <c r="X18" s="214">
        <f>'13Rev'!$B$18</f>
        <v>38854</v>
      </c>
      <c r="Y18" s="214">
        <f>'14Rev'!$B$18</f>
        <v>38453</v>
      </c>
      <c r="Z18" s="214">
        <f>'15Rev'!$B$18</f>
        <v>38234</v>
      </c>
      <c r="AA18" s="214">
        <f>'16Rev'!$B$18</f>
        <v>38035</v>
      </c>
      <c r="AB18" s="214">
        <f>'17Rev'!$B$18</f>
        <v>38245</v>
      </c>
      <c r="AC18" s="214">
        <f>'18Rev'!$B$18</f>
        <v>38128</v>
      </c>
      <c r="AD18" s="214">
        <f>'19Rev'!$B$18</f>
        <v>38101</v>
      </c>
      <c r="AE18" s="214">
        <f>'20Rev'!$B$18</f>
        <v>38257</v>
      </c>
      <c r="AF18" s="214">
        <f>'21Rev'!$B$18</f>
        <v>38441</v>
      </c>
      <c r="AG18" s="214">
        <f>'22Rev'!$B$18</f>
        <v>38678</v>
      </c>
      <c r="AH18" s="348">
        <f>'23Rev'!$B$18</f>
        <v>39285</v>
      </c>
      <c r="AI18" s="134">
        <f t="shared" si="2"/>
        <v>1.1092808977196666E-2</v>
      </c>
      <c r="AJ18" s="134">
        <f t="shared" si="3"/>
        <v>-7.6733254994124533E-2</v>
      </c>
    </row>
    <row r="19" spans="1:36" x14ac:dyDescent="0.2">
      <c r="A19" s="104"/>
      <c r="B19" s="6"/>
      <c r="C19" s="6"/>
      <c r="D19" s="6"/>
      <c r="E19" s="6"/>
      <c r="F19" s="6"/>
      <c r="G19" s="1"/>
      <c r="H19" s="1"/>
      <c r="I19" s="1"/>
      <c r="J19" s="6"/>
      <c r="K19" s="130"/>
      <c r="L19" s="130"/>
      <c r="M19" s="130"/>
      <c r="N19" s="130"/>
      <c r="O19" s="207"/>
      <c r="P19" s="207"/>
      <c r="Q19" s="182"/>
      <c r="R19" s="208"/>
      <c r="S19" s="208"/>
      <c r="T19" s="208"/>
      <c r="U19" s="208"/>
      <c r="V19" s="208"/>
      <c r="W19" s="208"/>
      <c r="X19" s="214"/>
      <c r="Y19" s="214"/>
      <c r="Z19" s="214"/>
      <c r="AA19" s="214"/>
      <c r="AB19" s="214"/>
      <c r="AC19" s="214"/>
      <c r="AD19" s="214"/>
      <c r="AE19" s="214"/>
      <c r="AF19" s="214"/>
      <c r="AG19" s="214"/>
      <c r="AH19" s="348"/>
      <c r="AI19" s="134"/>
      <c r="AJ19" s="134"/>
    </row>
    <row r="20" spans="1:36" x14ac:dyDescent="0.2">
      <c r="A20" s="104" t="s">
        <v>86</v>
      </c>
      <c r="B20" s="6">
        <f>'91func'!B19</f>
        <v>0</v>
      </c>
      <c r="C20" s="6">
        <f>'92func'!B19</f>
        <v>0</v>
      </c>
      <c r="D20" s="6">
        <f>'93func'!B19</f>
        <v>6151</v>
      </c>
      <c r="E20" s="6">
        <f>'94func'!B20</f>
        <v>8237</v>
      </c>
      <c r="F20" s="6">
        <f>'95func'!B19</f>
        <v>10074</v>
      </c>
      <c r="G20" s="6">
        <f>'96func'!B19</f>
        <v>11491</v>
      </c>
      <c r="H20" s="6">
        <f>'97func'!B44</f>
        <v>11672</v>
      </c>
      <c r="I20" s="6">
        <f>'98func'!B20</f>
        <v>12916</v>
      </c>
      <c r="J20" s="6">
        <f>'99func'!B49</f>
        <v>12615</v>
      </c>
      <c r="K20" s="130">
        <v>12332</v>
      </c>
      <c r="L20" s="130">
        <f>'01func'!B19</f>
        <v>12246</v>
      </c>
      <c r="M20" s="130">
        <f>'02func'!B19</f>
        <v>12059</v>
      </c>
      <c r="N20" s="131">
        <f>'03func'!B19</f>
        <v>12215</v>
      </c>
      <c r="O20" s="207">
        <f>'04func'!B19</f>
        <v>12099</v>
      </c>
      <c r="P20" s="207">
        <f>'05func'!B19</f>
        <v>11457</v>
      </c>
      <c r="Q20" s="208">
        <v>10667</v>
      </c>
      <c r="R20" s="208">
        <f>'07func'!B19</f>
        <v>10509</v>
      </c>
      <c r="S20" s="208">
        <f>'08func'!$B19</f>
        <v>10550</v>
      </c>
      <c r="T20" s="208">
        <f>'09funcWithARRA'!$B19</f>
        <v>10157</v>
      </c>
      <c r="U20" s="208">
        <f>'10func_NO_ARRA_NO_SFSF'!B19</f>
        <v>10113</v>
      </c>
      <c r="V20" s="208">
        <f>'11func_NO_ARRA_NO_SFSF'!B19</f>
        <v>10013</v>
      </c>
      <c r="W20" s="208">
        <f>'12Rev'!$B$21</f>
        <v>10318</v>
      </c>
      <c r="X20" s="214">
        <f>'13Rev'!$B$21</f>
        <v>10244</v>
      </c>
      <c r="Y20" s="214">
        <f>'14Rev'!$B$21</f>
        <v>10095</v>
      </c>
      <c r="Z20" s="214">
        <f>'15Rev'!$B$21</f>
        <v>10038</v>
      </c>
      <c r="AA20" s="214">
        <f>'16Rev'!$B$21</f>
        <v>10031</v>
      </c>
      <c r="AB20" s="214">
        <f>'17Rev'!$B$21</f>
        <v>10156</v>
      </c>
      <c r="AC20" s="214">
        <f>'18Rev'!$B$21</f>
        <v>10743</v>
      </c>
      <c r="AD20" s="214">
        <f>'19Rev'!$B$21</f>
        <v>13277</v>
      </c>
      <c r="AE20" s="214">
        <f>'20Rev'!$B$21</f>
        <v>13573</v>
      </c>
      <c r="AF20" s="214">
        <f>'21Rev'!$B$21</f>
        <v>14270</v>
      </c>
      <c r="AG20" s="214">
        <f>'22Rev'!$B$21</f>
        <v>14822</v>
      </c>
      <c r="AH20" s="348">
        <f>'23Rev'!$B$21</f>
        <v>15444</v>
      </c>
      <c r="AI20" s="134">
        <f>(AH20/X20)-1</f>
        <v>0.50761421319796951</v>
      </c>
      <c r="AJ20" s="134">
        <f>(AH20/T20)-1</f>
        <v>0.52052771487643978</v>
      </c>
    </row>
    <row r="21" spans="1:36" x14ac:dyDescent="0.2">
      <c r="A21" s="114" t="s">
        <v>87</v>
      </c>
      <c r="B21" s="7">
        <f>'91func'!B20</f>
        <v>0</v>
      </c>
      <c r="C21" s="7">
        <f>'92func'!B20</f>
        <v>0</v>
      </c>
      <c r="D21" s="7">
        <f>'93func'!B20</f>
        <v>1679</v>
      </c>
      <c r="E21" s="7">
        <f>'94func'!B21</f>
        <v>5599</v>
      </c>
      <c r="F21" s="7">
        <f>'95func'!B20</f>
        <v>6884</v>
      </c>
      <c r="G21" s="7">
        <f>'96func'!B20</f>
        <v>6746</v>
      </c>
      <c r="H21" s="7">
        <f>'97func'!B45</f>
        <v>6199</v>
      </c>
      <c r="I21" s="7">
        <f>'98func'!B21</f>
        <v>6812</v>
      </c>
      <c r="J21" s="7">
        <f>'99func'!B50</f>
        <v>6601</v>
      </c>
      <c r="K21" s="135">
        <v>7484</v>
      </c>
      <c r="L21" s="135">
        <f>'01func'!B20</f>
        <v>7215</v>
      </c>
      <c r="M21" s="135">
        <f>'02func'!B20</f>
        <v>6890</v>
      </c>
      <c r="N21" s="135">
        <f>'03func'!B20</f>
        <v>6257</v>
      </c>
      <c r="O21" s="210">
        <f>'04func'!B20</f>
        <v>6063</v>
      </c>
      <c r="P21" s="210">
        <f>'05func'!B20</f>
        <v>6223</v>
      </c>
      <c r="Q21" s="209">
        <v>7224</v>
      </c>
      <c r="R21" s="209">
        <f>'07func'!B20</f>
        <v>6954</v>
      </c>
      <c r="S21" s="209">
        <f>'08func'!$B20</f>
        <v>6971</v>
      </c>
      <c r="T21" s="209">
        <f>'09funcWithARRA'!$B20</f>
        <v>7489</v>
      </c>
      <c r="U21" s="209">
        <f>'10func_NO_ARRA_NO_SFSF'!B20</f>
        <v>7480</v>
      </c>
      <c r="V21" s="209">
        <f>'11func_NO_ARRA_NO_SFSF'!B20</f>
        <v>7466</v>
      </c>
      <c r="W21" s="209">
        <f>'12Rev'!$B$22</f>
        <v>6968</v>
      </c>
      <c r="X21" s="220">
        <f>'13Rev'!$B$22</f>
        <v>7243</v>
      </c>
      <c r="Y21" s="220">
        <f>'14Rev'!$B$22</f>
        <v>7332</v>
      </c>
      <c r="Z21" s="220">
        <f>'15Rev'!$B$22</f>
        <v>7400</v>
      </c>
      <c r="AA21" s="220">
        <f>'16Rev'!$B$22</f>
        <v>7543</v>
      </c>
      <c r="AB21" s="220">
        <f>'17Rev'!$B$22</f>
        <v>7652</v>
      </c>
      <c r="AC21" s="220">
        <f>'18Rev'!$B$22</f>
        <v>7735</v>
      </c>
      <c r="AD21" s="220">
        <f>'19Rev'!$B$22</f>
        <v>7603</v>
      </c>
      <c r="AE21" s="220">
        <f>'20Rev'!$B$22</f>
        <v>7917</v>
      </c>
      <c r="AF21" s="220">
        <f>'21Rev'!$B$22</f>
        <v>7660</v>
      </c>
      <c r="AG21" s="220">
        <f>'22Rev'!$B$22</f>
        <v>7280</v>
      </c>
      <c r="AH21" s="349">
        <f>'23Rev'!$B$22</f>
        <v>7387</v>
      </c>
      <c r="AI21" s="346">
        <f>(AH21/X21)-1</f>
        <v>1.9881264669335819E-2</v>
      </c>
      <c r="AJ21" s="346">
        <f>(AH21/T21)-1</f>
        <v>-1.3619975964748288E-2</v>
      </c>
    </row>
    <row r="22" spans="1:36" x14ac:dyDescent="0.2">
      <c r="A22" s="104" t="s">
        <v>364</v>
      </c>
      <c r="B22" s="6">
        <f>'91func'!B21</f>
        <v>0</v>
      </c>
      <c r="C22" s="6">
        <f>'92func'!B21</f>
        <v>0</v>
      </c>
      <c r="D22" s="6">
        <f>'93func'!B21</f>
        <v>7830</v>
      </c>
      <c r="E22" s="6">
        <f>'94func'!B22</f>
        <v>13836</v>
      </c>
      <c r="F22" s="6">
        <f>'95func'!B21</f>
        <v>16958</v>
      </c>
      <c r="G22" s="6">
        <f>'96func'!B21</f>
        <v>18237</v>
      </c>
      <c r="H22" s="6">
        <f>'97func'!B46</f>
        <v>17871</v>
      </c>
      <c r="I22" s="6">
        <f>'98func'!B22</f>
        <v>19728</v>
      </c>
      <c r="J22" s="6">
        <f>'99func'!B51</f>
        <v>19216</v>
      </c>
      <c r="K22" s="130">
        <v>19816</v>
      </c>
      <c r="L22" s="130">
        <f>'01func'!B21</f>
        <v>19461</v>
      </c>
      <c r="M22" s="130">
        <f>'02func'!B21</f>
        <v>18949</v>
      </c>
      <c r="N22" s="131">
        <f>'03func'!B21</f>
        <v>18472</v>
      </c>
      <c r="O22" s="207">
        <f>'04func'!B21</f>
        <v>18162</v>
      </c>
      <c r="P22" s="207">
        <f>'05func'!B21</f>
        <v>17680</v>
      </c>
      <c r="Q22" s="208">
        <v>17891</v>
      </c>
      <c r="R22" s="208">
        <f>'07func'!B21</f>
        <v>17463</v>
      </c>
      <c r="S22" s="208">
        <f>'08func'!$B21</f>
        <v>17521</v>
      </c>
      <c r="T22" s="208">
        <f>'09funcWithARRA'!$B21</f>
        <v>17646</v>
      </c>
      <c r="U22" s="208">
        <f>'10func_NO_ARRA_NO_SFSF'!B21</f>
        <v>17593</v>
      </c>
      <c r="V22" s="208">
        <f>'11func_NO_ARRA_NO_SFSF'!B21</f>
        <v>17479</v>
      </c>
      <c r="W22" s="208">
        <f>'12Rev'!$B$23</f>
        <v>17286</v>
      </c>
      <c r="X22" s="214">
        <f>'13Rev'!$B$23</f>
        <v>17487</v>
      </c>
      <c r="Y22" s="214">
        <f>'14Rev'!$B$23</f>
        <v>17427</v>
      </c>
      <c r="Z22" s="214">
        <f>'15Rev'!$B$23</f>
        <v>17438</v>
      </c>
      <c r="AA22" s="214">
        <f>'16Rev'!$B$23</f>
        <v>17574</v>
      </c>
      <c r="AB22" s="214">
        <f>'17Rev'!$B$23</f>
        <v>17808</v>
      </c>
      <c r="AC22" s="214">
        <f>'18Rev'!$B$23</f>
        <v>18478</v>
      </c>
      <c r="AD22" s="214">
        <f>'19Rev'!$B$23</f>
        <v>20880</v>
      </c>
      <c r="AE22" s="214">
        <f>'20Rev'!$B$23</f>
        <v>21490</v>
      </c>
      <c r="AF22" s="214">
        <f>'21Rev'!$B$23</f>
        <v>21930</v>
      </c>
      <c r="AG22" s="214">
        <f>'22Rev'!$B$23</f>
        <v>22102</v>
      </c>
      <c r="AH22" s="348">
        <f>'23Rev'!$B$23</f>
        <v>22831</v>
      </c>
      <c r="AI22" s="134">
        <f>(AH22/X22)-1</f>
        <v>0.30559844455881513</v>
      </c>
      <c r="AJ22" s="134">
        <f>(AH22/T22)-1</f>
        <v>0.29383429672447003</v>
      </c>
    </row>
    <row r="23" spans="1:36" x14ac:dyDescent="0.2">
      <c r="A23" s="104"/>
      <c r="B23" s="6"/>
      <c r="C23" s="6"/>
      <c r="D23" s="6"/>
      <c r="E23" s="6"/>
      <c r="F23" s="6"/>
      <c r="G23" s="6"/>
      <c r="H23" s="6"/>
      <c r="I23" s="6"/>
      <c r="J23" s="6"/>
      <c r="K23" s="131"/>
      <c r="L23" s="131"/>
      <c r="M23" s="130"/>
      <c r="N23" s="135"/>
      <c r="O23" s="207"/>
      <c r="P23" s="207"/>
      <c r="Q23" s="208"/>
      <c r="R23" s="208"/>
      <c r="S23" s="208"/>
      <c r="T23" s="208"/>
      <c r="U23" s="208"/>
      <c r="V23" s="208"/>
      <c r="W23" s="208"/>
      <c r="X23" s="214"/>
      <c r="Y23" s="214"/>
      <c r="Z23" s="214"/>
      <c r="AA23" s="214"/>
      <c r="AB23" s="214"/>
      <c r="AC23" s="214"/>
      <c r="AD23" s="214"/>
      <c r="AE23" s="214"/>
      <c r="AF23" s="214"/>
      <c r="AG23" s="214"/>
      <c r="AH23" s="348"/>
      <c r="AI23" s="134"/>
      <c r="AJ23" s="134"/>
    </row>
    <row r="24" spans="1:36" ht="13.5" thickBot="1" x14ac:dyDescent="0.25">
      <c r="A24" s="142" t="s">
        <v>368</v>
      </c>
      <c r="B24" s="8">
        <f>'91func'!B23</f>
        <v>147970</v>
      </c>
      <c r="C24" s="8">
        <f>'92func'!B23</f>
        <v>148468</v>
      </c>
      <c r="D24" s="8">
        <f>'93func'!B23</f>
        <v>151071</v>
      </c>
      <c r="E24" s="8">
        <f>'94func'!B24</f>
        <v>156950</v>
      </c>
      <c r="F24" s="8">
        <f>'95func'!B23</f>
        <v>162569</v>
      </c>
      <c r="G24" s="8">
        <f>'96func'!B23</f>
        <v>163768</v>
      </c>
      <c r="H24" s="8">
        <f>'97func'!B48</f>
        <v>164734</v>
      </c>
      <c r="I24" s="8">
        <f>'98func'!B24</f>
        <v>163902</v>
      </c>
      <c r="J24" s="8">
        <f>'99func'!B53</f>
        <v>161753</v>
      </c>
      <c r="K24" s="139">
        <v>159742</v>
      </c>
      <c r="L24" s="139">
        <f>'01func'!B23</f>
        <v>157497</v>
      </c>
      <c r="M24" s="139">
        <f>'02func'!B23</f>
        <v>154459</v>
      </c>
      <c r="N24" s="139">
        <f>'03func'!B23</f>
        <v>151511</v>
      </c>
      <c r="O24" s="211">
        <f>'04func'!B23</f>
        <v>149463</v>
      </c>
      <c r="P24" s="211">
        <f>'05func'!B23</f>
        <v>147652</v>
      </c>
      <c r="Q24" s="213">
        <v>148899</v>
      </c>
      <c r="R24" s="213">
        <f>'07func'!B23</f>
        <v>147019</v>
      </c>
      <c r="S24" s="213">
        <f>'08func'!$B23</f>
        <v>150157</v>
      </c>
      <c r="T24" s="213">
        <f>'09funcWithARRA'!$B23</f>
        <v>149748</v>
      </c>
      <c r="U24" s="213">
        <f>'10func_NO_ARRA_NO_SFSF'!B23</f>
        <v>148865</v>
      </c>
      <c r="V24" s="213">
        <f>'11func_NO_ARRA_NO_SFSF'!B23</f>
        <v>147965</v>
      </c>
      <c r="W24" s="213">
        <f>'12Rev'!$B$25</f>
        <v>147525</v>
      </c>
      <c r="X24" s="222">
        <f>'13Rev'!$B$25</f>
        <v>147705</v>
      </c>
      <c r="Y24" s="222">
        <f>'14Rev'!$B$25</f>
        <v>148567</v>
      </c>
      <c r="Z24" s="222">
        <f>'15Rev'!$B$25</f>
        <v>149410</v>
      </c>
      <c r="AA24" s="222">
        <f>'16Rev'!$B$25</f>
        <v>150187</v>
      </c>
      <c r="AB24" s="222">
        <f>'17Rev'!$B$25</f>
        <v>151433</v>
      </c>
      <c r="AC24" s="222">
        <f>'18Rev'!$B$25</f>
        <v>152221</v>
      </c>
      <c r="AD24" s="222">
        <f>'19Rev'!$B$25</f>
        <v>152628</v>
      </c>
      <c r="AE24" s="222">
        <f>'20Rev'!$B$25</f>
        <v>153614</v>
      </c>
      <c r="AF24" s="222">
        <f>'21Rev'!$B$25</f>
        <v>155169</v>
      </c>
      <c r="AG24" s="222">
        <f>'22Rev'!$B$25</f>
        <v>153715</v>
      </c>
      <c r="AH24" s="350">
        <f>'23Rev'!$B$25</f>
        <v>155543</v>
      </c>
      <c r="AI24" s="347">
        <f>(AH24/X24)-1</f>
        <v>5.3065231373345512E-2</v>
      </c>
      <c r="AJ24" s="347">
        <f>(AH24/T24)-1</f>
        <v>3.8698346555546603E-2</v>
      </c>
    </row>
    <row r="25" spans="1:36" ht="13.5" thickTop="1" x14ac:dyDescent="0.2">
      <c r="A25" s="104"/>
      <c r="B25" s="104"/>
      <c r="C25" s="104"/>
      <c r="D25" s="104"/>
      <c r="E25" s="1"/>
      <c r="F25" s="6"/>
      <c r="G25" s="1"/>
      <c r="H25" s="1"/>
      <c r="I25" s="1"/>
      <c r="J25" s="1"/>
      <c r="K25" s="130"/>
      <c r="L25" s="130"/>
      <c r="M25" s="130"/>
      <c r="N25" s="130"/>
      <c r="O25" s="206"/>
      <c r="P25" s="206"/>
      <c r="Q25" s="206"/>
      <c r="R25" s="206"/>
      <c r="S25" s="206"/>
      <c r="T25" s="134"/>
      <c r="U25" s="134"/>
      <c r="V25" s="134"/>
      <c r="W25" s="134"/>
      <c r="X25" s="134"/>
      <c r="Y25" s="134"/>
      <c r="Z25" s="134"/>
      <c r="AA25" s="134"/>
      <c r="AB25" s="134"/>
      <c r="AC25" s="134"/>
      <c r="AD25" s="134"/>
      <c r="AE25" s="134"/>
      <c r="AF25" s="134"/>
      <c r="AG25" s="134"/>
      <c r="AH25" s="134"/>
    </row>
    <row r="26" spans="1:36" ht="14.25" x14ac:dyDescent="0.2">
      <c r="A26" s="140"/>
      <c r="B26" s="104"/>
      <c r="C26" s="104"/>
      <c r="D26" s="104"/>
      <c r="E26" s="1"/>
      <c r="F26" s="6"/>
      <c r="G26" s="1"/>
      <c r="H26" s="1"/>
      <c r="I26" s="1"/>
      <c r="J26" s="1"/>
      <c r="K26" s="130"/>
      <c r="L26" s="130"/>
      <c r="M26" s="130"/>
      <c r="N26" s="130"/>
      <c r="O26" s="206"/>
      <c r="P26" s="206"/>
      <c r="Q26" s="206"/>
      <c r="R26" s="206"/>
      <c r="S26" s="206"/>
    </row>
  </sheetData>
  <phoneticPr fontId="7" type="noConversion"/>
  <pageMargins left="0.25" right="0.25" top="1" bottom="1" header="0.5" footer="0.5"/>
  <pageSetup orientation="landscape" r:id="rId1"/>
  <headerFooter alignWithMargins="0">
    <oddFooter>&amp;L&amp;Z&amp;F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J82"/>
  <sheetViews>
    <sheetView zoomScaleNormal="100" workbookViewId="0">
      <selection activeCell="A2" sqref="A2"/>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bestFit="1" customWidth="1"/>
    <col min="12" max="12" width="7.140625" bestFit="1" customWidth="1"/>
    <col min="13" max="17" width="13.85546875" bestFit="1" customWidth="1"/>
  </cols>
  <sheetData>
    <row r="1" spans="1:10" x14ac:dyDescent="0.2">
      <c r="A1" s="36" t="s">
        <v>200</v>
      </c>
      <c r="B1" s="36"/>
      <c r="C1" s="22"/>
      <c r="D1" s="22"/>
      <c r="E1" s="22"/>
      <c r="F1" s="22"/>
      <c r="G1" s="22"/>
      <c r="H1" s="22"/>
      <c r="I1" s="22"/>
    </row>
    <row r="2" spans="1:10" x14ac:dyDescent="0.2">
      <c r="A2" s="36" t="s">
        <v>613</v>
      </c>
      <c r="B2" s="36"/>
      <c r="C2" s="22"/>
      <c r="D2" s="22"/>
      <c r="E2" s="22"/>
      <c r="F2" s="22"/>
      <c r="G2" s="22"/>
      <c r="H2" s="22"/>
      <c r="I2" s="22"/>
    </row>
    <row r="3" spans="1:10" ht="22.5" x14ac:dyDescent="0.2">
      <c r="A3" s="20" t="s">
        <v>245</v>
      </c>
      <c r="B3" s="21" t="s">
        <v>593</v>
      </c>
      <c r="C3" s="202" t="s">
        <v>603</v>
      </c>
      <c r="D3" s="202" t="s">
        <v>604</v>
      </c>
      <c r="E3" s="202" t="s">
        <v>605</v>
      </c>
      <c r="F3" s="202" t="s">
        <v>606</v>
      </c>
      <c r="G3" s="202" t="s">
        <v>607</v>
      </c>
      <c r="H3" s="202" t="s">
        <v>608</v>
      </c>
      <c r="I3" s="202" t="s">
        <v>609</v>
      </c>
    </row>
    <row r="4" spans="1:10" x14ac:dyDescent="0.2">
      <c r="A4" s="33" t="s">
        <v>102</v>
      </c>
      <c r="B4" s="221">
        <v>37120</v>
      </c>
      <c r="C4" s="229">
        <v>82207226.299999997</v>
      </c>
      <c r="D4" s="229">
        <v>23733522.219999999</v>
      </c>
      <c r="E4" s="229">
        <v>26198228.050000001</v>
      </c>
      <c r="F4" s="229">
        <v>135436039.80000001</v>
      </c>
      <c r="G4" s="229">
        <v>35196903.009999998</v>
      </c>
      <c r="H4" s="229">
        <f t="shared" ref="H4:H9" si="0">SUM(C4:G4)</f>
        <v>302771919.38</v>
      </c>
      <c r="I4" s="214">
        <f t="shared" ref="I4:I10" si="1">H4/B4</f>
        <v>8156.5711039870685</v>
      </c>
      <c r="J4" s="232"/>
    </row>
    <row r="5" spans="1:10" x14ac:dyDescent="0.2">
      <c r="A5" s="33" t="s">
        <v>76</v>
      </c>
      <c r="B5" s="221">
        <v>18592</v>
      </c>
      <c r="C5" s="229">
        <v>39998307.880000003</v>
      </c>
      <c r="D5" s="229">
        <v>12273668.35</v>
      </c>
      <c r="E5" s="229">
        <v>14353527.74</v>
      </c>
      <c r="F5" s="229">
        <v>74438076.260000005</v>
      </c>
      <c r="G5" s="229">
        <v>30249308.379999999</v>
      </c>
      <c r="H5" s="229">
        <f t="shared" si="0"/>
        <v>171312888.61000001</v>
      </c>
      <c r="I5" s="214">
        <f t="shared" si="1"/>
        <v>9214.3335095740113</v>
      </c>
      <c r="J5" s="232"/>
    </row>
    <row r="6" spans="1:10" x14ac:dyDescent="0.2">
      <c r="A6" s="33" t="s">
        <v>77</v>
      </c>
      <c r="B6" s="221">
        <v>11316</v>
      </c>
      <c r="C6" s="229">
        <v>21890069.68</v>
      </c>
      <c r="D6" s="229">
        <v>12923588.710000001</v>
      </c>
      <c r="E6" s="229">
        <v>8955759.6199999992</v>
      </c>
      <c r="F6" s="229">
        <v>44692203.229999997</v>
      </c>
      <c r="G6" s="229">
        <v>17124814.989999998</v>
      </c>
      <c r="H6" s="229">
        <f t="shared" si="0"/>
        <v>105586436.22999999</v>
      </c>
      <c r="I6" s="214">
        <f t="shared" si="1"/>
        <v>9330.7207697066096</v>
      </c>
      <c r="J6" s="232"/>
    </row>
    <row r="7" spans="1:10" x14ac:dyDescent="0.2">
      <c r="A7" s="33" t="s">
        <v>78</v>
      </c>
      <c r="B7" s="221">
        <v>15720</v>
      </c>
      <c r="C7" s="229">
        <v>31253134.550000001</v>
      </c>
      <c r="D7" s="229">
        <v>14096650.83</v>
      </c>
      <c r="E7" s="229">
        <v>12039882.33</v>
      </c>
      <c r="F7" s="229">
        <v>63607054.090000004</v>
      </c>
      <c r="G7" s="229">
        <v>26696977.469999999</v>
      </c>
      <c r="H7" s="229">
        <f t="shared" si="0"/>
        <v>147693699.27000001</v>
      </c>
      <c r="I7" s="214">
        <f t="shared" si="1"/>
        <v>9395.2734904580157</v>
      </c>
      <c r="J7" s="232"/>
    </row>
    <row r="8" spans="1:10" x14ac:dyDescent="0.2">
      <c r="A8" s="33" t="s">
        <v>79</v>
      </c>
      <c r="B8" s="221">
        <v>5238</v>
      </c>
      <c r="C8" s="229">
        <v>13072789.98</v>
      </c>
      <c r="D8" s="229">
        <v>11002032.17</v>
      </c>
      <c r="E8" s="229">
        <v>4871729.6399999997</v>
      </c>
      <c r="F8" s="229">
        <v>22490663.309999999</v>
      </c>
      <c r="G8" s="229">
        <v>7264037.4800000004</v>
      </c>
      <c r="H8" s="229">
        <f t="shared" si="0"/>
        <v>58701252.579999998</v>
      </c>
      <c r="I8" s="214">
        <f t="shared" si="1"/>
        <v>11206.80652539137</v>
      </c>
      <c r="J8" s="232"/>
    </row>
    <row r="9" spans="1:10" x14ac:dyDescent="0.2">
      <c r="A9" s="33" t="s">
        <v>80</v>
      </c>
      <c r="B9" s="233">
        <v>1630</v>
      </c>
      <c r="C9" s="237">
        <v>4070796.49</v>
      </c>
      <c r="D9" s="238">
        <v>2994844.78</v>
      </c>
      <c r="E9" s="238">
        <v>1383333.92</v>
      </c>
      <c r="F9" s="238">
        <v>6415810.4500000002</v>
      </c>
      <c r="G9" s="238">
        <v>2891770.93</v>
      </c>
      <c r="H9" s="238">
        <f t="shared" si="0"/>
        <v>17756556.57</v>
      </c>
      <c r="I9" s="220">
        <f t="shared" si="1"/>
        <v>10893.592987730062</v>
      </c>
      <c r="J9" s="232"/>
    </row>
    <row r="10" spans="1:10" x14ac:dyDescent="0.2">
      <c r="A10" s="33" t="s">
        <v>171</v>
      </c>
      <c r="B10" s="221">
        <f t="shared" ref="B10:H10" si="2">SUM(B4:B9)</f>
        <v>89616</v>
      </c>
      <c r="C10" s="229">
        <f t="shared" si="2"/>
        <v>192492324.88000003</v>
      </c>
      <c r="D10" s="229">
        <f t="shared" si="2"/>
        <v>77024307.060000002</v>
      </c>
      <c r="E10" s="229">
        <f t="shared" si="2"/>
        <v>67802461.299999997</v>
      </c>
      <c r="F10" s="229">
        <f t="shared" si="2"/>
        <v>347079847.13999999</v>
      </c>
      <c r="G10" s="229">
        <f t="shared" si="2"/>
        <v>119423812.26000001</v>
      </c>
      <c r="H10" s="229">
        <f t="shared" si="2"/>
        <v>803822752.6400001</v>
      </c>
      <c r="I10" s="214">
        <f t="shared" si="1"/>
        <v>8969.6343581503315</v>
      </c>
      <c r="J10" s="232"/>
    </row>
    <row r="11" spans="1:10" x14ac:dyDescent="0.2">
      <c r="A11" s="33"/>
      <c r="B11" s="182"/>
      <c r="C11" s="214"/>
      <c r="D11" s="214"/>
      <c r="E11" s="214"/>
      <c r="F11" s="214"/>
      <c r="G11" s="214"/>
      <c r="H11" s="214"/>
      <c r="I11" s="214"/>
    </row>
    <row r="12" spans="1:10" x14ac:dyDescent="0.2">
      <c r="A12" s="33"/>
      <c r="B12" s="221"/>
      <c r="C12" s="214"/>
      <c r="D12" s="214"/>
      <c r="E12" s="214"/>
      <c r="F12" s="214"/>
      <c r="G12" s="214"/>
      <c r="H12" s="214"/>
      <c r="I12" s="214"/>
    </row>
    <row r="13" spans="1:10" x14ac:dyDescent="0.2">
      <c r="A13" s="33" t="s">
        <v>81</v>
      </c>
      <c r="B13" s="221">
        <v>22683</v>
      </c>
      <c r="C13" s="229">
        <v>64559863.869999997</v>
      </c>
      <c r="D13" s="229">
        <v>20252956.289999999</v>
      </c>
      <c r="E13" s="229">
        <v>17577542.800000001</v>
      </c>
      <c r="F13" s="229">
        <v>90446926.040000007</v>
      </c>
      <c r="G13" s="229">
        <v>12488860.960000001</v>
      </c>
      <c r="H13" s="229">
        <f>SUM(C13:G13)</f>
        <v>205326149.96000001</v>
      </c>
      <c r="I13" s="214">
        <f t="shared" ref="I13:I18" si="3">H13/B13</f>
        <v>9051.9838628047437</v>
      </c>
    </row>
    <row r="14" spans="1:10" x14ac:dyDescent="0.2">
      <c r="A14" s="33" t="s">
        <v>82</v>
      </c>
      <c r="B14" s="221">
        <v>8960</v>
      </c>
      <c r="C14" s="229">
        <v>20502669.059999999</v>
      </c>
      <c r="D14" s="229">
        <v>13827797.029999999</v>
      </c>
      <c r="E14" s="229">
        <v>7499261.4000000004</v>
      </c>
      <c r="F14" s="229">
        <v>38577675.18</v>
      </c>
      <c r="G14" s="229">
        <v>6848079.8200000003</v>
      </c>
      <c r="H14" s="229">
        <f>SUM(C14:G14)</f>
        <v>87255482.48999998</v>
      </c>
      <c r="I14" s="214">
        <f t="shared" si="3"/>
        <v>9738.3350993303557</v>
      </c>
    </row>
    <row r="15" spans="1:10" x14ac:dyDescent="0.2">
      <c r="A15" s="33" t="s">
        <v>83</v>
      </c>
      <c r="B15" s="221">
        <v>4842</v>
      </c>
      <c r="C15" s="229">
        <v>14021634.109999999</v>
      </c>
      <c r="D15" s="229">
        <v>6137757.2400000002</v>
      </c>
      <c r="E15" s="229">
        <v>4723751.1399999997</v>
      </c>
      <c r="F15" s="229">
        <v>22988158.210000001</v>
      </c>
      <c r="G15" s="229">
        <v>5065620.47</v>
      </c>
      <c r="H15" s="229">
        <f>SUM(C15:G15)</f>
        <v>52936921.170000002</v>
      </c>
      <c r="I15" s="214">
        <f t="shared" si="3"/>
        <v>10932.862695167287</v>
      </c>
    </row>
    <row r="16" spans="1:10" x14ac:dyDescent="0.2">
      <c r="A16" s="33" t="s">
        <v>84</v>
      </c>
      <c r="B16" s="221">
        <v>4878</v>
      </c>
      <c r="C16" s="229">
        <v>13706921.619999999</v>
      </c>
      <c r="D16" s="229">
        <v>7504470.2599999998</v>
      </c>
      <c r="E16" s="229">
        <v>5210333.68</v>
      </c>
      <c r="F16" s="229">
        <v>27314507.699999999</v>
      </c>
      <c r="G16" s="229">
        <v>7430590.9800000004</v>
      </c>
      <c r="H16" s="229">
        <f>SUM(C16:G16)</f>
        <v>61166824.239999995</v>
      </c>
      <c r="I16" s="214">
        <f t="shared" si="3"/>
        <v>12539.324362443624</v>
      </c>
    </row>
    <row r="17" spans="1:9" x14ac:dyDescent="0.2">
      <c r="A17" s="33" t="s">
        <v>85</v>
      </c>
      <c r="B17" s="233">
        <v>1657</v>
      </c>
      <c r="C17" s="237">
        <v>6774527.1500000004</v>
      </c>
      <c r="D17" s="238">
        <v>9832623.0700000003</v>
      </c>
      <c r="E17" s="238">
        <v>2402824.61</v>
      </c>
      <c r="F17" s="238">
        <v>12168241.43</v>
      </c>
      <c r="G17" s="238">
        <v>2572081.6800000002</v>
      </c>
      <c r="H17" s="238">
        <f>SUM(C17:G17)</f>
        <v>33750297.940000005</v>
      </c>
      <c r="I17" s="220">
        <f t="shared" si="3"/>
        <v>20368.3149909475</v>
      </c>
    </row>
    <row r="18" spans="1:9" x14ac:dyDescent="0.2">
      <c r="A18" s="33" t="s">
        <v>172</v>
      </c>
      <c r="B18" s="221">
        <f t="shared" ref="B18:H18" si="4">SUM(B13:B17)</f>
        <v>43020</v>
      </c>
      <c r="C18" s="229">
        <f t="shared" si="4"/>
        <v>119565615.81</v>
      </c>
      <c r="D18" s="229">
        <f t="shared" si="4"/>
        <v>57555603.890000001</v>
      </c>
      <c r="E18" s="229">
        <f t="shared" si="4"/>
        <v>37413713.630000003</v>
      </c>
      <c r="F18" s="229">
        <f t="shared" si="4"/>
        <v>191495508.56</v>
      </c>
      <c r="G18" s="229">
        <f t="shared" si="4"/>
        <v>34405233.910000004</v>
      </c>
      <c r="H18" s="229">
        <f t="shared" si="4"/>
        <v>440435675.80000001</v>
      </c>
      <c r="I18" s="214">
        <f t="shared" si="3"/>
        <v>10237.92830776383</v>
      </c>
    </row>
    <row r="19" spans="1:9" x14ac:dyDescent="0.2">
      <c r="A19" s="33"/>
      <c r="B19" s="182"/>
      <c r="C19" s="214"/>
      <c r="D19" s="214"/>
      <c r="E19" s="214"/>
      <c r="F19" s="214"/>
      <c r="G19" s="214"/>
      <c r="H19" s="214"/>
      <c r="I19" s="214"/>
    </row>
    <row r="20" spans="1:9" x14ac:dyDescent="0.2">
      <c r="A20" s="33"/>
      <c r="B20" s="221"/>
      <c r="C20" s="214"/>
      <c r="D20" s="214"/>
      <c r="E20" s="214"/>
      <c r="F20" s="214"/>
      <c r="G20" s="214"/>
      <c r="H20" s="214"/>
      <c r="I20" s="214"/>
    </row>
    <row r="21" spans="1:9" x14ac:dyDescent="0.2">
      <c r="A21" s="33" t="s">
        <v>86</v>
      </c>
      <c r="B21" s="221">
        <v>10550</v>
      </c>
      <c r="C21" s="229">
        <v>20507039.300000001</v>
      </c>
      <c r="D21" s="229">
        <v>7190200.6500000004</v>
      </c>
      <c r="E21" s="229">
        <v>7684383.0300000003</v>
      </c>
      <c r="F21" s="229">
        <v>45272051.590000004</v>
      </c>
      <c r="G21" s="229">
        <v>9662834.3900000006</v>
      </c>
      <c r="H21" s="221">
        <f>SUM(C21:G21)</f>
        <v>90316508.960000008</v>
      </c>
      <c r="I21" s="214">
        <f>H21/B21</f>
        <v>8560.8065364928916</v>
      </c>
    </row>
    <row r="22" spans="1:9" x14ac:dyDescent="0.2">
      <c r="A22" s="33" t="s">
        <v>87</v>
      </c>
      <c r="B22" s="233">
        <v>6971</v>
      </c>
      <c r="C22" s="237">
        <v>20490140.32</v>
      </c>
      <c r="D22" s="238">
        <v>26026015.039999999</v>
      </c>
      <c r="E22" s="238">
        <v>7433332.4800000004</v>
      </c>
      <c r="F22" s="238">
        <v>34108069.600000001</v>
      </c>
      <c r="G22" s="238">
        <v>8692683.0899999999</v>
      </c>
      <c r="H22" s="220">
        <f>SUM(C22:G22)</f>
        <v>96750240.530000001</v>
      </c>
      <c r="I22" s="220">
        <f>H22/B22</f>
        <v>13878.96148759145</v>
      </c>
    </row>
    <row r="23" spans="1:9" x14ac:dyDescent="0.2">
      <c r="A23" s="33" t="s">
        <v>173</v>
      </c>
      <c r="B23" s="221">
        <f t="shared" ref="B23:H23" si="5">SUM(B21:B22)</f>
        <v>17521</v>
      </c>
      <c r="C23" s="221">
        <f t="shared" si="5"/>
        <v>40997179.620000005</v>
      </c>
      <c r="D23" s="221">
        <f t="shared" si="5"/>
        <v>33216215.689999998</v>
      </c>
      <c r="E23" s="221">
        <f t="shared" si="5"/>
        <v>15117715.510000002</v>
      </c>
      <c r="F23" s="221">
        <f t="shared" si="5"/>
        <v>79380121.189999998</v>
      </c>
      <c r="G23" s="221">
        <f t="shared" si="5"/>
        <v>18355517.48</v>
      </c>
      <c r="H23" s="221">
        <f t="shared" si="5"/>
        <v>187066749.49000001</v>
      </c>
      <c r="I23" s="221">
        <f>H23/B23</f>
        <v>10676.716482506707</v>
      </c>
    </row>
    <row r="24" spans="1:9" x14ac:dyDescent="0.2">
      <c r="A24" s="33"/>
      <c r="B24" s="214"/>
      <c r="C24" s="214"/>
      <c r="D24" s="214"/>
      <c r="E24" s="214"/>
      <c r="F24" s="214"/>
      <c r="G24" s="214"/>
      <c r="H24" s="214"/>
      <c r="I24" s="214"/>
    </row>
    <row r="25" spans="1:9" ht="13.5" thickBot="1" x14ac:dyDescent="0.25">
      <c r="A25" s="33" t="s">
        <v>174</v>
      </c>
      <c r="B25" s="222">
        <f>B23+B18+B10</f>
        <v>150157</v>
      </c>
      <c r="C25" s="192">
        <f t="shared" ref="C25:H25" si="6">C10+C18+C23</f>
        <v>353055120.31000006</v>
      </c>
      <c r="D25" s="192">
        <f t="shared" si="6"/>
        <v>167796126.63999999</v>
      </c>
      <c r="E25" s="192">
        <f t="shared" si="6"/>
        <v>120333890.44000001</v>
      </c>
      <c r="F25" s="192">
        <f t="shared" si="6"/>
        <v>617955476.8900001</v>
      </c>
      <c r="G25" s="192">
        <f t="shared" si="6"/>
        <v>172184563.65000001</v>
      </c>
      <c r="H25" s="192">
        <f t="shared" si="6"/>
        <v>1431325177.9300001</v>
      </c>
      <c r="I25" s="222">
        <f>H25/B25</f>
        <v>9532.190826468297</v>
      </c>
    </row>
    <row r="26" spans="1:9" ht="13.5" thickTop="1" x14ac:dyDescent="0.2">
      <c r="A26" s="33"/>
      <c r="B26" s="182"/>
      <c r="C26" s="182"/>
      <c r="D26" s="182"/>
      <c r="E26" s="182"/>
      <c r="F26" s="182"/>
      <c r="G26" s="182"/>
      <c r="H26" s="182"/>
      <c r="I26" s="182"/>
    </row>
    <row r="27" spans="1:9" x14ac:dyDescent="0.2">
      <c r="A27" s="33"/>
      <c r="B27" s="182"/>
      <c r="C27" s="33"/>
      <c r="D27" s="33"/>
      <c r="E27" s="33"/>
      <c r="F27" s="33"/>
      <c r="G27" s="33"/>
      <c r="H27" s="182"/>
      <c r="I27" s="182"/>
    </row>
    <row r="28" spans="1:9" x14ac:dyDescent="0.2">
      <c r="A28" s="36" t="s">
        <v>200</v>
      </c>
      <c r="B28" s="22"/>
      <c r="C28" s="36"/>
      <c r="D28" s="36"/>
      <c r="E28" s="36"/>
      <c r="F28" s="36"/>
      <c r="G28" s="36"/>
      <c r="H28" s="22"/>
      <c r="I28" s="182"/>
    </row>
    <row r="29" spans="1:9" x14ac:dyDescent="0.2">
      <c r="A29" s="36" t="s">
        <v>612</v>
      </c>
      <c r="B29" s="22"/>
      <c r="C29" s="223"/>
      <c r="D29" s="223"/>
      <c r="E29" s="223"/>
      <c r="F29" s="223"/>
      <c r="G29" s="223"/>
      <c r="H29" s="223"/>
      <c r="I29" s="182"/>
    </row>
    <row r="30" spans="1:9" ht="22.5" x14ac:dyDescent="0.2">
      <c r="A30" s="20" t="s">
        <v>245</v>
      </c>
      <c r="B30" s="21" t="s">
        <v>593</v>
      </c>
      <c r="C30" s="202" t="s">
        <v>603</v>
      </c>
      <c r="D30" s="202" t="s">
        <v>604</v>
      </c>
      <c r="E30" s="202" t="s">
        <v>605</v>
      </c>
      <c r="F30" s="202" t="s">
        <v>606</v>
      </c>
      <c r="G30" s="202" t="s">
        <v>607</v>
      </c>
      <c r="H30" s="202" t="s">
        <v>608</v>
      </c>
      <c r="I30" s="202" t="s">
        <v>609</v>
      </c>
    </row>
    <row r="31" spans="1:9" x14ac:dyDescent="0.2">
      <c r="A31" s="33"/>
      <c r="B31" s="182"/>
      <c r="C31" s="182"/>
      <c r="D31" s="182"/>
      <c r="E31" s="182"/>
      <c r="F31" s="182"/>
      <c r="G31" s="182"/>
      <c r="H31" s="33"/>
      <c r="I31" s="182"/>
    </row>
    <row r="32" spans="1:9" x14ac:dyDescent="0.2">
      <c r="A32" s="33" t="s">
        <v>102</v>
      </c>
      <c r="B32" s="221">
        <v>37120</v>
      </c>
      <c r="C32" s="182">
        <f t="shared" ref="C32:H38" si="7">C4/$B32</f>
        <v>2214.6343292025863</v>
      </c>
      <c r="D32" s="182">
        <f t="shared" si="7"/>
        <v>639.37290463362069</v>
      </c>
      <c r="E32" s="182">
        <f t="shared" si="7"/>
        <v>705.77122979525859</v>
      </c>
      <c r="F32" s="182">
        <f t="shared" si="7"/>
        <v>3648.6002101293107</v>
      </c>
      <c r="G32" s="182">
        <f t="shared" si="7"/>
        <v>948.19243022629303</v>
      </c>
      <c r="H32" s="182">
        <f t="shared" si="7"/>
        <v>8156.5711039870685</v>
      </c>
      <c r="I32" s="182"/>
    </row>
    <row r="33" spans="1:9" x14ac:dyDescent="0.2">
      <c r="A33" s="33" t="s">
        <v>76</v>
      </c>
      <c r="B33" s="221">
        <v>18592</v>
      </c>
      <c r="C33" s="182">
        <f t="shared" si="7"/>
        <v>2151.3719814974183</v>
      </c>
      <c r="D33" s="182">
        <f t="shared" si="7"/>
        <v>660.15858164802069</v>
      </c>
      <c r="E33" s="182">
        <f t="shared" si="7"/>
        <v>772.0270944492255</v>
      </c>
      <c r="F33" s="182">
        <f t="shared" si="7"/>
        <v>4003.7691620051637</v>
      </c>
      <c r="G33" s="182">
        <f t="shared" si="7"/>
        <v>1627.0066899741823</v>
      </c>
      <c r="H33" s="182">
        <f t="shared" si="7"/>
        <v>9214.3335095740113</v>
      </c>
      <c r="I33" s="182"/>
    </row>
    <row r="34" spans="1:9" x14ac:dyDescent="0.2">
      <c r="A34" s="33" t="s">
        <v>77</v>
      </c>
      <c r="B34" s="221">
        <v>11316</v>
      </c>
      <c r="C34" s="182">
        <f t="shared" si="7"/>
        <v>1934.4352845528456</v>
      </c>
      <c r="D34" s="182">
        <f t="shared" si="7"/>
        <v>1142.0633359844469</v>
      </c>
      <c r="E34" s="182">
        <f t="shared" si="7"/>
        <v>791.42449805584999</v>
      </c>
      <c r="F34" s="182">
        <f t="shared" si="7"/>
        <v>3949.4700627430184</v>
      </c>
      <c r="G34" s="182">
        <f t="shared" si="7"/>
        <v>1513.3275883704487</v>
      </c>
      <c r="H34" s="182">
        <f t="shared" si="7"/>
        <v>9330.7207697066096</v>
      </c>
      <c r="I34" s="182"/>
    </row>
    <row r="35" spans="1:9" x14ac:dyDescent="0.2">
      <c r="A35" s="33" t="s">
        <v>78</v>
      </c>
      <c r="B35" s="221">
        <v>15720</v>
      </c>
      <c r="C35" s="182">
        <f t="shared" si="7"/>
        <v>1988.1128848600508</v>
      </c>
      <c r="D35" s="182">
        <f t="shared" si="7"/>
        <v>896.73351335877862</v>
      </c>
      <c r="E35" s="182">
        <f t="shared" si="7"/>
        <v>765.89582251908394</v>
      </c>
      <c r="F35" s="182">
        <f t="shared" si="7"/>
        <v>4046.2502601781171</v>
      </c>
      <c r="G35" s="182">
        <f t="shared" si="7"/>
        <v>1698.2810095419848</v>
      </c>
      <c r="H35" s="182">
        <f t="shared" si="7"/>
        <v>9395.2734904580157</v>
      </c>
      <c r="I35" s="182"/>
    </row>
    <row r="36" spans="1:9" x14ac:dyDescent="0.2">
      <c r="A36" s="33" t="s">
        <v>79</v>
      </c>
      <c r="B36" s="221">
        <v>5238</v>
      </c>
      <c r="C36" s="182">
        <f t="shared" si="7"/>
        <v>2495.7598281786941</v>
      </c>
      <c r="D36" s="182">
        <f t="shared" si="7"/>
        <v>2100.4261492936234</v>
      </c>
      <c r="E36" s="182">
        <f t="shared" si="7"/>
        <v>930.07438717067578</v>
      </c>
      <c r="F36" s="182">
        <f t="shared" si="7"/>
        <v>4293.750154639175</v>
      </c>
      <c r="G36" s="182">
        <f t="shared" si="7"/>
        <v>1386.7960061092022</v>
      </c>
      <c r="H36" s="182">
        <f t="shared" si="7"/>
        <v>11206.80652539137</v>
      </c>
      <c r="I36" s="182"/>
    </row>
    <row r="37" spans="1:9" x14ac:dyDescent="0.2">
      <c r="A37" s="33" t="s">
        <v>80</v>
      </c>
      <c r="B37" s="233">
        <v>1630</v>
      </c>
      <c r="C37" s="183">
        <f t="shared" si="7"/>
        <v>2497.4211595092024</v>
      </c>
      <c r="D37" s="183">
        <f t="shared" si="7"/>
        <v>1837.3280858895705</v>
      </c>
      <c r="E37" s="183">
        <f t="shared" si="7"/>
        <v>848.67111656441716</v>
      </c>
      <c r="F37" s="183">
        <f t="shared" si="7"/>
        <v>3936.080030674847</v>
      </c>
      <c r="G37" s="183">
        <f t="shared" si="7"/>
        <v>1774.0925950920246</v>
      </c>
      <c r="H37" s="183">
        <f t="shared" si="7"/>
        <v>10893.592987730062</v>
      </c>
      <c r="I37" s="182"/>
    </row>
    <row r="38" spans="1:9" x14ac:dyDescent="0.2">
      <c r="A38" s="33" t="s">
        <v>171</v>
      </c>
      <c r="B38" s="221">
        <f>SUM(B32:B37)</f>
        <v>89616</v>
      </c>
      <c r="C38" s="182">
        <f t="shared" si="7"/>
        <v>2147.9682744152833</v>
      </c>
      <c r="D38" s="182">
        <f t="shared" si="7"/>
        <v>859.49280329405462</v>
      </c>
      <c r="E38" s="182">
        <f t="shared" si="7"/>
        <v>756.58879329583999</v>
      </c>
      <c r="F38" s="182">
        <f t="shared" si="7"/>
        <v>3872.9674069362613</v>
      </c>
      <c r="G38" s="182">
        <f t="shared" si="7"/>
        <v>1332.6170802088914</v>
      </c>
      <c r="H38" s="182">
        <f t="shared" si="7"/>
        <v>8969.6343581503315</v>
      </c>
      <c r="I38" s="182"/>
    </row>
    <row r="39" spans="1:9" x14ac:dyDescent="0.2">
      <c r="A39" s="33"/>
      <c r="B39" s="182"/>
      <c r="C39" s="182"/>
      <c r="D39" s="182"/>
      <c r="E39" s="182"/>
      <c r="F39" s="182"/>
      <c r="G39" s="182"/>
      <c r="H39" s="182"/>
      <c r="I39" s="182"/>
    </row>
    <row r="40" spans="1:9" x14ac:dyDescent="0.2">
      <c r="A40" s="33"/>
      <c r="B40" s="221"/>
      <c r="C40" s="182"/>
      <c r="D40" s="182"/>
      <c r="E40" s="182"/>
      <c r="F40" s="182"/>
      <c r="G40" s="182"/>
      <c r="H40" s="182"/>
      <c r="I40" s="182"/>
    </row>
    <row r="41" spans="1:9" x14ac:dyDescent="0.2">
      <c r="A41" s="33" t="s">
        <v>81</v>
      </c>
      <c r="B41" s="221">
        <v>22683</v>
      </c>
      <c r="C41" s="182">
        <f t="shared" ref="C41:H46" si="8">C13/$B41</f>
        <v>2846.1783657364545</v>
      </c>
      <c r="D41" s="182">
        <f t="shared" si="8"/>
        <v>892.8693863245602</v>
      </c>
      <c r="E41" s="182">
        <f t="shared" si="8"/>
        <v>774.92143014592432</v>
      </c>
      <c r="F41" s="182">
        <f t="shared" si="8"/>
        <v>3987.432263809902</v>
      </c>
      <c r="G41" s="182">
        <f t="shared" si="8"/>
        <v>550.58241678790284</v>
      </c>
      <c r="H41" s="182">
        <f t="shared" si="8"/>
        <v>9051.9838628047437</v>
      </c>
      <c r="I41" s="182"/>
    </row>
    <row r="42" spans="1:9" x14ac:dyDescent="0.2">
      <c r="A42" s="33" t="s">
        <v>82</v>
      </c>
      <c r="B42" s="221">
        <v>8960</v>
      </c>
      <c r="C42" s="182">
        <f t="shared" si="8"/>
        <v>2288.2443147321428</v>
      </c>
      <c r="D42" s="182">
        <f t="shared" si="8"/>
        <v>1543.2809185267856</v>
      </c>
      <c r="E42" s="182">
        <f t="shared" si="8"/>
        <v>836.97113839285714</v>
      </c>
      <c r="F42" s="182">
        <f t="shared" si="8"/>
        <v>4305.5441049107139</v>
      </c>
      <c r="G42" s="182">
        <f t="shared" si="8"/>
        <v>764.29462276785716</v>
      </c>
      <c r="H42" s="182">
        <f t="shared" si="8"/>
        <v>9738.3350993303557</v>
      </c>
      <c r="I42" s="182"/>
    </row>
    <row r="43" spans="1:9" x14ac:dyDescent="0.2">
      <c r="A43" s="33" t="s">
        <v>83</v>
      </c>
      <c r="B43" s="221">
        <v>4842</v>
      </c>
      <c r="C43" s="182">
        <f t="shared" si="8"/>
        <v>2895.8352147872779</v>
      </c>
      <c r="D43" s="182">
        <f t="shared" si="8"/>
        <v>1267.6078562577447</v>
      </c>
      <c r="E43" s="182">
        <f t="shared" si="8"/>
        <v>975.57850888062774</v>
      </c>
      <c r="F43" s="182">
        <f t="shared" si="8"/>
        <v>4747.6576228831063</v>
      </c>
      <c r="G43" s="182">
        <f t="shared" si="8"/>
        <v>1046.1834923585295</v>
      </c>
      <c r="H43" s="182">
        <f t="shared" si="8"/>
        <v>10932.862695167287</v>
      </c>
      <c r="I43" s="182"/>
    </row>
    <row r="44" spans="1:9" x14ac:dyDescent="0.2">
      <c r="A44" s="33" t="s">
        <v>84</v>
      </c>
      <c r="B44" s="221">
        <v>4878</v>
      </c>
      <c r="C44" s="182">
        <f t="shared" si="8"/>
        <v>2809.9470315703156</v>
      </c>
      <c r="D44" s="182">
        <f t="shared" si="8"/>
        <v>1538.4317876178761</v>
      </c>
      <c r="E44" s="182">
        <f t="shared" si="8"/>
        <v>1068.1290856908568</v>
      </c>
      <c r="F44" s="182">
        <f t="shared" si="8"/>
        <v>5599.5300738007381</v>
      </c>
      <c r="G44" s="182">
        <f t="shared" si="8"/>
        <v>1523.2863837638376</v>
      </c>
      <c r="H44" s="182">
        <f t="shared" si="8"/>
        <v>12539.324362443624</v>
      </c>
      <c r="I44" s="182"/>
    </row>
    <row r="45" spans="1:9" x14ac:dyDescent="0.2">
      <c r="A45" s="33" t="s">
        <v>85</v>
      </c>
      <c r="B45" s="233">
        <v>1657</v>
      </c>
      <c r="C45" s="183">
        <f t="shared" si="8"/>
        <v>4088.4291792395898</v>
      </c>
      <c r="D45" s="183">
        <f t="shared" si="8"/>
        <v>5933.990989740495</v>
      </c>
      <c r="E45" s="183">
        <f t="shared" si="8"/>
        <v>1450.1053771876884</v>
      </c>
      <c r="F45" s="183">
        <f t="shared" si="8"/>
        <v>7343.5373747736876</v>
      </c>
      <c r="G45" s="183">
        <f t="shared" si="8"/>
        <v>1552.2520700060352</v>
      </c>
      <c r="H45" s="183">
        <f t="shared" si="8"/>
        <v>20368.3149909475</v>
      </c>
      <c r="I45" s="182"/>
    </row>
    <row r="46" spans="1:9" x14ac:dyDescent="0.2">
      <c r="A46" s="33" t="s">
        <v>172</v>
      </c>
      <c r="B46" s="221">
        <f>SUM(B41:B45)</f>
        <v>43020</v>
      </c>
      <c r="C46" s="182">
        <f t="shared" si="8"/>
        <v>2779.3030174337518</v>
      </c>
      <c r="D46" s="182">
        <f t="shared" si="8"/>
        <v>1337.8801462110646</v>
      </c>
      <c r="E46" s="182">
        <f t="shared" si="8"/>
        <v>869.6818602975361</v>
      </c>
      <c r="F46" s="182">
        <f t="shared" si="8"/>
        <v>4451.3135416085543</v>
      </c>
      <c r="G46" s="182">
        <f t="shared" si="8"/>
        <v>799.74974221292428</v>
      </c>
      <c r="H46" s="182">
        <f t="shared" si="8"/>
        <v>10237.92830776383</v>
      </c>
      <c r="I46" s="182"/>
    </row>
    <row r="47" spans="1:9" x14ac:dyDescent="0.2">
      <c r="A47" s="33"/>
      <c r="B47" s="182"/>
      <c r="C47" s="182"/>
      <c r="D47" s="182"/>
      <c r="E47" s="182"/>
      <c r="F47" s="182"/>
      <c r="G47" s="182"/>
      <c r="H47" s="182"/>
      <c r="I47" s="182"/>
    </row>
    <row r="48" spans="1:9" x14ac:dyDescent="0.2">
      <c r="A48" s="33"/>
      <c r="B48" s="221"/>
      <c r="C48" s="182"/>
      <c r="D48" s="182"/>
      <c r="E48" s="182"/>
      <c r="F48" s="182"/>
      <c r="G48" s="182"/>
      <c r="H48" s="182"/>
      <c r="I48" s="182"/>
    </row>
    <row r="49" spans="1:9" x14ac:dyDescent="0.2">
      <c r="A49" s="33" t="s">
        <v>86</v>
      </c>
      <c r="B49" s="221">
        <v>10550</v>
      </c>
      <c r="C49" s="182">
        <f t="shared" ref="C49:H51" si="9">C21/$B49</f>
        <v>1943.7951943127962</v>
      </c>
      <c r="D49" s="182">
        <f t="shared" si="9"/>
        <v>681.53560663507108</v>
      </c>
      <c r="E49" s="182">
        <f t="shared" si="9"/>
        <v>728.37753838862557</v>
      </c>
      <c r="F49" s="182">
        <f t="shared" si="9"/>
        <v>4291.1897241706165</v>
      </c>
      <c r="G49" s="182">
        <f t="shared" si="9"/>
        <v>915.90847298578205</v>
      </c>
      <c r="H49" s="182">
        <f t="shared" si="9"/>
        <v>8560.8065364928916</v>
      </c>
      <c r="I49" s="182"/>
    </row>
    <row r="50" spans="1:9" x14ac:dyDescent="0.2">
      <c r="A50" s="33" t="s">
        <v>87</v>
      </c>
      <c r="B50" s="233">
        <v>6971</v>
      </c>
      <c r="C50" s="183">
        <f t="shared" si="9"/>
        <v>2939.3401692727011</v>
      </c>
      <c r="D50" s="183">
        <f t="shared" si="9"/>
        <v>3733.4693788552572</v>
      </c>
      <c r="E50" s="183">
        <f t="shared" si="9"/>
        <v>1066.3222607947212</v>
      </c>
      <c r="F50" s="183">
        <f t="shared" si="9"/>
        <v>4892.8517572801611</v>
      </c>
      <c r="G50" s="183">
        <f t="shared" si="9"/>
        <v>1246.97792138861</v>
      </c>
      <c r="H50" s="183">
        <f t="shared" si="9"/>
        <v>13878.96148759145</v>
      </c>
      <c r="I50" s="182"/>
    </row>
    <row r="51" spans="1:9" x14ac:dyDescent="0.2">
      <c r="A51" s="33" t="s">
        <v>173</v>
      </c>
      <c r="B51" s="221">
        <f>SUM(B49:B50)</f>
        <v>17521</v>
      </c>
      <c r="C51" s="182">
        <f t="shared" si="9"/>
        <v>2339.8881125506537</v>
      </c>
      <c r="D51" s="182">
        <f t="shared" si="9"/>
        <v>1895.7945145825008</v>
      </c>
      <c r="E51" s="182">
        <f t="shared" si="9"/>
        <v>862.83405684607055</v>
      </c>
      <c r="F51" s="182">
        <f t="shared" si="9"/>
        <v>4530.5702408538327</v>
      </c>
      <c r="G51" s="182">
        <f t="shared" si="9"/>
        <v>1047.6295576736488</v>
      </c>
      <c r="H51" s="182">
        <f t="shared" si="9"/>
        <v>10676.716482506707</v>
      </c>
      <c r="I51" s="182"/>
    </row>
    <row r="52" spans="1:9" x14ac:dyDescent="0.2">
      <c r="A52" s="33"/>
      <c r="B52" s="214"/>
      <c r="C52" s="182"/>
      <c r="D52" s="182"/>
      <c r="E52" s="182"/>
      <c r="F52" s="182"/>
      <c r="G52" s="182"/>
      <c r="H52" s="182"/>
      <c r="I52" s="182"/>
    </row>
    <row r="53" spans="1:9" ht="13.5" thickBot="1" x14ac:dyDescent="0.25">
      <c r="A53" s="33" t="s">
        <v>174</v>
      </c>
      <c r="B53" s="222">
        <f>B51+B46+B38</f>
        <v>150157</v>
      </c>
      <c r="C53" s="192">
        <f t="shared" ref="C53:H53" si="10">C25/$B53</f>
        <v>2351.2398377032046</v>
      </c>
      <c r="D53" s="192">
        <f t="shared" si="10"/>
        <v>1117.4712243851434</v>
      </c>
      <c r="E53" s="192">
        <f t="shared" si="10"/>
        <v>801.38715104856919</v>
      </c>
      <c r="F53" s="192">
        <f t="shared" si="10"/>
        <v>4115.3957317341192</v>
      </c>
      <c r="G53" s="192">
        <f t="shared" si="10"/>
        <v>1146.6968815972616</v>
      </c>
      <c r="H53" s="192">
        <f t="shared" si="10"/>
        <v>9532.190826468297</v>
      </c>
      <c r="I53" s="182"/>
    </row>
    <row r="54" spans="1:9" ht="13.5" thickTop="1" x14ac:dyDescent="0.2">
      <c r="A54" s="33"/>
      <c r="B54" s="182"/>
      <c r="C54" s="182"/>
      <c r="D54" s="182"/>
      <c r="E54" s="182"/>
      <c r="F54" s="182"/>
      <c r="G54" s="182"/>
      <c r="H54" s="182"/>
      <c r="I54" s="182"/>
    </row>
    <row r="55" spans="1:9" x14ac:dyDescent="0.2">
      <c r="A55" s="33"/>
      <c r="B55" s="182"/>
      <c r="C55" s="182"/>
      <c r="D55" s="182"/>
      <c r="E55" s="182"/>
      <c r="F55" s="182"/>
      <c r="G55" s="182"/>
      <c r="H55" s="182"/>
      <c r="I55" s="182"/>
    </row>
    <row r="56" spans="1:9" x14ac:dyDescent="0.2">
      <c r="A56" s="36" t="s">
        <v>200</v>
      </c>
      <c r="B56" s="36"/>
      <c r="C56" s="36"/>
      <c r="D56" s="36"/>
      <c r="E56" s="36"/>
      <c r="F56" s="36"/>
      <c r="G56" s="36"/>
      <c r="H56" s="36"/>
      <c r="I56" s="182"/>
    </row>
    <row r="57" spans="1:9" x14ac:dyDescent="0.2">
      <c r="A57" s="36" t="s">
        <v>611</v>
      </c>
      <c r="B57" s="36"/>
      <c r="H57" s="202"/>
      <c r="I57" s="182"/>
    </row>
    <row r="58" spans="1:9" ht="22.5" x14ac:dyDescent="0.2">
      <c r="A58" s="20" t="s">
        <v>245</v>
      </c>
      <c r="B58" s="21"/>
      <c r="C58" s="202" t="s">
        <v>603</v>
      </c>
      <c r="D58" s="202" t="s">
        <v>604</v>
      </c>
      <c r="E58" s="202" t="s">
        <v>605</v>
      </c>
      <c r="F58" s="202" t="s">
        <v>606</v>
      </c>
      <c r="G58" s="202" t="s">
        <v>607</v>
      </c>
      <c r="H58" s="202" t="s">
        <v>608</v>
      </c>
      <c r="I58" s="202" t="s">
        <v>609</v>
      </c>
    </row>
    <row r="59" spans="1:9" x14ac:dyDescent="0.2">
      <c r="A59" s="33" t="s">
        <v>102</v>
      </c>
      <c r="B59" s="221"/>
      <c r="C59" s="224">
        <f t="shared" ref="C59:H65" si="11">C32/$H32</f>
        <v>0.27151535871734583</v>
      </c>
      <c r="D59" s="224">
        <f t="shared" si="11"/>
        <v>7.8387461652983631E-2</v>
      </c>
      <c r="E59" s="224">
        <f t="shared" si="11"/>
        <v>8.6527931994642426E-2</v>
      </c>
      <c r="F59" s="224">
        <f t="shared" si="11"/>
        <v>0.44732034621089906</v>
      </c>
      <c r="G59" s="224">
        <f t="shared" si="11"/>
        <v>0.11624890142412915</v>
      </c>
      <c r="H59" s="224">
        <f t="shared" si="11"/>
        <v>1</v>
      </c>
      <c r="I59" s="182"/>
    </row>
    <row r="60" spans="1:9" x14ac:dyDescent="0.2">
      <c r="A60" s="33" t="s">
        <v>76</v>
      </c>
      <c r="B60" s="221"/>
      <c r="C60" s="224">
        <f t="shared" si="11"/>
        <v>0.23348101946408478</v>
      </c>
      <c r="D60" s="224">
        <f t="shared" si="11"/>
        <v>7.1644745760731696E-2</v>
      </c>
      <c r="E60" s="224">
        <f t="shared" si="11"/>
        <v>8.3785451616990275E-2</v>
      </c>
      <c r="F60" s="224">
        <f t="shared" si="11"/>
        <v>0.43451532960524047</v>
      </c>
      <c r="G60" s="224">
        <f t="shared" si="11"/>
        <v>0.1765734535529527</v>
      </c>
      <c r="H60" s="224">
        <f t="shared" si="11"/>
        <v>1</v>
      </c>
      <c r="I60" s="182"/>
    </row>
    <row r="61" spans="1:9" x14ac:dyDescent="0.2">
      <c r="A61" s="33" t="s">
        <v>77</v>
      </c>
      <c r="B61" s="221"/>
      <c r="C61" s="224">
        <f t="shared" si="11"/>
        <v>0.20731895555520638</v>
      </c>
      <c r="D61" s="224">
        <f t="shared" si="11"/>
        <v>0.12239819025474463</v>
      </c>
      <c r="E61" s="224">
        <f t="shared" si="11"/>
        <v>8.4819224322445902E-2</v>
      </c>
      <c r="F61" s="224">
        <f t="shared" si="11"/>
        <v>0.42327598909244857</v>
      </c>
      <c r="G61" s="224">
        <f t="shared" si="11"/>
        <v>0.16218764077515449</v>
      </c>
      <c r="H61" s="224">
        <f t="shared" si="11"/>
        <v>1</v>
      </c>
      <c r="I61" s="182"/>
    </row>
    <row r="62" spans="1:9" x14ac:dyDescent="0.2">
      <c r="A62" s="33" t="s">
        <v>78</v>
      </c>
      <c r="B62" s="221"/>
      <c r="C62" s="224">
        <f t="shared" si="11"/>
        <v>0.21160777138411233</v>
      </c>
      <c r="D62" s="224">
        <f t="shared" si="11"/>
        <v>9.5445174030273305E-2</v>
      </c>
      <c r="E62" s="224">
        <f t="shared" si="11"/>
        <v>8.1519268523363317E-2</v>
      </c>
      <c r="F62" s="224">
        <f t="shared" si="11"/>
        <v>0.43066870424661413</v>
      </c>
      <c r="G62" s="224">
        <f t="shared" si="11"/>
        <v>0.18075908181563688</v>
      </c>
      <c r="H62" s="224">
        <f t="shared" si="11"/>
        <v>1</v>
      </c>
      <c r="I62" s="182"/>
    </row>
    <row r="63" spans="1:9" x14ac:dyDescent="0.2">
      <c r="A63" s="33" t="s">
        <v>79</v>
      </c>
      <c r="B63" s="221"/>
      <c r="C63" s="224">
        <f t="shared" si="11"/>
        <v>0.22270035826209963</v>
      </c>
      <c r="D63" s="224">
        <f t="shared" si="11"/>
        <v>0.18742414661435153</v>
      </c>
      <c r="E63" s="224">
        <f t="shared" si="11"/>
        <v>8.2991919693036306E-2</v>
      </c>
      <c r="F63" s="224">
        <f t="shared" si="11"/>
        <v>0.38313770697395227</v>
      </c>
      <c r="G63" s="224">
        <f t="shared" si="11"/>
        <v>0.12374586845656031</v>
      </c>
      <c r="H63" s="224">
        <f t="shared" si="11"/>
        <v>1</v>
      </c>
      <c r="I63" s="182"/>
    </row>
    <row r="64" spans="1:9" x14ac:dyDescent="0.2">
      <c r="A64" s="33" t="s">
        <v>80</v>
      </c>
      <c r="B64" s="221"/>
      <c r="C64" s="225">
        <f t="shared" si="11"/>
        <v>0.22925596378735269</v>
      </c>
      <c r="D64" s="225">
        <f t="shared" si="11"/>
        <v>0.16866134873581515</v>
      </c>
      <c r="E64" s="225">
        <f t="shared" si="11"/>
        <v>7.7905528278898725E-2</v>
      </c>
      <c r="F64" s="225">
        <f t="shared" si="11"/>
        <v>0.36132064371307326</v>
      </c>
      <c r="G64" s="225">
        <f t="shared" si="11"/>
        <v>0.16285651548486013</v>
      </c>
      <c r="H64" s="225">
        <f t="shared" si="11"/>
        <v>1</v>
      </c>
      <c r="I64" s="182"/>
    </row>
    <row r="65" spans="1:9" x14ac:dyDescent="0.2">
      <c r="A65" s="33" t="s">
        <v>171</v>
      </c>
      <c r="B65" s="221"/>
      <c r="C65" s="224">
        <f t="shared" si="11"/>
        <v>0.23947110758907517</v>
      </c>
      <c r="D65" s="224">
        <f t="shared" si="11"/>
        <v>9.5822501673445526E-2</v>
      </c>
      <c r="E65" s="224">
        <f t="shared" si="11"/>
        <v>8.4350015071501708E-2</v>
      </c>
      <c r="F65" s="224">
        <f t="shared" si="11"/>
        <v>0.43178654249345827</v>
      </c>
      <c r="G65" s="224">
        <f t="shared" si="11"/>
        <v>0.14856983317251923</v>
      </c>
      <c r="H65" s="224">
        <f t="shared" si="11"/>
        <v>1</v>
      </c>
      <c r="I65" s="182"/>
    </row>
    <row r="66" spans="1:9" x14ac:dyDescent="0.2">
      <c r="A66" s="33"/>
      <c r="B66" s="182"/>
      <c r="C66" s="224"/>
      <c r="D66" s="224"/>
      <c r="E66" s="224"/>
      <c r="F66" s="224"/>
      <c r="G66" s="224"/>
      <c r="H66" s="224"/>
      <c r="I66" s="182"/>
    </row>
    <row r="67" spans="1:9" x14ac:dyDescent="0.2">
      <c r="A67" s="33"/>
      <c r="B67" s="221"/>
      <c r="C67" s="224"/>
      <c r="D67" s="224"/>
      <c r="E67" s="224"/>
      <c r="F67" s="224"/>
      <c r="G67" s="224"/>
      <c r="H67" s="224"/>
      <c r="I67" s="182"/>
    </row>
    <row r="68" spans="1:9" x14ac:dyDescent="0.2">
      <c r="A68" s="33" t="s">
        <v>81</v>
      </c>
      <c r="B68" s="221"/>
      <c r="C68" s="224">
        <f t="shared" ref="C68:H73" si="12">C41/$H41</f>
        <v>0.31442592130898589</v>
      </c>
      <c r="D68" s="224">
        <f t="shared" si="12"/>
        <v>9.8637978133547619E-2</v>
      </c>
      <c r="E68" s="224">
        <f t="shared" si="12"/>
        <v>8.5607911137594098E-2</v>
      </c>
      <c r="F68" s="224">
        <f t="shared" si="12"/>
        <v>0.44050368673264539</v>
      </c>
      <c r="G68" s="224">
        <f t="shared" si="12"/>
        <v>6.0824502687227028E-2</v>
      </c>
      <c r="H68" s="224">
        <f t="shared" si="12"/>
        <v>1</v>
      </c>
      <c r="I68" s="182"/>
    </row>
    <row r="69" spans="1:9" x14ac:dyDescent="0.2">
      <c r="A69" s="33" t="s">
        <v>82</v>
      </c>
      <c r="B69" s="221"/>
      <c r="C69" s="224">
        <f t="shared" si="12"/>
        <v>0.23497284611714492</v>
      </c>
      <c r="D69" s="224">
        <f t="shared" si="12"/>
        <v>0.15847482170057051</v>
      </c>
      <c r="E69" s="224">
        <f t="shared" si="12"/>
        <v>8.5946019504957311E-2</v>
      </c>
      <c r="F69" s="224">
        <f t="shared" si="12"/>
        <v>0.44212322342520122</v>
      </c>
      <c r="G69" s="224">
        <f t="shared" si="12"/>
        <v>7.8483089252126159E-2</v>
      </c>
      <c r="H69" s="224">
        <f t="shared" si="12"/>
        <v>1</v>
      </c>
      <c r="I69" s="182"/>
    </row>
    <row r="70" spans="1:9" x14ac:dyDescent="0.2">
      <c r="A70" s="33" t="s">
        <v>83</v>
      </c>
      <c r="B70" s="221"/>
      <c r="C70" s="224">
        <f t="shared" si="12"/>
        <v>0.26487437879077541</v>
      </c>
      <c r="D70" s="224">
        <f t="shared" si="12"/>
        <v>0.11594473392756248</v>
      </c>
      <c r="E70" s="224">
        <f t="shared" si="12"/>
        <v>8.9233582830219579E-2</v>
      </c>
      <c r="F70" s="224">
        <f t="shared" si="12"/>
        <v>0.43425567074776666</v>
      </c>
      <c r="G70" s="224">
        <f t="shared" si="12"/>
        <v>9.5691633703675782E-2</v>
      </c>
      <c r="H70" s="224">
        <f t="shared" si="12"/>
        <v>1</v>
      </c>
      <c r="I70" s="182"/>
    </row>
    <row r="71" spans="1:9" x14ac:dyDescent="0.2">
      <c r="A71" s="33" t="s">
        <v>84</v>
      </c>
      <c r="B71" s="221"/>
      <c r="C71" s="224">
        <f t="shared" si="12"/>
        <v>0.22409078434770804</v>
      </c>
      <c r="D71" s="224">
        <f t="shared" si="12"/>
        <v>0.12268857102266326</v>
      </c>
      <c r="E71" s="224">
        <f t="shared" si="12"/>
        <v>8.5182347534608571E-2</v>
      </c>
      <c r="F71" s="224">
        <f t="shared" si="12"/>
        <v>0.44655755860114937</v>
      </c>
      <c r="G71" s="224">
        <f t="shared" si="12"/>
        <v>0.12148073849387085</v>
      </c>
      <c r="H71" s="224">
        <f t="shared" si="12"/>
        <v>1</v>
      </c>
      <c r="I71" s="182"/>
    </row>
    <row r="72" spans="1:9" x14ac:dyDescent="0.2">
      <c r="A72" s="33" t="s">
        <v>85</v>
      </c>
      <c r="B72" s="221"/>
      <c r="C72" s="225">
        <f t="shared" si="12"/>
        <v>0.2007249584001746</v>
      </c>
      <c r="D72" s="225">
        <f t="shared" si="12"/>
        <v>0.29133440799485866</v>
      </c>
      <c r="E72" s="225">
        <f t="shared" si="12"/>
        <v>7.1194174767631679E-2</v>
      </c>
      <c r="F72" s="225">
        <f t="shared" si="12"/>
        <v>0.36053730404490758</v>
      </c>
      <c r="G72" s="225">
        <f t="shared" si="12"/>
        <v>7.6209154792427292E-2</v>
      </c>
      <c r="H72" s="225">
        <f t="shared" si="12"/>
        <v>1</v>
      </c>
      <c r="I72" s="182"/>
    </row>
    <row r="73" spans="1:9" x14ac:dyDescent="0.2">
      <c r="A73" s="33" t="s">
        <v>172</v>
      </c>
      <c r="B73" s="221"/>
      <c r="C73" s="224">
        <f t="shared" si="12"/>
        <v>0.27147123264441064</v>
      </c>
      <c r="D73" s="224">
        <f t="shared" si="12"/>
        <v>0.13067879613852118</v>
      </c>
      <c r="E73" s="224">
        <f t="shared" si="12"/>
        <v>8.4947055122277196E-2</v>
      </c>
      <c r="F73" s="224">
        <f t="shared" si="12"/>
        <v>0.43478655132141775</v>
      </c>
      <c r="G73" s="224">
        <f t="shared" si="12"/>
        <v>7.8116364773373345E-2</v>
      </c>
      <c r="H73" s="224">
        <f t="shared" si="12"/>
        <v>1</v>
      </c>
      <c r="I73" s="182"/>
    </row>
    <row r="74" spans="1:9" x14ac:dyDescent="0.2">
      <c r="A74" s="33"/>
      <c r="B74" s="182"/>
      <c r="C74" s="224"/>
      <c r="D74" s="224"/>
      <c r="E74" s="224"/>
      <c r="F74" s="224"/>
      <c r="G74" s="224"/>
      <c r="H74" s="224"/>
      <c r="I74" s="182"/>
    </row>
    <row r="75" spans="1:9" x14ac:dyDescent="0.2">
      <c r="A75" s="33"/>
      <c r="B75" s="221"/>
      <c r="C75" s="224"/>
      <c r="D75" s="224"/>
      <c r="E75" s="224"/>
      <c r="F75" s="224"/>
      <c r="G75" s="224"/>
      <c r="H75" s="224"/>
      <c r="I75" s="182"/>
    </row>
    <row r="76" spans="1:9" x14ac:dyDescent="0.2">
      <c r="A76" s="33" t="s">
        <v>86</v>
      </c>
      <c r="B76" s="221"/>
      <c r="C76" s="224">
        <f t="shared" ref="C76:H78" si="13">C49/$H49</f>
        <v>0.22705748413152568</v>
      </c>
      <c r="D76" s="224">
        <f t="shared" si="13"/>
        <v>7.9611144549269999E-2</v>
      </c>
      <c r="E76" s="224">
        <f t="shared" si="13"/>
        <v>8.5082817288734139E-2</v>
      </c>
      <c r="F76" s="224">
        <f t="shared" si="13"/>
        <v>0.50125998127374916</v>
      </c>
      <c r="G76" s="224">
        <f t="shared" si="13"/>
        <v>0.10698857275672095</v>
      </c>
      <c r="H76" s="224">
        <f t="shared" si="13"/>
        <v>1</v>
      </c>
      <c r="I76" s="182"/>
    </row>
    <row r="77" spans="1:9" x14ac:dyDescent="0.2">
      <c r="A77" s="33" t="s">
        <v>87</v>
      </c>
      <c r="B77" s="221"/>
      <c r="C77" s="225">
        <f t="shared" si="13"/>
        <v>0.21178386955685638</v>
      </c>
      <c r="D77" s="225">
        <f t="shared" si="13"/>
        <v>0.26900207066596321</v>
      </c>
      <c r="E77" s="225">
        <f t="shared" si="13"/>
        <v>7.6830118863581515E-2</v>
      </c>
      <c r="F77" s="225">
        <f t="shared" si="13"/>
        <v>0.35253731063773308</v>
      </c>
      <c r="G77" s="225">
        <f t="shared" si="13"/>
        <v>8.9846630275865841E-2</v>
      </c>
      <c r="H77" s="225">
        <f t="shared" si="13"/>
        <v>1</v>
      </c>
      <c r="I77" s="182"/>
    </row>
    <row r="78" spans="1:9" x14ac:dyDescent="0.2">
      <c r="A78" s="33" t="s">
        <v>173</v>
      </c>
      <c r="B78" s="221"/>
      <c r="C78" s="224">
        <f t="shared" si="13"/>
        <v>0.21915802638240411</v>
      </c>
      <c r="D78" s="224">
        <f t="shared" si="13"/>
        <v>0.17756344075340674</v>
      </c>
      <c r="E78" s="224">
        <f t="shared" si="13"/>
        <v>8.0814551764091816E-2</v>
      </c>
      <c r="F78" s="224">
        <f t="shared" si="13"/>
        <v>0.42434115847104836</v>
      </c>
      <c r="G78" s="224">
        <f t="shared" si="13"/>
        <v>9.8122822629048936E-2</v>
      </c>
      <c r="H78" s="224">
        <f t="shared" si="13"/>
        <v>1</v>
      </c>
      <c r="I78" s="182"/>
    </row>
    <row r="79" spans="1:9" x14ac:dyDescent="0.2">
      <c r="A79" s="33"/>
      <c r="B79" s="221"/>
      <c r="C79" s="224"/>
      <c r="D79" s="224"/>
      <c r="E79" s="224"/>
      <c r="F79" s="224"/>
      <c r="G79" s="224"/>
      <c r="H79" s="224"/>
      <c r="I79" s="182"/>
    </row>
    <row r="80" spans="1:9" ht="13.5" thickBot="1" x14ac:dyDescent="0.25">
      <c r="A80" s="33" t="s">
        <v>208</v>
      </c>
      <c r="B80" s="221"/>
      <c r="C80" s="226">
        <f t="shared" ref="C80:H80" si="14">C53/$H53</f>
        <v>0.24666311034966401</v>
      </c>
      <c r="D80" s="226">
        <f t="shared" si="14"/>
        <v>0.11723131069535769</v>
      </c>
      <c r="E80" s="226">
        <f t="shared" si="14"/>
        <v>8.4071664703074908E-2</v>
      </c>
      <c r="F80" s="226">
        <f t="shared" si="14"/>
        <v>0.43173660773835815</v>
      </c>
      <c r="G80" s="226">
        <f t="shared" si="14"/>
        <v>0.12029730651354532</v>
      </c>
      <c r="H80" s="226">
        <f t="shared" si="14"/>
        <v>1</v>
      </c>
      <c r="I80" s="182"/>
    </row>
    <row r="81" spans="1:9" ht="13.5" thickTop="1" x14ac:dyDescent="0.2">
      <c r="A81" s="33"/>
      <c r="B81" s="33"/>
      <c r="C81" s="33"/>
      <c r="D81" s="33"/>
      <c r="E81" s="33"/>
      <c r="F81" s="33"/>
      <c r="G81" s="33"/>
      <c r="H81" s="33"/>
      <c r="I81" s="182"/>
    </row>
    <row r="82" spans="1:9" x14ac:dyDescent="0.2">
      <c r="A82" s="33"/>
      <c r="B82" s="33"/>
      <c r="C82" s="33"/>
      <c r="D82" s="33"/>
      <c r="E82" s="33"/>
      <c r="F82" s="33"/>
      <c r="G82" s="33"/>
      <c r="H82" s="33"/>
      <c r="I82" s="182"/>
    </row>
  </sheetData>
  <phoneticPr fontId="7"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J82"/>
  <sheetViews>
    <sheetView zoomScaleNormal="100" workbookViewId="0">
      <selection activeCell="N30" sqref="N30"/>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bestFit="1" customWidth="1"/>
  </cols>
  <sheetData>
    <row r="1" spans="1:10" x14ac:dyDescent="0.2">
      <c r="A1" s="36" t="s">
        <v>200</v>
      </c>
      <c r="B1" s="36"/>
      <c r="C1" s="22"/>
      <c r="D1" s="22"/>
      <c r="E1" s="22"/>
      <c r="F1" s="22"/>
      <c r="G1" s="22"/>
      <c r="H1" s="22"/>
      <c r="I1" s="22"/>
    </row>
    <row r="2" spans="1:10" x14ac:dyDescent="0.2">
      <c r="A2" s="36" t="s">
        <v>575</v>
      </c>
      <c r="B2" s="36"/>
      <c r="C2" s="22"/>
      <c r="D2" s="22"/>
      <c r="E2" s="22"/>
      <c r="F2" s="22"/>
      <c r="G2" s="22"/>
      <c r="H2" s="22"/>
      <c r="I2" s="22"/>
    </row>
    <row r="3" spans="1:10" ht="22.5" x14ac:dyDescent="0.2">
      <c r="A3" s="20" t="s">
        <v>245</v>
      </c>
      <c r="B3" s="201" t="s">
        <v>583</v>
      </c>
      <c r="C3" s="202" t="s">
        <v>576</v>
      </c>
      <c r="D3" s="202" t="s">
        <v>577</v>
      </c>
      <c r="E3" s="202" t="s">
        <v>578</v>
      </c>
      <c r="F3" s="202" t="s">
        <v>579</v>
      </c>
      <c r="G3" s="202" t="s">
        <v>580</v>
      </c>
      <c r="H3" s="202" t="s">
        <v>581</v>
      </c>
      <c r="I3" s="202" t="s">
        <v>582</v>
      </c>
    </row>
    <row r="4" spans="1:10" x14ac:dyDescent="0.2">
      <c r="A4" s="33" t="s">
        <v>102</v>
      </c>
      <c r="B4" s="227">
        <v>35547</v>
      </c>
      <c r="C4" s="227">
        <v>79319651.859999999</v>
      </c>
      <c r="D4" s="227">
        <v>21381210.050000001</v>
      </c>
      <c r="E4" s="227">
        <v>25211222.41</v>
      </c>
      <c r="F4" s="227">
        <v>124673256.98999999</v>
      </c>
      <c r="G4" s="227">
        <v>34163930.57</v>
      </c>
      <c r="H4" s="214">
        <v>284749271.88</v>
      </c>
      <c r="I4" s="214">
        <f t="shared" ref="I4:I10" si="0">H4/B4</f>
        <v>8010.5007983796104</v>
      </c>
      <c r="J4" s="218"/>
    </row>
    <row r="5" spans="1:10" x14ac:dyDescent="0.2">
      <c r="A5" s="33" t="s">
        <v>76</v>
      </c>
      <c r="B5" s="227">
        <v>17831</v>
      </c>
      <c r="C5" s="227">
        <v>38359120.32</v>
      </c>
      <c r="D5" s="227">
        <v>11990848.800000001</v>
      </c>
      <c r="E5" s="227">
        <v>13553791.050000001</v>
      </c>
      <c r="F5" s="227">
        <v>66427747.689999998</v>
      </c>
      <c r="G5" s="227">
        <v>31280570.989999998</v>
      </c>
      <c r="H5" s="214">
        <v>161612078.84999999</v>
      </c>
      <c r="I5" s="214">
        <f t="shared" si="0"/>
        <v>9063.5454461331392</v>
      </c>
      <c r="J5" s="218"/>
    </row>
    <row r="6" spans="1:10" x14ac:dyDescent="0.2">
      <c r="A6" s="33" t="s">
        <v>77</v>
      </c>
      <c r="B6" s="227">
        <v>10574</v>
      </c>
      <c r="C6" s="227">
        <v>20690184.170000002</v>
      </c>
      <c r="D6" s="227">
        <v>12227678.5</v>
      </c>
      <c r="E6" s="227">
        <v>7938749.0899999999</v>
      </c>
      <c r="F6" s="227">
        <v>39760033.780000001</v>
      </c>
      <c r="G6" s="227">
        <v>17536994.670000002</v>
      </c>
      <c r="H6" s="214">
        <v>98153640.210000008</v>
      </c>
      <c r="I6" s="214">
        <f t="shared" si="0"/>
        <v>9282.5458870815219</v>
      </c>
      <c r="J6" s="218"/>
    </row>
    <row r="7" spans="1:10" x14ac:dyDescent="0.2">
      <c r="A7" s="33" t="s">
        <v>78</v>
      </c>
      <c r="B7" s="227">
        <v>15113</v>
      </c>
      <c r="C7" s="227">
        <v>29755431.949999999</v>
      </c>
      <c r="D7" s="227">
        <v>13412603.23</v>
      </c>
      <c r="E7" s="227">
        <v>11356978.720000001</v>
      </c>
      <c r="F7" s="227">
        <v>57493853.759999998</v>
      </c>
      <c r="G7" s="227">
        <v>26289052.609999999</v>
      </c>
      <c r="H7" s="214">
        <v>138307920.26999998</v>
      </c>
      <c r="I7" s="214">
        <f t="shared" si="0"/>
        <v>9151.5860696089439</v>
      </c>
      <c r="J7" s="218"/>
    </row>
    <row r="8" spans="1:10" x14ac:dyDescent="0.2">
      <c r="A8" s="33" t="s">
        <v>79</v>
      </c>
      <c r="B8" s="227">
        <v>5509</v>
      </c>
      <c r="C8" s="227">
        <v>13814735.630000001</v>
      </c>
      <c r="D8" s="227">
        <v>10888889.73</v>
      </c>
      <c r="E8" s="227">
        <v>4803764.0999999996</v>
      </c>
      <c r="F8" s="227">
        <v>22490248.710000001</v>
      </c>
      <c r="G8" s="227">
        <v>9525331.1699999999</v>
      </c>
      <c r="H8" s="214">
        <v>61522969.340000004</v>
      </c>
      <c r="I8" s="214">
        <f t="shared" si="0"/>
        <v>11167.71997458704</v>
      </c>
      <c r="J8" s="218"/>
    </row>
    <row r="9" spans="1:10" x14ac:dyDescent="0.2">
      <c r="A9" s="33" t="s">
        <v>80</v>
      </c>
      <c r="B9" s="228">
        <v>1723</v>
      </c>
      <c r="C9" s="228">
        <v>4332696.8899999997</v>
      </c>
      <c r="D9" s="228">
        <v>2196822.54</v>
      </c>
      <c r="E9" s="228">
        <v>1379929.01</v>
      </c>
      <c r="F9" s="228">
        <v>6355628.1399999997</v>
      </c>
      <c r="G9" s="228">
        <v>3033312.75</v>
      </c>
      <c r="H9" s="220">
        <v>17298389.329999998</v>
      </c>
      <c r="I9" s="220">
        <f t="shared" si="0"/>
        <v>10039.692008125361</v>
      </c>
      <c r="J9" s="218"/>
    </row>
    <row r="10" spans="1:10" x14ac:dyDescent="0.2">
      <c r="A10" s="33" t="s">
        <v>171</v>
      </c>
      <c r="B10" s="214">
        <f>SUM(B4:B9)</f>
        <v>86297</v>
      </c>
      <c r="C10" s="229">
        <v>186271820.81999999</v>
      </c>
      <c r="D10" s="229">
        <v>72098052.850000009</v>
      </c>
      <c r="E10" s="229">
        <v>64244434.379999995</v>
      </c>
      <c r="F10" s="229">
        <v>317200769.06999999</v>
      </c>
      <c r="G10" s="229">
        <v>121829192.76000001</v>
      </c>
      <c r="H10" s="229">
        <v>761644269.88000011</v>
      </c>
      <c r="I10" s="214">
        <f t="shared" si="0"/>
        <v>8825.8487534908527</v>
      </c>
      <c r="J10" s="218"/>
    </row>
    <row r="11" spans="1:10" x14ac:dyDescent="0.2">
      <c r="A11" s="33"/>
      <c r="B11" s="214"/>
      <c r="C11" s="214"/>
      <c r="D11" s="214"/>
      <c r="E11" s="214"/>
      <c r="F11" s="214"/>
      <c r="G11" s="214"/>
      <c r="H11" s="214"/>
      <c r="I11" s="214"/>
    </row>
    <row r="12" spans="1:10" x14ac:dyDescent="0.2">
      <c r="A12" s="33"/>
      <c r="B12" s="214"/>
      <c r="C12" s="214"/>
      <c r="D12" s="214"/>
      <c r="E12" s="214"/>
      <c r="F12" s="214"/>
      <c r="G12" s="214"/>
      <c r="H12" s="214"/>
      <c r="I12" s="214"/>
    </row>
    <row r="13" spans="1:10" x14ac:dyDescent="0.2">
      <c r="A13" s="33" t="s">
        <v>81</v>
      </c>
      <c r="B13" s="227">
        <v>22695</v>
      </c>
      <c r="C13" s="227">
        <v>59285051.359999999</v>
      </c>
      <c r="D13" s="227">
        <v>20466534.800000001</v>
      </c>
      <c r="E13" s="227">
        <v>16593144.52</v>
      </c>
      <c r="F13" s="227">
        <v>85471529.109999999</v>
      </c>
      <c r="G13" s="227">
        <v>12785503.050000001</v>
      </c>
      <c r="H13" s="214">
        <v>194601762.84</v>
      </c>
      <c r="I13" s="214">
        <f t="shared" ref="I13:I18" si="1">H13/B13</f>
        <v>8574.6535730337073</v>
      </c>
    </row>
    <row r="14" spans="1:10" x14ac:dyDescent="0.2">
      <c r="A14" s="33" t="s">
        <v>82</v>
      </c>
      <c r="B14" s="227">
        <v>9003</v>
      </c>
      <c r="C14" s="227">
        <v>19415300.41</v>
      </c>
      <c r="D14" s="227">
        <v>13517842.27</v>
      </c>
      <c r="E14" s="227">
        <v>7061162.54</v>
      </c>
      <c r="F14" s="227">
        <v>36352381.859999999</v>
      </c>
      <c r="G14" s="227">
        <v>6045809.0300000003</v>
      </c>
      <c r="H14" s="214">
        <v>82392496.109999999</v>
      </c>
      <c r="I14" s="214">
        <f t="shared" si="1"/>
        <v>9151.6712329223592</v>
      </c>
    </row>
    <row r="15" spans="1:10" x14ac:dyDescent="0.2">
      <c r="A15" s="33" t="s">
        <v>83</v>
      </c>
      <c r="B15" s="227">
        <v>4976</v>
      </c>
      <c r="C15" s="227">
        <v>13888612.970000001</v>
      </c>
      <c r="D15" s="227">
        <v>6253711.9699999997</v>
      </c>
      <c r="E15" s="227">
        <v>4413633.17</v>
      </c>
      <c r="F15" s="227">
        <v>22079096.059999999</v>
      </c>
      <c r="G15" s="227">
        <v>4570245.17</v>
      </c>
      <c r="H15" s="214">
        <v>51205299.340000004</v>
      </c>
      <c r="I15" s="214">
        <f t="shared" si="1"/>
        <v>10290.454047427653</v>
      </c>
    </row>
    <row r="16" spans="1:10" x14ac:dyDescent="0.2">
      <c r="A16" s="33" t="s">
        <v>84</v>
      </c>
      <c r="B16" s="227">
        <v>5244</v>
      </c>
      <c r="C16" s="227">
        <v>14588433.859999999</v>
      </c>
      <c r="D16" s="227">
        <v>7825666.9299999997</v>
      </c>
      <c r="E16" s="227">
        <v>5423768.9100000001</v>
      </c>
      <c r="F16" s="227">
        <v>27541719.870000001</v>
      </c>
      <c r="G16" s="227">
        <v>7430615.9199999999</v>
      </c>
      <c r="H16" s="214">
        <v>62810205.490000002</v>
      </c>
      <c r="I16" s="214">
        <f t="shared" si="1"/>
        <v>11977.537278794813</v>
      </c>
    </row>
    <row r="17" spans="1:9" x14ac:dyDescent="0.2">
      <c r="A17" s="33" t="s">
        <v>85</v>
      </c>
      <c r="B17" s="228">
        <v>1341</v>
      </c>
      <c r="C17" s="228">
        <v>5505585.2199999997</v>
      </c>
      <c r="D17" s="228">
        <v>7606977.4299999997</v>
      </c>
      <c r="E17" s="228">
        <v>1882347.11</v>
      </c>
      <c r="F17" s="228">
        <v>9588788.0800000001</v>
      </c>
      <c r="G17" s="228">
        <v>1999826.15</v>
      </c>
      <c r="H17" s="220">
        <v>26583523.989999995</v>
      </c>
      <c r="I17" s="220">
        <f t="shared" si="1"/>
        <v>19823.656964951526</v>
      </c>
    </row>
    <row r="18" spans="1:9" x14ac:dyDescent="0.2">
      <c r="A18" s="33" t="s">
        <v>172</v>
      </c>
      <c r="B18" s="214">
        <f>SUM(B13:B17)</f>
        <v>43259</v>
      </c>
      <c r="C18" s="229">
        <v>112682983.81999999</v>
      </c>
      <c r="D18" s="229">
        <v>55670733.399999999</v>
      </c>
      <c r="E18" s="229">
        <v>35374056.25</v>
      </c>
      <c r="F18" s="229">
        <v>181033514.98000002</v>
      </c>
      <c r="G18" s="229">
        <v>32831999.32</v>
      </c>
      <c r="H18" s="229">
        <v>417593287.76999998</v>
      </c>
      <c r="I18" s="214">
        <f t="shared" si="1"/>
        <v>9653.32734852863</v>
      </c>
    </row>
    <row r="19" spans="1:9" x14ac:dyDescent="0.2">
      <c r="A19" s="33"/>
      <c r="B19" s="214"/>
      <c r="C19" s="214"/>
      <c r="D19" s="214"/>
      <c r="E19" s="214"/>
      <c r="F19" s="214"/>
      <c r="G19" s="214"/>
      <c r="H19" s="214"/>
      <c r="I19" s="214"/>
    </row>
    <row r="20" spans="1:9" x14ac:dyDescent="0.2">
      <c r="A20" s="33"/>
      <c r="B20" s="214"/>
      <c r="C20" s="214"/>
      <c r="D20" s="214"/>
      <c r="E20" s="214"/>
      <c r="F20" s="214"/>
      <c r="G20" s="214"/>
      <c r="H20" s="214"/>
      <c r="I20" s="214"/>
    </row>
    <row r="21" spans="1:9" x14ac:dyDescent="0.2">
      <c r="A21" s="33" t="s">
        <v>86</v>
      </c>
      <c r="B21" s="227">
        <v>10509</v>
      </c>
      <c r="C21" s="227">
        <v>18213368.539999999</v>
      </c>
      <c r="D21" s="227">
        <v>7170682.0199999996</v>
      </c>
      <c r="E21" s="227">
        <v>6961336.3099999996</v>
      </c>
      <c r="F21" s="227">
        <v>42232338.829999998</v>
      </c>
      <c r="G21" s="227">
        <v>10104749.119999999</v>
      </c>
      <c r="H21" s="214">
        <v>84682474.819999993</v>
      </c>
      <c r="I21" s="214">
        <f>H21/B21</f>
        <v>8058.0906670472923</v>
      </c>
    </row>
    <row r="22" spans="1:9" x14ac:dyDescent="0.2">
      <c r="A22" s="33" t="s">
        <v>87</v>
      </c>
      <c r="B22" s="228">
        <v>6954</v>
      </c>
      <c r="C22" s="228">
        <v>19299657.75</v>
      </c>
      <c r="D22" s="228">
        <v>23443064</v>
      </c>
      <c r="E22" s="228">
        <v>6885544.2599999998</v>
      </c>
      <c r="F22" s="228">
        <v>32377819.41</v>
      </c>
      <c r="G22" s="228">
        <v>9836617.5399999991</v>
      </c>
      <c r="H22" s="220">
        <v>91842702.960000008</v>
      </c>
      <c r="I22" s="220">
        <f>H22/B22</f>
        <v>13207.176151855048</v>
      </c>
    </row>
    <row r="23" spans="1:9" x14ac:dyDescent="0.2">
      <c r="A23" s="33" t="s">
        <v>173</v>
      </c>
      <c r="B23" s="221">
        <f>SUM(B21:B22)</f>
        <v>17463</v>
      </c>
      <c r="C23" s="221">
        <v>37513026.289999999</v>
      </c>
      <c r="D23" s="221">
        <v>30613746.02</v>
      </c>
      <c r="E23" s="221">
        <v>13846880.57</v>
      </c>
      <c r="F23" s="221">
        <v>74610158.239999995</v>
      </c>
      <c r="G23" s="221">
        <v>19941366.659999996</v>
      </c>
      <c r="H23" s="221">
        <v>176525177.78</v>
      </c>
      <c r="I23" s="221">
        <f>H23/B23</f>
        <v>10108.525326690718</v>
      </c>
    </row>
    <row r="24" spans="1:9" x14ac:dyDescent="0.2">
      <c r="A24" s="33"/>
      <c r="B24" s="214"/>
      <c r="C24" s="214"/>
      <c r="D24" s="214"/>
      <c r="E24" s="214"/>
      <c r="F24" s="214"/>
      <c r="G24" s="214"/>
      <c r="H24" s="214"/>
      <c r="I24" s="214"/>
    </row>
    <row r="25" spans="1:9" ht="13.5" thickBot="1" x14ac:dyDescent="0.25">
      <c r="A25" s="33" t="s">
        <v>174</v>
      </c>
      <c r="B25" s="192">
        <f t="shared" ref="B25:H25" si="2">B10+B18+B23</f>
        <v>147019</v>
      </c>
      <c r="C25" s="192">
        <f t="shared" si="2"/>
        <v>336467830.93000001</v>
      </c>
      <c r="D25" s="192">
        <f t="shared" si="2"/>
        <v>158382532.27000001</v>
      </c>
      <c r="E25" s="192">
        <f t="shared" si="2"/>
        <v>113465371.19999999</v>
      </c>
      <c r="F25" s="192">
        <f t="shared" si="2"/>
        <v>572844442.28999996</v>
      </c>
      <c r="G25" s="192">
        <f t="shared" si="2"/>
        <v>174602558.74000001</v>
      </c>
      <c r="H25" s="192">
        <f t="shared" si="2"/>
        <v>1355762735.4300001</v>
      </c>
      <c r="I25" s="222">
        <f>H25/B25</f>
        <v>9221.6838329059519</v>
      </c>
    </row>
    <row r="26" spans="1:9" ht="13.5" thickTop="1" x14ac:dyDescent="0.2">
      <c r="A26" s="33"/>
      <c r="B26" s="182"/>
      <c r="C26" s="182"/>
      <c r="D26" s="182"/>
      <c r="E26" s="182"/>
      <c r="F26" s="182"/>
      <c r="G26" s="182"/>
      <c r="H26" s="182"/>
      <c r="I26" s="182"/>
    </row>
    <row r="27" spans="1:9" x14ac:dyDescent="0.2">
      <c r="A27" s="33"/>
      <c r="B27" s="182"/>
      <c r="C27" s="33"/>
      <c r="D27" s="33"/>
      <c r="E27" s="33"/>
      <c r="F27" s="33"/>
      <c r="G27" s="33"/>
      <c r="H27" s="182"/>
      <c r="I27" s="182"/>
    </row>
    <row r="28" spans="1:9" x14ac:dyDescent="0.2">
      <c r="A28" s="36" t="s">
        <v>200</v>
      </c>
      <c r="B28" s="22"/>
      <c r="C28" s="36"/>
      <c r="D28" s="36"/>
      <c r="E28" s="36"/>
      <c r="F28" s="36"/>
      <c r="G28" s="36"/>
      <c r="H28" s="22"/>
      <c r="I28" s="182"/>
    </row>
    <row r="29" spans="1:9" x14ac:dyDescent="0.2">
      <c r="A29" s="36" t="s">
        <v>30</v>
      </c>
      <c r="B29" s="22"/>
      <c r="C29" s="215"/>
      <c r="D29" s="215"/>
      <c r="E29" s="215"/>
      <c r="F29" s="215"/>
      <c r="G29" s="215"/>
      <c r="H29" s="215"/>
      <c r="I29" s="182"/>
    </row>
    <row r="30" spans="1:9" ht="22.5" x14ac:dyDescent="0.2">
      <c r="A30" s="20" t="s">
        <v>245</v>
      </c>
      <c r="B30" s="201" t="s">
        <v>583</v>
      </c>
      <c r="C30" s="202" t="s">
        <v>576</v>
      </c>
      <c r="D30" s="202" t="s">
        <v>577</v>
      </c>
      <c r="E30" s="202" t="s">
        <v>578</v>
      </c>
      <c r="F30" s="202" t="s">
        <v>579</v>
      </c>
      <c r="G30" s="202" t="s">
        <v>580</v>
      </c>
      <c r="H30" s="202" t="s">
        <v>581</v>
      </c>
      <c r="I30" s="194"/>
    </row>
    <row r="31" spans="1:9" x14ac:dyDescent="0.2">
      <c r="A31" s="33"/>
      <c r="B31" s="182"/>
      <c r="C31" s="182"/>
      <c r="D31" s="182"/>
      <c r="E31" s="182"/>
      <c r="F31" s="182"/>
      <c r="G31" s="182"/>
      <c r="H31" s="33"/>
      <c r="I31" s="182"/>
    </row>
    <row r="32" spans="1:9" x14ac:dyDescent="0.2">
      <c r="A32" s="33" t="s">
        <v>102</v>
      </c>
      <c r="B32" s="214">
        <f t="shared" ref="B32:B37" si="3">B4</f>
        <v>35547</v>
      </c>
      <c r="C32" s="182">
        <f t="shared" ref="C32:H38" si="4">C4/$B32</f>
        <v>2231.4021397023657</v>
      </c>
      <c r="D32" s="182">
        <f t="shared" si="4"/>
        <v>601.49126649224968</v>
      </c>
      <c r="E32" s="182">
        <f t="shared" si="4"/>
        <v>709.2362902635947</v>
      </c>
      <c r="F32" s="182">
        <f t="shared" si="4"/>
        <v>3507.2792919233689</v>
      </c>
      <c r="G32" s="182">
        <f t="shared" si="4"/>
        <v>961.09180999803084</v>
      </c>
      <c r="H32" s="182">
        <f t="shared" si="4"/>
        <v>8010.5007983796104</v>
      </c>
      <c r="I32" s="182"/>
    </row>
    <row r="33" spans="1:9" x14ac:dyDescent="0.2">
      <c r="A33" s="33" t="s">
        <v>76</v>
      </c>
      <c r="B33" s="214">
        <f t="shared" si="3"/>
        <v>17831</v>
      </c>
      <c r="C33" s="182">
        <f t="shared" si="4"/>
        <v>2151.2601828276597</v>
      </c>
      <c r="D33" s="182">
        <f t="shared" si="4"/>
        <v>672.47203185463525</v>
      </c>
      <c r="E33" s="182">
        <f t="shared" si="4"/>
        <v>760.12512197857666</v>
      </c>
      <c r="F33" s="182">
        <f t="shared" si="4"/>
        <v>3725.407867758398</v>
      </c>
      <c r="G33" s="182">
        <f t="shared" si="4"/>
        <v>1754.2802417138689</v>
      </c>
      <c r="H33" s="182">
        <f t="shared" si="4"/>
        <v>9063.5454461331392</v>
      </c>
      <c r="I33" s="182"/>
    </row>
    <row r="34" spans="1:9" x14ac:dyDescent="0.2">
      <c r="A34" s="33" t="s">
        <v>77</v>
      </c>
      <c r="B34" s="214">
        <f t="shared" si="3"/>
        <v>10574</v>
      </c>
      <c r="C34" s="182">
        <f t="shared" si="4"/>
        <v>1956.7036287119352</v>
      </c>
      <c r="D34" s="182">
        <f t="shared" si="4"/>
        <v>1156.3910062417249</v>
      </c>
      <c r="E34" s="182">
        <f t="shared" si="4"/>
        <v>750.78012956307919</v>
      </c>
      <c r="F34" s="182">
        <f t="shared" si="4"/>
        <v>3760.1696406279557</v>
      </c>
      <c r="G34" s="182">
        <f t="shared" si="4"/>
        <v>1658.5014819368264</v>
      </c>
      <c r="H34" s="182">
        <f t="shared" si="4"/>
        <v>9282.5458870815219</v>
      </c>
      <c r="I34" s="182"/>
    </row>
    <row r="35" spans="1:9" x14ac:dyDescent="0.2">
      <c r="A35" s="33" t="s">
        <v>78</v>
      </c>
      <c r="B35" s="214">
        <f t="shared" si="3"/>
        <v>15113</v>
      </c>
      <c r="C35" s="182">
        <f t="shared" si="4"/>
        <v>1968.8633593594918</v>
      </c>
      <c r="D35" s="182">
        <f t="shared" si="4"/>
        <v>887.48780718586647</v>
      </c>
      <c r="E35" s="182">
        <f t="shared" si="4"/>
        <v>751.47083438099651</v>
      </c>
      <c r="F35" s="182">
        <f t="shared" si="4"/>
        <v>3804.2647892542841</v>
      </c>
      <c r="G35" s="182">
        <f t="shared" si="4"/>
        <v>1739.4992794283066</v>
      </c>
      <c r="H35" s="182">
        <f t="shared" si="4"/>
        <v>9151.5860696089439</v>
      </c>
      <c r="I35" s="182"/>
    </row>
    <row r="36" spans="1:9" x14ac:dyDescent="0.2">
      <c r="A36" s="33" t="s">
        <v>79</v>
      </c>
      <c r="B36" s="214">
        <f t="shared" si="3"/>
        <v>5509</v>
      </c>
      <c r="C36" s="182">
        <f t="shared" si="4"/>
        <v>2507.6666600108915</v>
      </c>
      <c r="D36" s="182">
        <f t="shared" si="4"/>
        <v>1976.563755672536</v>
      </c>
      <c r="E36" s="182">
        <f t="shared" si="4"/>
        <v>871.98477037574867</v>
      </c>
      <c r="F36" s="182">
        <f t="shared" si="4"/>
        <v>4082.4557469595211</v>
      </c>
      <c r="G36" s="182">
        <f t="shared" si="4"/>
        <v>1729.0490415683428</v>
      </c>
      <c r="H36" s="182">
        <f t="shared" si="4"/>
        <v>11167.71997458704</v>
      </c>
      <c r="I36" s="182"/>
    </row>
    <row r="37" spans="1:9" x14ac:dyDescent="0.2">
      <c r="A37" s="33" t="s">
        <v>80</v>
      </c>
      <c r="B37" s="220">
        <f t="shared" si="3"/>
        <v>1723</v>
      </c>
      <c r="C37" s="183">
        <f t="shared" si="4"/>
        <v>2514.6238479396397</v>
      </c>
      <c r="D37" s="183">
        <f t="shared" si="4"/>
        <v>1274.9985722576901</v>
      </c>
      <c r="E37" s="183">
        <f t="shared" si="4"/>
        <v>800.88741149158443</v>
      </c>
      <c r="F37" s="183">
        <f t="shared" si="4"/>
        <v>3688.6988624492164</v>
      </c>
      <c r="G37" s="183">
        <f t="shared" si="4"/>
        <v>1760.4833139872317</v>
      </c>
      <c r="H37" s="183">
        <f t="shared" si="4"/>
        <v>10039.692008125361</v>
      </c>
      <c r="I37" s="182"/>
    </row>
    <row r="38" spans="1:9" x14ac:dyDescent="0.2">
      <c r="A38" s="33" t="s">
        <v>171</v>
      </c>
      <c r="B38" s="214">
        <f>SUM(B32:B37)</f>
        <v>86297</v>
      </c>
      <c r="C38" s="182">
        <f t="shared" si="4"/>
        <v>2158.4970603844858</v>
      </c>
      <c r="D38" s="182">
        <f t="shared" si="4"/>
        <v>835.46418589290488</v>
      </c>
      <c r="E38" s="182">
        <f t="shared" si="4"/>
        <v>744.45733200458869</v>
      </c>
      <c r="F38" s="182">
        <f t="shared" si="4"/>
        <v>3675.6870930623313</v>
      </c>
      <c r="G38" s="182">
        <f t="shared" si="4"/>
        <v>1411.7430821465405</v>
      </c>
      <c r="H38" s="182">
        <f t="shared" si="4"/>
        <v>8825.8487534908527</v>
      </c>
      <c r="I38" s="182"/>
    </row>
    <row r="39" spans="1:9" x14ac:dyDescent="0.2">
      <c r="A39" s="33"/>
      <c r="B39" s="214"/>
      <c r="C39" s="182"/>
      <c r="D39" s="182"/>
      <c r="E39" s="182"/>
      <c r="F39" s="182"/>
      <c r="G39" s="182"/>
      <c r="H39" s="182"/>
      <c r="I39" s="182"/>
    </row>
    <row r="40" spans="1:9" x14ac:dyDescent="0.2">
      <c r="A40" s="33"/>
      <c r="B40" s="214"/>
      <c r="C40" s="182"/>
      <c r="D40" s="182"/>
      <c r="E40" s="182"/>
      <c r="F40" s="182"/>
      <c r="G40" s="182"/>
      <c r="H40" s="182"/>
      <c r="I40" s="182"/>
    </row>
    <row r="41" spans="1:9" x14ac:dyDescent="0.2">
      <c r="A41" s="33" t="s">
        <v>81</v>
      </c>
      <c r="B41" s="214">
        <f>B13</f>
        <v>22695</v>
      </c>
      <c r="C41" s="182">
        <f t="shared" ref="C41:H46" si="5">C13/$B41</f>
        <v>2612.2516571932142</v>
      </c>
      <c r="D41" s="182">
        <f t="shared" si="5"/>
        <v>901.80809870015423</v>
      </c>
      <c r="E41" s="182">
        <f t="shared" si="5"/>
        <v>731.13657281339499</v>
      </c>
      <c r="F41" s="182">
        <f t="shared" si="5"/>
        <v>3766.0951359330247</v>
      </c>
      <c r="G41" s="182">
        <f t="shared" si="5"/>
        <v>563.36210839391936</v>
      </c>
      <c r="H41" s="182">
        <f t="shared" si="5"/>
        <v>8574.6535730337073</v>
      </c>
      <c r="I41" s="182"/>
    </row>
    <row r="42" spans="1:9" x14ac:dyDescent="0.2">
      <c r="A42" s="33" t="s">
        <v>82</v>
      </c>
      <c r="B42" s="214">
        <f>B14</f>
        <v>9003</v>
      </c>
      <c r="C42" s="182">
        <f t="shared" si="5"/>
        <v>2156.5367555259359</v>
      </c>
      <c r="D42" s="182">
        <f t="shared" si="5"/>
        <v>1501.4819804509607</v>
      </c>
      <c r="E42" s="182">
        <f t="shared" si="5"/>
        <v>784.31217816283458</v>
      </c>
      <c r="F42" s="182">
        <f t="shared" si="5"/>
        <v>4037.8076041319559</v>
      </c>
      <c r="G42" s="182">
        <f t="shared" si="5"/>
        <v>671.53271465067201</v>
      </c>
      <c r="H42" s="182">
        <f t="shared" si="5"/>
        <v>9151.6712329223592</v>
      </c>
      <c r="I42" s="182"/>
    </row>
    <row r="43" spans="1:9" x14ac:dyDescent="0.2">
      <c r="A43" s="33" t="s">
        <v>83</v>
      </c>
      <c r="B43" s="214">
        <f>B15</f>
        <v>4976</v>
      </c>
      <c r="C43" s="182">
        <f t="shared" si="5"/>
        <v>2791.1199698553055</v>
      </c>
      <c r="D43" s="182">
        <f t="shared" si="5"/>
        <v>1256.7749135852089</v>
      </c>
      <c r="E43" s="182">
        <f t="shared" si="5"/>
        <v>886.98415795819938</v>
      </c>
      <c r="F43" s="182">
        <f t="shared" si="5"/>
        <v>4437.1173754019292</v>
      </c>
      <c r="G43" s="182">
        <f t="shared" si="5"/>
        <v>918.45763062700962</v>
      </c>
      <c r="H43" s="182">
        <f t="shared" si="5"/>
        <v>10290.454047427653</v>
      </c>
      <c r="I43" s="182"/>
    </row>
    <row r="44" spans="1:9" x14ac:dyDescent="0.2">
      <c r="A44" s="33" t="s">
        <v>84</v>
      </c>
      <c r="B44" s="214">
        <f>B16</f>
        <v>5244</v>
      </c>
      <c r="C44" s="182">
        <f t="shared" si="5"/>
        <v>2781.9286536994659</v>
      </c>
      <c r="D44" s="182">
        <f t="shared" si="5"/>
        <v>1492.3087204424103</v>
      </c>
      <c r="E44" s="182">
        <f t="shared" si="5"/>
        <v>1034.2808752860412</v>
      </c>
      <c r="F44" s="182">
        <f t="shared" si="5"/>
        <v>5252.04421624714</v>
      </c>
      <c r="G44" s="182">
        <f t="shared" si="5"/>
        <v>1416.9748131197559</v>
      </c>
      <c r="H44" s="182">
        <f t="shared" si="5"/>
        <v>11977.537278794813</v>
      </c>
      <c r="I44" s="182"/>
    </row>
    <row r="45" spans="1:9" x14ac:dyDescent="0.2">
      <c r="A45" s="33" t="s">
        <v>85</v>
      </c>
      <c r="B45" s="220">
        <f>B17</f>
        <v>1341</v>
      </c>
      <c r="C45" s="183">
        <f t="shared" si="5"/>
        <v>4105.5818195376587</v>
      </c>
      <c r="D45" s="183">
        <f t="shared" si="5"/>
        <v>5672.615533184191</v>
      </c>
      <c r="E45" s="183">
        <f t="shared" si="5"/>
        <v>1403.6891200596569</v>
      </c>
      <c r="F45" s="183">
        <f t="shared" si="5"/>
        <v>7150.4758240119318</v>
      </c>
      <c r="G45" s="183">
        <f t="shared" si="5"/>
        <v>1491.2946681580909</v>
      </c>
      <c r="H45" s="183">
        <f t="shared" si="5"/>
        <v>19823.656964951526</v>
      </c>
      <c r="I45" s="182"/>
    </row>
    <row r="46" spans="1:9" x14ac:dyDescent="0.2">
      <c r="A46" s="33" t="s">
        <v>172</v>
      </c>
      <c r="B46" s="214">
        <f>SUM(B41:B45)</f>
        <v>43259</v>
      </c>
      <c r="C46" s="182">
        <f t="shared" si="5"/>
        <v>2604.8448604914583</v>
      </c>
      <c r="D46" s="182">
        <f t="shared" si="5"/>
        <v>1286.9167895698004</v>
      </c>
      <c r="E46" s="182">
        <f t="shared" si="5"/>
        <v>817.72709147229477</v>
      </c>
      <c r="F46" s="182">
        <f t="shared" si="5"/>
        <v>4184.8751700224238</v>
      </c>
      <c r="G46" s="182">
        <f t="shared" si="5"/>
        <v>758.96343697265308</v>
      </c>
      <c r="H46" s="182">
        <f t="shared" si="5"/>
        <v>9653.32734852863</v>
      </c>
      <c r="I46" s="182"/>
    </row>
    <row r="47" spans="1:9" x14ac:dyDescent="0.2">
      <c r="A47" s="33"/>
      <c r="B47" s="214"/>
      <c r="C47" s="182"/>
      <c r="D47" s="182"/>
      <c r="E47" s="182"/>
      <c r="F47" s="182"/>
      <c r="G47" s="182"/>
      <c r="H47" s="182"/>
      <c r="I47" s="182"/>
    </row>
    <row r="48" spans="1:9" x14ac:dyDescent="0.2">
      <c r="A48" s="33"/>
      <c r="B48" s="214"/>
      <c r="C48" s="182"/>
      <c r="D48" s="182"/>
      <c r="E48" s="182"/>
      <c r="F48" s="182"/>
      <c r="G48" s="182"/>
      <c r="H48" s="182"/>
      <c r="I48" s="182"/>
    </row>
    <row r="49" spans="1:9" x14ac:dyDescent="0.2">
      <c r="A49" s="33" t="s">
        <v>86</v>
      </c>
      <c r="B49" s="214">
        <f>B21</f>
        <v>10509</v>
      </c>
      <c r="C49" s="182">
        <f t="shared" ref="C49:H51" si="6">C21/$B49</f>
        <v>1733.1209953373298</v>
      </c>
      <c r="D49" s="182">
        <f t="shared" si="6"/>
        <v>682.33723665429625</v>
      </c>
      <c r="E49" s="182">
        <f t="shared" si="6"/>
        <v>662.41662479779234</v>
      </c>
      <c r="F49" s="182">
        <f t="shared" si="6"/>
        <v>4018.6829222571128</v>
      </c>
      <c r="G49" s="182">
        <f t="shared" si="6"/>
        <v>961.5328880007612</v>
      </c>
      <c r="H49" s="182">
        <f t="shared" si="6"/>
        <v>8058.0906670472923</v>
      </c>
      <c r="I49" s="182"/>
    </row>
    <row r="50" spans="1:9" x14ac:dyDescent="0.2">
      <c r="A50" s="33" t="s">
        <v>87</v>
      </c>
      <c r="B50" s="220">
        <f>B22</f>
        <v>6954</v>
      </c>
      <c r="C50" s="183">
        <f t="shared" si="6"/>
        <v>2775.3318593615186</v>
      </c>
      <c r="D50" s="183">
        <f t="shared" si="6"/>
        <v>3371.162496404947</v>
      </c>
      <c r="E50" s="183">
        <f t="shared" si="6"/>
        <v>990.1559188955996</v>
      </c>
      <c r="F50" s="183">
        <f t="shared" si="6"/>
        <v>4655.999339948231</v>
      </c>
      <c r="G50" s="183">
        <f t="shared" si="6"/>
        <v>1414.5265372447511</v>
      </c>
      <c r="H50" s="183">
        <f t="shared" si="6"/>
        <v>13207.176151855048</v>
      </c>
      <c r="I50" s="182"/>
    </row>
    <row r="51" spans="1:9" x14ac:dyDescent="0.2">
      <c r="A51" s="33" t="s">
        <v>173</v>
      </c>
      <c r="B51" s="221">
        <f>SUM(B49:B50)</f>
        <v>17463</v>
      </c>
      <c r="C51" s="182">
        <f t="shared" si="6"/>
        <v>2148.1432909580253</v>
      </c>
      <c r="D51" s="182">
        <f t="shared" si="6"/>
        <v>1753.0633923151806</v>
      </c>
      <c r="E51" s="182">
        <f t="shared" si="6"/>
        <v>792.92679207467222</v>
      </c>
      <c r="F51" s="182">
        <f t="shared" si="6"/>
        <v>4272.4708377712877</v>
      </c>
      <c r="G51" s="182">
        <f t="shared" si="6"/>
        <v>1141.9210135715512</v>
      </c>
      <c r="H51" s="182">
        <f t="shared" si="6"/>
        <v>10108.525326690718</v>
      </c>
      <c r="I51" s="182"/>
    </row>
    <row r="52" spans="1:9" x14ac:dyDescent="0.2">
      <c r="A52" s="33"/>
      <c r="B52" s="214"/>
      <c r="C52" s="182"/>
      <c r="D52" s="182"/>
      <c r="E52" s="182"/>
      <c r="F52" s="182"/>
      <c r="G52" s="182"/>
      <c r="H52" s="182"/>
      <c r="I52" s="182"/>
    </row>
    <row r="53" spans="1:9" ht="13.5" thickBot="1" x14ac:dyDescent="0.25">
      <c r="A53" s="33" t="s">
        <v>174</v>
      </c>
      <c r="B53" s="192">
        <f>B51+B46+B38</f>
        <v>147019</v>
      </c>
      <c r="C53" s="192">
        <f t="shared" ref="C53:H53" si="7">C25/$B53</f>
        <v>2288.6010034757414</v>
      </c>
      <c r="D53" s="192">
        <f t="shared" si="7"/>
        <v>1077.2929503669595</v>
      </c>
      <c r="E53" s="192">
        <f t="shared" si="7"/>
        <v>771.77352042933217</v>
      </c>
      <c r="F53" s="192">
        <f t="shared" si="7"/>
        <v>3896.3973519749147</v>
      </c>
      <c r="G53" s="192">
        <f t="shared" si="7"/>
        <v>1187.6190066590034</v>
      </c>
      <c r="H53" s="192">
        <f t="shared" si="7"/>
        <v>9221.6838329059519</v>
      </c>
      <c r="I53" s="182"/>
    </row>
    <row r="54" spans="1:9" ht="13.5" thickTop="1" x14ac:dyDescent="0.2">
      <c r="A54" s="33"/>
      <c r="B54" s="182"/>
      <c r="C54" s="182"/>
      <c r="D54" s="182"/>
      <c r="E54" s="182"/>
      <c r="F54" s="182"/>
      <c r="G54" s="182"/>
      <c r="H54" s="182"/>
      <c r="I54" s="182"/>
    </row>
    <row r="55" spans="1:9" x14ac:dyDescent="0.2">
      <c r="A55" s="33"/>
      <c r="B55" s="182"/>
      <c r="C55" s="182"/>
      <c r="D55" s="182"/>
      <c r="E55" s="182"/>
      <c r="F55" s="182"/>
      <c r="G55" s="182"/>
      <c r="H55" s="182"/>
      <c r="I55" s="182"/>
    </row>
    <row r="56" spans="1:9" x14ac:dyDescent="0.2">
      <c r="A56" s="36" t="s">
        <v>200</v>
      </c>
      <c r="B56" s="36"/>
      <c r="C56" s="36"/>
      <c r="D56" s="36"/>
      <c r="E56" s="36"/>
      <c r="F56" s="36"/>
      <c r="G56" s="36"/>
      <c r="H56" s="36"/>
      <c r="I56" s="182"/>
    </row>
    <row r="57" spans="1:9" x14ac:dyDescent="0.2">
      <c r="A57" s="36" t="s">
        <v>31</v>
      </c>
      <c r="B57" s="36"/>
      <c r="H57" s="202"/>
      <c r="I57" s="182"/>
    </row>
    <row r="58" spans="1:9" ht="22.5" x14ac:dyDescent="0.2">
      <c r="A58" s="20" t="s">
        <v>245</v>
      </c>
      <c r="B58" s="201"/>
      <c r="C58" s="202" t="s">
        <v>576</v>
      </c>
      <c r="D58" s="202" t="s">
        <v>577</v>
      </c>
      <c r="E58" s="202" t="s">
        <v>578</v>
      </c>
      <c r="F58" s="202" t="s">
        <v>579</v>
      </c>
      <c r="G58" s="202" t="s">
        <v>580</v>
      </c>
      <c r="H58" s="202"/>
      <c r="I58" s="194"/>
    </row>
    <row r="59" spans="1:9" x14ac:dyDescent="0.2">
      <c r="A59" s="33" t="s">
        <v>102</v>
      </c>
      <c r="B59" s="33"/>
      <c r="C59" s="224">
        <f>C32/$H32</f>
        <v>0.27855963014868446</v>
      </c>
      <c r="D59" s="224">
        <f>D32/$H32</f>
        <v>7.5087848017432471E-2</v>
      </c>
      <c r="E59" s="224">
        <f t="shared" ref="C59:H65" si="8">E32/$H32</f>
        <v>8.8538320900868175E-2</v>
      </c>
      <c r="F59" s="224">
        <f t="shared" si="8"/>
        <v>0.43783520908366086</v>
      </c>
      <c r="G59" s="224">
        <f t="shared" si="8"/>
        <v>0.11997899184935398</v>
      </c>
      <c r="H59" s="224">
        <f t="shared" si="8"/>
        <v>1</v>
      </c>
      <c r="I59" s="182"/>
    </row>
    <row r="60" spans="1:9" x14ac:dyDescent="0.2">
      <c r="A60" s="33" t="s">
        <v>76</v>
      </c>
      <c r="B60" s="33"/>
      <c r="C60" s="224">
        <f t="shared" si="8"/>
        <v>0.23735305302026935</v>
      </c>
      <c r="D60" s="224">
        <f t="shared" si="8"/>
        <v>7.4195251279016647E-2</v>
      </c>
      <c r="E60" s="224">
        <f t="shared" si="8"/>
        <v>8.3866200759535617E-2</v>
      </c>
      <c r="F60" s="224">
        <f t="shared" si="8"/>
        <v>0.41103207237161277</v>
      </c>
      <c r="G60" s="224">
        <f t="shared" si="8"/>
        <v>0.19355342256956554</v>
      </c>
      <c r="H60" s="224">
        <f t="shared" si="8"/>
        <v>1</v>
      </c>
      <c r="I60" s="182"/>
    </row>
    <row r="61" spans="1:9" x14ac:dyDescent="0.2">
      <c r="A61" s="33" t="s">
        <v>77</v>
      </c>
      <c r="B61" s="33"/>
      <c r="C61" s="224">
        <f t="shared" si="8"/>
        <v>0.21079385467246339</v>
      </c>
      <c r="D61" s="224">
        <f t="shared" si="8"/>
        <v>0.12457692321791472</v>
      </c>
      <c r="E61" s="224">
        <f t="shared" si="8"/>
        <v>8.0880842249100707E-2</v>
      </c>
      <c r="F61" s="224">
        <f t="shared" si="8"/>
        <v>0.4050795639869626</v>
      </c>
      <c r="G61" s="224">
        <f t="shared" si="8"/>
        <v>0.17866881587355851</v>
      </c>
      <c r="H61" s="224">
        <f t="shared" si="8"/>
        <v>1</v>
      </c>
      <c r="I61" s="182"/>
    </row>
    <row r="62" spans="1:9" x14ac:dyDescent="0.2">
      <c r="A62" s="33" t="s">
        <v>78</v>
      </c>
      <c r="B62" s="33"/>
      <c r="C62" s="224">
        <f t="shared" si="8"/>
        <v>0.21513903102521148</v>
      </c>
      <c r="D62" s="224">
        <f t="shared" si="8"/>
        <v>9.6976392991929727E-2</v>
      </c>
      <c r="E62" s="224">
        <f t="shared" si="8"/>
        <v>8.2113726371051618E-2</v>
      </c>
      <c r="F62" s="224">
        <f t="shared" si="8"/>
        <v>0.41569458674356802</v>
      </c>
      <c r="G62" s="224">
        <f t="shared" si="8"/>
        <v>0.19007626286823931</v>
      </c>
      <c r="H62" s="224">
        <f t="shared" si="8"/>
        <v>1</v>
      </c>
      <c r="I62" s="182"/>
    </row>
    <row r="63" spans="1:9" x14ac:dyDescent="0.2">
      <c r="A63" s="33" t="s">
        <v>79</v>
      </c>
      <c r="B63" s="33"/>
      <c r="C63" s="224">
        <f t="shared" si="8"/>
        <v>0.22454598304016124</v>
      </c>
      <c r="D63" s="224">
        <f t="shared" si="8"/>
        <v>0.17698901478281606</v>
      </c>
      <c r="E63" s="224">
        <f t="shared" si="8"/>
        <v>7.8080823333680771E-2</v>
      </c>
      <c r="F63" s="224">
        <f t="shared" si="8"/>
        <v>0.36555857025869615</v>
      </c>
      <c r="G63" s="224">
        <f t="shared" si="8"/>
        <v>0.15482560858464572</v>
      </c>
      <c r="H63" s="224">
        <f t="shared" si="8"/>
        <v>1</v>
      </c>
      <c r="I63" s="182"/>
    </row>
    <row r="64" spans="1:9" x14ac:dyDescent="0.2">
      <c r="A64" s="33" t="s">
        <v>80</v>
      </c>
      <c r="B64" s="33"/>
      <c r="C64" s="225">
        <f t="shared" si="8"/>
        <v>0.25046822610738406</v>
      </c>
      <c r="D64" s="225">
        <f t="shared" si="8"/>
        <v>0.12699578545096837</v>
      </c>
      <c r="E64" s="225">
        <f t="shared" si="8"/>
        <v>7.9772109626809987E-2</v>
      </c>
      <c r="F64" s="225">
        <f t="shared" si="8"/>
        <v>0.36741155599831798</v>
      </c>
      <c r="G64" s="225">
        <f t="shared" si="8"/>
        <v>0.17535232281651975</v>
      </c>
      <c r="H64" s="225">
        <f t="shared" si="8"/>
        <v>1</v>
      </c>
      <c r="I64" s="182"/>
    </row>
    <row r="65" spans="1:9" x14ac:dyDescent="0.2">
      <c r="A65" s="33" t="s">
        <v>171</v>
      </c>
      <c r="B65" s="33"/>
      <c r="C65" s="224">
        <f t="shared" si="8"/>
        <v>0.24456538069845624</v>
      </c>
      <c r="D65" s="224">
        <f t="shared" si="8"/>
        <v>9.4661058582321281E-2</v>
      </c>
      <c r="E65" s="224">
        <f t="shared" si="8"/>
        <v>8.4349658916388806E-2</v>
      </c>
      <c r="F65" s="224">
        <f t="shared" si="8"/>
        <v>0.41646839819326176</v>
      </c>
      <c r="G65" s="224">
        <f t="shared" si="8"/>
        <v>0.15995550360957175</v>
      </c>
      <c r="H65" s="224">
        <f t="shared" si="8"/>
        <v>1</v>
      </c>
      <c r="I65" s="182"/>
    </row>
    <row r="66" spans="1:9" x14ac:dyDescent="0.2">
      <c r="A66" s="33"/>
      <c r="B66" s="33"/>
      <c r="C66" s="224"/>
      <c r="D66" s="224"/>
      <c r="E66" s="224"/>
      <c r="F66" s="224"/>
      <c r="G66" s="224"/>
      <c r="H66" s="224"/>
      <c r="I66" s="182"/>
    </row>
    <row r="67" spans="1:9" x14ac:dyDescent="0.2">
      <c r="A67" s="33"/>
      <c r="B67" s="33"/>
      <c r="C67" s="224"/>
      <c r="D67" s="224"/>
      <c r="E67" s="224"/>
      <c r="F67" s="224"/>
      <c r="G67" s="224"/>
      <c r="H67" s="224"/>
      <c r="I67" s="182"/>
    </row>
    <row r="68" spans="1:9" x14ac:dyDescent="0.2">
      <c r="A68" s="33" t="s">
        <v>81</v>
      </c>
      <c r="B68" s="33"/>
      <c r="C68" s="224">
        <f t="shared" ref="C68:H73" si="9">C41/$H41</f>
        <v>0.30464806944602907</v>
      </c>
      <c r="D68" s="224">
        <f t="shared" si="9"/>
        <v>0.10517137409915152</v>
      </c>
      <c r="E68" s="224">
        <f t="shared" si="9"/>
        <v>8.5267185033892787E-2</v>
      </c>
      <c r="F68" s="224">
        <f t="shared" si="9"/>
        <v>0.43921251206893747</v>
      </c>
      <c r="G68" s="224">
        <f t="shared" si="9"/>
        <v>6.5700859351989216E-2</v>
      </c>
      <c r="H68" s="224">
        <f t="shared" si="9"/>
        <v>1</v>
      </c>
      <c r="I68" s="182"/>
    </row>
    <row r="69" spans="1:9" x14ac:dyDescent="0.2">
      <c r="A69" s="33" t="s">
        <v>82</v>
      </c>
      <c r="B69" s="33"/>
      <c r="C69" s="224">
        <f t="shared" si="9"/>
        <v>0.23564403709870807</v>
      </c>
      <c r="D69" s="224">
        <f t="shared" si="9"/>
        <v>0.16406642483500794</v>
      </c>
      <c r="E69" s="224">
        <f t="shared" si="9"/>
        <v>8.5701524694346345E-2</v>
      </c>
      <c r="F69" s="224">
        <f t="shared" si="9"/>
        <v>0.4412098622605985</v>
      </c>
      <c r="G69" s="224">
        <f t="shared" si="9"/>
        <v>7.3378151111339107E-2</v>
      </c>
      <c r="H69" s="224">
        <f t="shared" si="9"/>
        <v>1</v>
      </c>
      <c r="I69" s="182"/>
    </row>
    <row r="70" spans="1:9" x14ac:dyDescent="0.2">
      <c r="A70" s="33" t="s">
        <v>83</v>
      </c>
      <c r="B70" s="33"/>
      <c r="C70" s="224">
        <f t="shared" si="9"/>
        <v>0.27123389862015013</v>
      </c>
      <c r="D70" s="224">
        <f t="shared" si="9"/>
        <v>0.12213017110740318</v>
      </c>
      <c r="E70" s="224">
        <f t="shared" si="9"/>
        <v>8.6194851448748513E-2</v>
      </c>
      <c r="F70" s="224">
        <f t="shared" si="9"/>
        <v>0.4311877158142593</v>
      </c>
      <c r="G70" s="224">
        <f t="shared" si="9"/>
        <v>8.9253363009438855E-2</v>
      </c>
      <c r="H70" s="224">
        <f t="shared" si="9"/>
        <v>1</v>
      </c>
      <c r="I70" s="182"/>
    </row>
    <row r="71" spans="1:9" x14ac:dyDescent="0.2">
      <c r="A71" s="33" t="s">
        <v>84</v>
      </c>
      <c r="B71" s="33"/>
      <c r="C71" s="224">
        <f t="shared" si="9"/>
        <v>0.23226215781641762</v>
      </c>
      <c r="D71" s="224">
        <f t="shared" si="9"/>
        <v>0.12459228351427576</v>
      </c>
      <c r="E71" s="224">
        <f t="shared" si="9"/>
        <v>8.6351714147210004E-2</v>
      </c>
      <c r="F71" s="224">
        <f t="shared" si="9"/>
        <v>0.4384911600772412</v>
      </c>
      <c r="G71" s="224">
        <f t="shared" si="9"/>
        <v>0.1183026844448555</v>
      </c>
      <c r="H71" s="224">
        <f t="shared" si="9"/>
        <v>1</v>
      </c>
      <c r="I71" s="182"/>
    </row>
    <row r="72" spans="1:9" x14ac:dyDescent="0.2">
      <c r="A72" s="33" t="s">
        <v>85</v>
      </c>
      <c r="B72" s="33"/>
      <c r="C72" s="225">
        <f t="shared" si="9"/>
        <v>0.20710516867782663</v>
      </c>
      <c r="D72" s="225">
        <f t="shared" si="9"/>
        <v>0.28615383847760512</v>
      </c>
      <c r="E72" s="225">
        <f t="shared" si="9"/>
        <v>7.0808787830691222E-2</v>
      </c>
      <c r="F72" s="225">
        <f t="shared" si="9"/>
        <v>0.36070417464618476</v>
      </c>
      <c r="G72" s="225">
        <f t="shared" si="9"/>
        <v>7.5228030367692433E-2</v>
      </c>
      <c r="H72" s="225">
        <f t="shared" si="9"/>
        <v>1</v>
      </c>
      <c r="I72" s="182"/>
    </row>
    <row r="73" spans="1:9" x14ac:dyDescent="0.2">
      <c r="A73" s="33" t="s">
        <v>172</v>
      </c>
      <c r="B73" s="33"/>
      <c r="C73" s="224">
        <f t="shared" si="9"/>
        <v>0.26983906858690454</v>
      </c>
      <c r="D73" s="224">
        <f t="shared" si="9"/>
        <v>0.13331328599003259</v>
      </c>
      <c r="E73" s="224">
        <f t="shared" si="9"/>
        <v>8.4709350667252936E-2</v>
      </c>
      <c r="F73" s="224">
        <f t="shared" si="9"/>
        <v>0.43351634301102271</v>
      </c>
      <c r="G73" s="224">
        <f t="shared" si="9"/>
        <v>7.8621951744787255E-2</v>
      </c>
      <c r="H73" s="224">
        <f t="shared" si="9"/>
        <v>1</v>
      </c>
      <c r="I73" s="182"/>
    </row>
    <row r="74" spans="1:9" x14ac:dyDescent="0.2">
      <c r="A74" s="33"/>
      <c r="B74" s="33"/>
      <c r="C74" s="224"/>
      <c r="D74" s="224"/>
      <c r="E74" s="224"/>
      <c r="F74" s="224"/>
      <c r="G74" s="224"/>
      <c r="H74" s="224"/>
      <c r="I74" s="182"/>
    </row>
    <row r="75" spans="1:9" x14ac:dyDescent="0.2">
      <c r="A75" s="33"/>
      <c r="B75" s="33"/>
      <c r="C75" s="224"/>
      <c r="D75" s="224"/>
      <c r="E75" s="224"/>
      <c r="F75" s="224"/>
      <c r="G75" s="224"/>
      <c r="H75" s="224"/>
      <c r="I75" s="182"/>
    </row>
    <row r="76" spans="1:9" x14ac:dyDescent="0.2">
      <c r="A76" s="33" t="s">
        <v>86</v>
      </c>
      <c r="B76" s="33"/>
      <c r="C76" s="224">
        <f t="shared" ref="C76:H78" si="10">C49/$H49</f>
        <v>0.21507836867916422</v>
      </c>
      <c r="D76" s="224">
        <f t="shared" si="10"/>
        <v>8.4677284588598897E-2</v>
      </c>
      <c r="E76" s="224">
        <f t="shared" si="10"/>
        <v>8.2205159034344819E-2</v>
      </c>
      <c r="F76" s="224">
        <f t="shared" si="10"/>
        <v>0.4987140364020835</v>
      </c>
      <c r="G76" s="224">
        <f t="shared" si="10"/>
        <v>0.11932515129580858</v>
      </c>
      <c r="H76" s="224">
        <f t="shared" si="10"/>
        <v>1</v>
      </c>
      <c r="I76" s="182"/>
    </row>
    <row r="77" spans="1:9" x14ac:dyDescent="0.2">
      <c r="A77" s="33" t="s">
        <v>87</v>
      </c>
      <c r="B77" s="33"/>
      <c r="C77" s="225">
        <f t="shared" si="10"/>
        <v>0.21013817241861366</v>
      </c>
      <c r="D77" s="225">
        <f t="shared" si="10"/>
        <v>0.25525233082708915</v>
      </c>
      <c r="E77" s="225">
        <f t="shared" si="10"/>
        <v>7.4971054183791186E-2</v>
      </c>
      <c r="F77" s="225">
        <f t="shared" si="10"/>
        <v>0.35253556751374598</v>
      </c>
      <c r="G77" s="225">
        <f t="shared" si="10"/>
        <v>0.10710287505675997</v>
      </c>
      <c r="H77" s="225">
        <f t="shared" si="10"/>
        <v>1</v>
      </c>
      <c r="I77" s="182"/>
    </row>
    <row r="78" spans="1:9" x14ac:dyDescent="0.2">
      <c r="A78" s="33" t="s">
        <v>173</v>
      </c>
      <c r="B78" s="33"/>
      <c r="C78" s="224">
        <f t="shared" si="10"/>
        <v>0.21250807823432286</v>
      </c>
      <c r="D78" s="224">
        <f t="shared" si="10"/>
        <v>0.17342424692614292</v>
      </c>
      <c r="E78" s="224">
        <f t="shared" si="10"/>
        <v>7.8441391444211458E-2</v>
      </c>
      <c r="F78" s="224">
        <f t="shared" si="10"/>
        <v>0.42266015068391671</v>
      </c>
      <c r="G78" s="224">
        <f t="shared" si="10"/>
        <v>0.11296613271140588</v>
      </c>
      <c r="H78" s="224">
        <f t="shared" si="10"/>
        <v>1</v>
      </c>
      <c r="I78" s="182"/>
    </row>
    <row r="79" spans="1:9" x14ac:dyDescent="0.2">
      <c r="A79" s="33"/>
      <c r="B79" s="33"/>
      <c r="C79" s="224"/>
      <c r="D79" s="224"/>
      <c r="E79" s="224"/>
      <c r="F79" s="224"/>
      <c r="G79" s="224"/>
      <c r="H79" s="224"/>
      <c r="I79" s="182"/>
    </row>
    <row r="80" spans="1:9" ht="13.5" thickBot="1" x14ac:dyDescent="0.25">
      <c r="A80" s="33" t="s">
        <v>208</v>
      </c>
      <c r="B80" s="33"/>
      <c r="C80" s="226">
        <f t="shared" ref="C80:H80" si="11">C53/$H53</f>
        <v>0.24817604300304383</v>
      </c>
      <c r="D80" s="226">
        <f t="shared" si="11"/>
        <v>0.11682171823358654</v>
      </c>
      <c r="E80" s="226">
        <f t="shared" si="11"/>
        <v>8.369117120187905E-2</v>
      </c>
      <c r="F80" s="226">
        <f t="shared" si="11"/>
        <v>0.42252558454360667</v>
      </c>
      <c r="G80" s="226">
        <f t="shared" si="11"/>
        <v>0.12878548301788384</v>
      </c>
      <c r="H80" s="226">
        <f t="shared" si="11"/>
        <v>1</v>
      </c>
      <c r="I80" s="182"/>
    </row>
    <row r="81" spans="1:9" ht="13.5" thickTop="1" x14ac:dyDescent="0.2">
      <c r="A81" s="33"/>
      <c r="B81" s="33"/>
      <c r="C81" s="33"/>
      <c r="D81" s="33"/>
      <c r="E81" s="33"/>
      <c r="F81" s="33"/>
      <c r="G81" s="33"/>
      <c r="H81" s="33"/>
      <c r="I81" s="182"/>
    </row>
    <row r="82" spans="1:9" x14ac:dyDescent="0.2">
      <c r="A82" s="33"/>
      <c r="B82" s="33"/>
      <c r="C82" s="33"/>
      <c r="D82" s="33"/>
      <c r="E82" s="33"/>
      <c r="F82" s="33"/>
      <c r="G82" s="33"/>
      <c r="H82" s="33"/>
      <c r="I82" s="182"/>
    </row>
  </sheetData>
  <phoneticPr fontId="7"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J82"/>
  <sheetViews>
    <sheetView zoomScaleNormal="100" workbookViewId="0"/>
  </sheetViews>
  <sheetFormatPr defaultColWidth="9.140625" defaultRowHeight="12.75" x14ac:dyDescent="0.2"/>
  <cols>
    <col min="1" max="1" width="34.28515625" bestFit="1" customWidth="1"/>
    <col min="2" max="2" width="6.85546875" bestFit="1" customWidth="1"/>
    <col min="3" max="7" width="10.7109375" bestFit="1" customWidth="1"/>
    <col min="8" max="8" width="12" bestFit="1" customWidth="1"/>
    <col min="10" max="10" width="10.28515625" bestFit="1" customWidth="1"/>
  </cols>
  <sheetData>
    <row r="1" spans="1:10" x14ac:dyDescent="0.2">
      <c r="A1" s="36" t="s">
        <v>200</v>
      </c>
      <c r="B1" s="36"/>
      <c r="C1" s="22"/>
      <c r="D1" s="22"/>
      <c r="E1" s="22"/>
      <c r="F1" s="22"/>
      <c r="G1" s="22"/>
      <c r="H1" s="22"/>
      <c r="I1" s="22"/>
    </row>
    <row r="2" spans="1:10" x14ac:dyDescent="0.2">
      <c r="A2" s="36" t="s">
        <v>72</v>
      </c>
      <c r="B2" s="36"/>
      <c r="C2" s="22"/>
      <c r="D2" s="22"/>
      <c r="E2" s="22"/>
      <c r="F2" s="22"/>
      <c r="G2" s="22"/>
      <c r="H2" s="22"/>
      <c r="I2" s="22"/>
    </row>
    <row r="3" spans="1:10" ht="33.75" x14ac:dyDescent="0.2">
      <c r="A3" s="20" t="s">
        <v>245</v>
      </c>
      <c r="B3" s="201" t="s">
        <v>54</v>
      </c>
      <c r="C3" s="202" t="s">
        <v>65</v>
      </c>
      <c r="D3" s="202" t="s">
        <v>66</v>
      </c>
      <c r="E3" s="202" t="s">
        <v>67</v>
      </c>
      <c r="F3" s="202" t="s">
        <v>68</v>
      </c>
      <c r="G3" s="202" t="s">
        <v>69</v>
      </c>
      <c r="H3" s="202" t="s">
        <v>70</v>
      </c>
      <c r="I3" s="202" t="s">
        <v>71</v>
      </c>
    </row>
    <row r="4" spans="1:10" x14ac:dyDescent="0.2">
      <c r="A4" s="33" t="s">
        <v>102</v>
      </c>
      <c r="B4" s="214">
        <v>35880</v>
      </c>
      <c r="C4" s="214">
        <v>80152086.090000004</v>
      </c>
      <c r="D4" s="214">
        <v>18804104.010000002</v>
      </c>
      <c r="E4" s="214">
        <v>23552200.890000001</v>
      </c>
      <c r="F4" s="214">
        <v>115707491.80000001</v>
      </c>
      <c r="G4" s="214">
        <v>31582667.640000001</v>
      </c>
      <c r="H4" s="214">
        <v>269798550.43000001</v>
      </c>
      <c r="I4" s="214">
        <f>H4/B4</f>
        <v>7519.4690755295433</v>
      </c>
      <c r="J4" s="219"/>
    </row>
    <row r="5" spans="1:10" x14ac:dyDescent="0.2">
      <c r="A5" s="33" t="s">
        <v>76</v>
      </c>
      <c r="B5" s="214">
        <v>18007</v>
      </c>
      <c r="C5" s="214">
        <v>36710975.490000002</v>
      </c>
      <c r="D5" s="214">
        <v>10898995.830000002</v>
      </c>
      <c r="E5" s="214">
        <v>12548784.210000001</v>
      </c>
      <c r="F5" s="214">
        <v>61498975.609999992</v>
      </c>
      <c r="G5" s="214">
        <v>31282652.450000003</v>
      </c>
      <c r="H5" s="214">
        <v>152940383.59</v>
      </c>
      <c r="I5" s="214">
        <f t="shared" ref="I5:I10" si="0">H5/B5</f>
        <v>8493.384994168935</v>
      </c>
      <c r="J5" s="219"/>
    </row>
    <row r="6" spans="1:10" x14ac:dyDescent="0.2">
      <c r="A6" s="33" t="s">
        <v>77</v>
      </c>
      <c r="B6" s="214">
        <v>11214</v>
      </c>
      <c r="C6" s="214">
        <v>21309295.140000001</v>
      </c>
      <c r="D6" s="214">
        <v>11754363.58</v>
      </c>
      <c r="E6" s="214">
        <v>7976204.0300000003</v>
      </c>
      <c r="F6" s="214">
        <v>37679761.139999993</v>
      </c>
      <c r="G6" s="214">
        <v>18259465.920000002</v>
      </c>
      <c r="H6" s="214">
        <v>96979089.809999987</v>
      </c>
      <c r="I6" s="214">
        <f t="shared" si="0"/>
        <v>8648.0372578919196</v>
      </c>
      <c r="J6" s="219"/>
    </row>
    <row r="7" spans="1:10" x14ac:dyDescent="0.2">
      <c r="A7" s="33" t="s">
        <v>78</v>
      </c>
      <c r="B7" s="214">
        <v>15199</v>
      </c>
      <c r="C7" s="214">
        <v>28880105.789999995</v>
      </c>
      <c r="D7" s="214">
        <v>11527630.489999998</v>
      </c>
      <c r="E7" s="214">
        <v>10416832.85</v>
      </c>
      <c r="F7" s="214">
        <v>52598646.659999989</v>
      </c>
      <c r="G7" s="214">
        <v>26084624.919999998</v>
      </c>
      <c r="H7" s="214">
        <v>129507840.70999999</v>
      </c>
      <c r="I7" s="214">
        <f t="shared" si="0"/>
        <v>8520.8132581090849</v>
      </c>
      <c r="J7" s="219"/>
    </row>
    <row r="8" spans="1:10" x14ac:dyDescent="0.2">
      <c r="A8" s="33" t="s">
        <v>79</v>
      </c>
      <c r="B8" s="214">
        <v>5522</v>
      </c>
      <c r="C8" s="214">
        <v>13746662.329999998</v>
      </c>
      <c r="D8" s="214">
        <v>9223446.8300000001</v>
      </c>
      <c r="E8" s="214">
        <v>4598243.59</v>
      </c>
      <c r="F8" s="214">
        <v>19833244.079999998</v>
      </c>
      <c r="G8" s="214">
        <v>8974706.7200000007</v>
      </c>
      <c r="H8" s="214">
        <v>56376303.549999997</v>
      </c>
      <c r="I8" s="214">
        <f t="shared" si="0"/>
        <v>10209.399411445129</v>
      </c>
      <c r="J8" s="219"/>
    </row>
    <row r="9" spans="1:10" x14ac:dyDescent="0.2">
      <c r="A9" s="33" t="s">
        <v>80</v>
      </c>
      <c r="B9" s="220">
        <v>1621</v>
      </c>
      <c r="C9" s="220">
        <v>4095261.8</v>
      </c>
      <c r="D9" s="220">
        <v>1935090.51</v>
      </c>
      <c r="E9" s="220">
        <v>1190882.8899999999</v>
      </c>
      <c r="F9" s="220">
        <v>5323735.0199999996</v>
      </c>
      <c r="G9" s="220">
        <v>2547620.52</v>
      </c>
      <c r="H9" s="220">
        <v>15092590.739999998</v>
      </c>
      <c r="I9" s="220">
        <f t="shared" si="0"/>
        <v>9310.6667119062295</v>
      </c>
      <c r="J9" s="219"/>
    </row>
    <row r="10" spans="1:10" x14ac:dyDescent="0.2">
      <c r="A10" s="33" t="s">
        <v>171</v>
      </c>
      <c r="B10" s="214">
        <v>87443</v>
      </c>
      <c r="C10" s="214">
        <v>184894386.64000005</v>
      </c>
      <c r="D10" s="214">
        <v>64143631.249999993</v>
      </c>
      <c r="E10" s="214">
        <v>60283148.460000008</v>
      </c>
      <c r="F10" s="214">
        <v>292641854.30999994</v>
      </c>
      <c r="G10" s="214">
        <v>118731738.17</v>
      </c>
      <c r="H10" s="214">
        <v>720694758.82999992</v>
      </c>
      <c r="I10" s="214">
        <f t="shared" si="0"/>
        <v>8241.8805259426135</v>
      </c>
      <c r="J10" s="219"/>
    </row>
    <row r="11" spans="1:10" x14ac:dyDescent="0.2">
      <c r="A11" s="33"/>
      <c r="B11" s="214"/>
      <c r="C11" s="214"/>
      <c r="D11" s="214"/>
      <c r="E11" s="214"/>
      <c r="F11" s="214"/>
      <c r="G11" s="214"/>
      <c r="H11" s="214"/>
      <c r="I11" s="214"/>
    </row>
    <row r="12" spans="1:10" x14ac:dyDescent="0.2">
      <c r="A12" s="33"/>
      <c r="B12" s="214"/>
      <c r="C12" s="214"/>
      <c r="D12" s="214"/>
      <c r="E12" s="214"/>
      <c r="F12" s="214"/>
      <c r="G12" s="214"/>
      <c r="H12" s="214"/>
      <c r="I12" s="214"/>
    </row>
    <row r="13" spans="1:10" x14ac:dyDescent="0.2">
      <c r="A13" s="33" t="s">
        <v>81</v>
      </c>
      <c r="B13" s="214">
        <v>22784</v>
      </c>
      <c r="C13" s="214">
        <v>58044439.880000003</v>
      </c>
      <c r="D13" s="214">
        <v>18578543.460000001</v>
      </c>
      <c r="E13" s="214">
        <v>16646605.859999999</v>
      </c>
      <c r="F13" s="214">
        <v>80012618.370000005</v>
      </c>
      <c r="G13" s="214">
        <v>16403641.280000001</v>
      </c>
      <c r="H13" s="214">
        <v>189685848.84999999</v>
      </c>
      <c r="I13" s="214">
        <v>8325.3971580933994</v>
      </c>
    </row>
    <row r="14" spans="1:10" x14ac:dyDescent="0.2">
      <c r="A14" s="33" t="s">
        <v>82</v>
      </c>
      <c r="B14" s="214">
        <v>9015</v>
      </c>
      <c r="C14" s="214">
        <v>19829312.969999999</v>
      </c>
      <c r="D14" s="214">
        <v>11326627.770000001</v>
      </c>
      <c r="E14" s="214">
        <v>6993508.9699999988</v>
      </c>
      <c r="F14" s="214">
        <v>33720534.519999996</v>
      </c>
      <c r="G14" s="214">
        <v>5940260.1500000013</v>
      </c>
      <c r="H14" s="214">
        <v>77810244.379999995</v>
      </c>
      <c r="I14" s="214">
        <v>8631.1973799223506</v>
      </c>
    </row>
    <row r="15" spans="1:10" x14ac:dyDescent="0.2">
      <c r="A15" s="33" t="s">
        <v>83</v>
      </c>
      <c r="B15" s="214">
        <v>5035</v>
      </c>
      <c r="C15" s="214">
        <v>13606052.739999996</v>
      </c>
      <c r="D15" s="214">
        <v>5764947.4899999993</v>
      </c>
      <c r="E15" s="214">
        <v>4262354.96</v>
      </c>
      <c r="F15" s="214">
        <v>20276818.630000003</v>
      </c>
      <c r="G15" s="214">
        <v>4123964.72</v>
      </c>
      <c r="H15" s="214">
        <v>48034138.539999999</v>
      </c>
      <c r="I15" s="214">
        <v>9540.0473763654409</v>
      </c>
    </row>
    <row r="16" spans="1:10" x14ac:dyDescent="0.2">
      <c r="A16" s="33" t="s">
        <v>84</v>
      </c>
      <c r="B16" s="214">
        <v>5261</v>
      </c>
      <c r="C16" s="214">
        <v>14300379.809999999</v>
      </c>
      <c r="D16" s="214">
        <v>7394627.2999999998</v>
      </c>
      <c r="E16" s="214">
        <v>5149672.66</v>
      </c>
      <c r="F16" s="214">
        <v>25279682.870000005</v>
      </c>
      <c r="G16" s="214">
        <v>8260508.7799999993</v>
      </c>
      <c r="H16" s="214">
        <v>60384871.420000002</v>
      </c>
      <c r="I16" s="214">
        <v>11477.831480707091</v>
      </c>
    </row>
    <row r="17" spans="1:9" x14ac:dyDescent="0.2">
      <c r="A17" s="33" t="s">
        <v>85</v>
      </c>
      <c r="B17" s="220">
        <v>1470</v>
      </c>
      <c r="C17" s="220">
        <v>5591166.2300000004</v>
      </c>
      <c r="D17" s="220">
        <v>6119645.8000000007</v>
      </c>
      <c r="E17" s="220">
        <v>1975730.05</v>
      </c>
      <c r="F17" s="220">
        <v>9521523.8100000005</v>
      </c>
      <c r="G17" s="220">
        <v>1908927.27</v>
      </c>
      <c r="H17" s="220">
        <v>25116993.16</v>
      </c>
      <c r="I17" s="220">
        <v>17086.389904761905</v>
      </c>
    </row>
    <row r="18" spans="1:9" x14ac:dyDescent="0.2">
      <c r="A18" s="33" t="s">
        <v>172</v>
      </c>
      <c r="B18" s="214">
        <v>43565</v>
      </c>
      <c r="C18" s="214">
        <v>111371351.63</v>
      </c>
      <c r="D18" s="214">
        <v>49184391.820000008</v>
      </c>
      <c r="E18" s="214">
        <v>35027872.5</v>
      </c>
      <c r="F18" s="214">
        <v>168811178.20000002</v>
      </c>
      <c r="G18" s="214">
        <v>36637302.200000003</v>
      </c>
      <c r="H18" s="214">
        <v>401032096.34999996</v>
      </c>
      <c r="I18" s="214">
        <v>9205.3734959256271</v>
      </c>
    </row>
    <row r="19" spans="1:9" x14ac:dyDescent="0.2">
      <c r="A19" s="33"/>
      <c r="B19" s="214"/>
      <c r="C19" s="214"/>
      <c r="D19" s="214"/>
      <c r="E19" s="214"/>
      <c r="F19" s="214"/>
      <c r="G19" s="214"/>
      <c r="H19" s="214"/>
      <c r="I19" s="214"/>
    </row>
    <row r="20" spans="1:9" x14ac:dyDescent="0.2">
      <c r="A20" s="33"/>
      <c r="B20" s="214"/>
      <c r="C20" s="214"/>
      <c r="D20" s="214"/>
      <c r="E20" s="214"/>
      <c r="F20" s="214"/>
      <c r="G20" s="214"/>
      <c r="H20" s="214"/>
      <c r="I20" s="214"/>
    </row>
    <row r="21" spans="1:9" x14ac:dyDescent="0.2">
      <c r="A21" s="33" t="s">
        <v>86</v>
      </c>
      <c r="B21" s="214">
        <v>10667</v>
      </c>
      <c r="C21" s="214">
        <v>18243361.219999995</v>
      </c>
      <c r="D21" s="214">
        <v>6703836.8300000001</v>
      </c>
      <c r="E21" s="214">
        <v>7113744.0600000005</v>
      </c>
      <c r="F21" s="214">
        <v>39250087.950000003</v>
      </c>
      <c r="G21" s="214">
        <v>10424149.369999997</v>
      </c>
      <c r="H21" s="214">
        <v>81735179.430000007</v>
      </c>
      <c r="I21" s="214">
        <v>7662.4336205118598</v>
      </c>
    </row>
    <row r="22" spans="1:9" x14ac:dyDescent="0.2">
      <c r="A22" s="33" t="s">
        <v>87</v>
      </c>
      <c r="B22" s="220">
        <v>7224</v>
      </c>
      <c r="C22" s="220">
        <v>19933071.489999998</v>
      </c>
      <c r="D22" s="220">
        <v>21555105.539999999</v>
      </c>
      <c r="E22" s="220">
        <v>6732257.5999999987</v>
      </c>
      <c r="F22" s="220">
        <v>30104836.170000006</v>
      </c>
      <c r="G22" s="220">
        <v>9287045.0500000007</v>
      </c>
      <c r="H22" s="220">
        <v>87612315.850000009</v>
      </c>
      <c r="I22" s="220">
        <v>12127.950699058694</v>
      </c>
    </row>
    <row r="23" spans="1:9" x14ac:dyDescent="0.2">
      <c r="A23" s="33" t="s">
        <v>173</v>
      </c>
      <c r="B23" s="221">
        <v>17891</v>
      </c>
      <c r="C23" s="214">
        <v>38176432.709999993</v>
      </c>
      <c r="D23" s="214">
        <v>28258942.369999997</v>
      </c>
      <c r="E23" s="214">
        <v>13846001.66</v>
      </c>
      <c r="F23" s="214">
        <v>69354924.120000005</v>
      </c>
      <c r="G23" s="214">
        <v>19711194.419999998</v>
      </c>
      <c r="H23" s="214">
        <v>169347495.28</v>
      </c>
      <c r="I23" s="214">
        <v>9465.5131227991733</v>
      </c>
    </row>
    <row r="24" spans="1:9" x14ac:dyDescent="0.2">
      <c r="A24" s="33"/>
      <c r="B24" s="214"/>
      <c r="C24" s="214"/>
      <c r="D24" s="214"/>
      <c r="E24" s="214"/>
      <c r="F24" s="214"/>
      <c r="G24" s="214"/>
      <c r="H24" s="214"/>
      <c r="I24" s="214"/>
    </row>
    <row r="25" spans="1:9" ht="13.5" thickBot="1" x14ac:dyDescent="0.25">
      <c r="A25" s="33" t="s">
        <v>174</v>
      </c>
      <c r="B25" s="192">
        <f>B10+B18+B23</f>
        <v>148899</v>
      </c>
      <c r="C25" s="192">
        <f t="shared" ref="C25:H25" si="1">C10+C18+C23</f>
        <v>334442170.98000002</v>
      </c>
      <c r="D25" s="192">
        <f t="shared" si="1"/>
        <v>141586965.44</v>
      </c>
      <c r="E25" s="192">
        <f t="shared" si="1"/>
        <v>109157022.62</v>
      </c>
      <c r="F25" s="192">
        <f t="shared" si="1"/>
        <v>530807956.63</v>
      </c>
      <c r="G25" s="192">
        <f t="shared" si="1"/>
        <v>175080234.78999999</v>
      </c>
      <c r="H25" s="192">
        <f t="shared" si="1"/>
        <v>1291074350.4599998</v>
      </c>
      <c r="I25" s="222">
        <f>H25/B25</f>
        <v>8670.8060528277547</v>
      </c>
    </row>
    <row r="26" spans="1:9" ht="13.5" thickTop="1" x14ac:dyDescent="0.2">
      <c r="A26" s="33"/>
      <c r="B26" s="182"/>
      <c r="C26" s="182"/>
      <c r="D26" s="182"/>
      <c r="E26" s="182"/>
      <c r="F26" s="182"/>
      <c r="G26" s="182"/>
      <c r="H26" s="182"/>
      <c r="I26" s="182"/>
    </row>
    <row r="27" spans="1:9" x14ac:dyDescent="0.2">
      <c r="A27" s="33"/>
      <c r="B27" s="182"/>
      <c r="C27" s="33"/>
      <c r="D27" s="33"/>
      <c r="E27" s="33"/>
      <c r="F27" s="33"/>
      <c r="G27" s="33"/>
      <c r="H27" s="182"/>
      <c r="I27" s="182"/>
    </row>
    <row r="28" spans="1:9" x14ac:dyDescent="0.2">
      <c r="A28" s="36" t="s">
        <v>200</v>
      </c>
      <c r="B28" s="22"/>
      <c r="C28" s="36"/>
      <c r="D28" s="36"/>
      <c r="E28" s="36"/>
      <c r="F28" s="36"/>
      <c r="G28" s="36"/>
      <c r="H28" s="22"/>
      <c r="I28" s="182"/>
    </row>
    <row r="29" spans="1:9" x14ac:dyDescent="0.2">
      <c r="A29" s="36" t="s">
        <v>73</v>
      </c>
      <c r="B29" s="22"/>
      <c r="C29" s="223"/>
      <c r="D29" s="223"/>
      <c r="E29" s="223"/>
      <c r="F29" s="223"/>
      <c r="G29" s="223"/>
      <c r="H29" s="223"/>
      <c r="I29" s="182"/>
    </row>
    <row r="30" spans="1:9" ht="33.75" x14ac:dyDescent="0.2">
      <c r="A30" s="20" t="s">
        <v>245</v>
      </c>
      <c r="B30" s="201" t="s">
        <v>54</v>
      </c>
      <c r="C30" s="202" t="s">
        <v>65</v>
      </c>
      <c r="D30" s="202" t="s">
        <v>66</v>
      </c>
      <c r="E30" s="202" t="s">
        <v>67</v>
      </c>
      <c r="F30" s="202" t="s">
        <v>68</v>
      </c>
      <c r="G30" s="202" t="s">
        <v>69</v>
      </c>
      <c r="H30" s="202" t="s">
        <v>70</v>
      </c>
      <c r="I30" s="194"/>
    </row>
    <row r="31" spans="1:9" x14ac:dyDescent="0.2">
      <c r="A31" s="33"/>
      <c r="B31" s="182"/>
      <c r="C31" s="182"/>
      <c r="D31" s="182"/>
      <c r="E31" s="182"/>
      <c r="F31" s="182"/>
      <c r="G31" s="182"/>
      <c r="H31" s="33"/>
      <c r="I31" s="182"/>
    </row>
    <row r="32" spans="1:9" x14ac:dyDescent="0.2">
      <c r="A32" s="33" t="s">
        <v>102</v>
      </c>
      <c r="B32" s="214">
        <v>35880</v>
      </c>
      <c r="C32" s="182">
        <f t="shared" ref="C32:H38" si="2">C4/$B32</f>
        <v>2233.8931463210702</v>
      </c>
      <c r="D32" s="182">
        <f t="shared" si="2"/>
        <v>524.08316638795986</v>
      </c>
      <c r="E32" s="182">
        <f t="shared" si="2"/>
        <v>656.41585535117053</v>
      </c>
      <c r="F32" s="182">
        <f t="shared" si="2"/>
        <v>3224.8464827201788</v>
      </c>
      <c r="G32" s="182">
        <f t="shared" si="2"/>
        <v>880.23042474916394</v>
      </c>
      <c r="H32" s="182">
        <f t="shared" si="2"/>
        <v>7519.4690755295433</v>
      </c>
      <c r="I32" s="182"/>
    </row>
    <row r="33" spans="1:9" x14ac:dyDescent="0.2">
      <c r="A33" s="33" t="s">
        <v>76</v>
      </c>
      <c r="B33" s="214">
        <v>18007</v>
      </c>
      <c r="C33" s="182">
        <f t="shared" si="2"/>
        <v>2038.7058082967735</v>
      </c>
      <c r="D33" s="182">
        <f t="shared" si="2"/>
        <v>605.26438773810196</v>
      </c>
      <c r="E33" s="182">
        <f t="shared" si="2"/>
        <v>696.88366801799305</v>
      </c>
      <c r="F33" s="182">
        <f t="shared" si="2"/>
        <v>3415.2815910479253</v>
      </c>
      <c r="G33" s="182">
        <f t="shared" si="2"/>
        <v>1737.2495390681404</v>
      </c>
      <c r="H33" s="182">
        <f t="shared" si="2"/>
        <v>8493.384994168935</v>
      </c>
      <c r="I33" s="182"/>
    </row>
    <row r="34" spans="1:9" x14ac:dyDescent="0.2">
      <c r="A34" s="33" t="s">
        <v>77</v>
      </c>
      <c r="B34" s="214">
        <v>11214</v>
      </c>
      <c r="C34" s="182">
        <f t="shared" si="2"/>
        <v>1900.2403370786517</v>
      </c>
      <c r="D34" s="182">
        <f t="shared" si="2"/>
        <v>1048.1865150704477</v>
      </c>
      <c r="E34" s="182">
        <f t="shared" si="2"/>
        <v>711.27198412698419</v>
      </c>
      <c r="F34" s="182">
        <f t="shared" si="2"/>
        <v>3360.0643071161044</v>
      </c>
      <c r="G34" s="182">
        <f t="shared" si="2"/>
        <v>1628.2741144997326</v>
      </c>
      <c r="H34" s="182">
        <f t="shared" si="2"/>
        <v>8648.0372578919196</v>
      </c>
      <c r="I34" s="182"/>
    </row>
    <row r="35" spans="1:9" x14ac:dyDescent="0.2">
      <c r="A35" s="33" t="s">
        <v>78</v>
      </c>
      <c r="B35" s="214">
        <v>15199</v>
      </c>
      <c r="C35" s="182">
        <f t="shared" si="2"/>
        <v>1900.1319685505623</v>
      </c>
      <c r="D35" s="182">
        <f t="shared" si="2"/>
        <v>758.44664056845829</v>
      </c>
      <c r="E35" s="182">
        <f t="shared" si="2"/>
        <v>685.3630403316007</v>
      </c>
      <c r="F35" s="182">
        <f t="shared" si="2"/>
        <v>3460.6649555891827</v>
      </c>
      <c r="G35" s="182">
        <f t="shared" si="2"/>
        <v>1716.2066530692807</v>
      </c>
      <c r="H35" s="182">
        <f t="shared" si="2"/>
        <v>8520.8132581090849</v>
      </c>
      <c r="I35" s="182"/>
    </row>
    <row r="36" spans="1:9" x14ac:dyDescent="0.2">
      <c r="A36" s="33" t="s">
        <v>79</v>
      </c>
      <c r="B36" s="214">
        <v>5522</v>
      </c>
      <c r="C36" s="182">
        <f t="shared" si="2"/>
        <v>2489.4354092720027</v>
      </c>
      <c r="D36" s="182">
        <f t="shared" si="2"/>
        <v>1670.3090963419052</v>
      </c>
      <c r="E36" s="182">
        <f t="shared" si="2"/>
        <v>832.71343534951097</v>
      </c>
      <c r="F36" s="182">
        <f t="shared" si="2"/>
        <v>3591.6776675117708</v>
      </c>
      <c r="G36" s="182">
        <f t="shared" si="2"/>
        <v>1625.2638029699385</v>
      </c>
      <c r="H36" s="182">
        <f t="shared" si="2"/>
        <v>10209.399411445129</v>
      </c>
      <c r="I36" s="182"/>
    </row>
    <row r="37" spans="1:9" x14ac:dyDescent="0.2">
      <c r="A37" s="33" t="s">
        <v>80</v>
      </c>
      <c r="B37" s="220">
        <v>1621</v>
      </c>
      <c r="C37" s="183">
        <f t="shared" si="2"/>
        <v>2526.3798889574336</v>
      </c>
      <c r="D37" s="183">
        <f t="shared" si="2"/>
        <v>1193.7634238124615</v>
      </c>
      <c r="E37" s="183">
        <f t="shared" si="2"/>
        <v>734.65940160394814</v>
      </c>
      <c r="F37" s="183">
        <f t="shared" si="2"/>
        <v>3284.2288834053052</v>
      </c>
      <c r="G37" s="183">
        <f t="shared" si="2"/>
        <v>1571.635114127082</v>
      </c>
      <c r="H37" s="183">
        <f t="shared" si="2"/>
        <v>9310.6667119062295</v>
      </c>
      <c r="I37" s="182"/>
    </row>
    <row r="38" spans="1:9" x14ac:dyDescent="0.2">
      <c r="A38" s="33" t="s">
        <v>171</v>
      </c>
      <c r="B38" s="214">
        <v>87443</v>
      </c>
      <c r="C38" s="182">
        <f t="shared" si="2"/>
        <v>2114.4561215877775</v>
      </c>
      <c r="D38" s="182">
        <f t="shared" si="2"/>
        <v>733.54792550575792</v>
      </c>
      <c r="E38" s="182">
        <f t="shared" si="2"/>
        <v>689.39936255617954</v>
      </c>
      <c r="F38" s="182">
        <f t="shared" si="2"/>
        <v>3346.6584439005974</v>
      </c>
      <c r="G38" s="182">
        <f t="shared" si="2"/>
        <v>1357.8186723923013</v>
      </c>
      <c r="H38" s="182">
        <f t="shared" si="2"/>
        <v>8241.8805259426135</v>
      </c>
      <c r="I38" s="182"/>
    </row>
    <row r="39" spans="1:9" x14ac:dyDescent="0.2">
      <c r="A39" s="33"/>
      <c r="B39" s="214"/>
      <c r="C39" s="182"/>
      <c r="D39" s="182"/>
      <c r="E39" s="182"/>
      <c r="F39" s="182"/>
      <c r="G39" s="182"/>
      <c r="H39" s="182"/>
      <c r="I39" s="182"/>
    </row>
    <row r="40" spans="1:9" x14ac:dyDescent="0.2">
      <c r="A40" s="33"/>
      <c r="B40" s="214"/>
      <c r="C40" s="182"/>
      <c r="D40" s="182"/>
      <c r="E40" s="182"/>
      <c r="F40" s="182"/>
      <c r="G40" s="182"/>
      <c r="H40" s="182"/>
      <c r="I40" s="182"/>
    </row>
    <row r="41" spans="1:9" x14ac:dyDescent="0.2">
      <c r="A41" s="33" t="s">
        <v>81</v>
      </c>
      <c r="B41" s="214">
        <v>22784</v>
      </c>
      <c r="C41" s="182">
        <f t="shared" ref="C41:H46" si="3">C13/$B41</f>
        <v>2547.5965537219104</v>
      </c>
      <c r="D41" s="182">
        <f t="shared" si="3"/>
        <v>815.42062236657307</v>
      </c>
      <c r="E41" s="182">
        <f t="shared" si="3"/>
        <v>730.62701281601119</v>
      </c>
      <c r="F41" s="182">
        <f t="shared" si="3"/>
        <v>3511.7897809866577</v>
      </c>
      <c r="G41" s="182">
        <f t="shared" si="3"/>
        <v>719.96318820224724</v>
      </c>
      <c r="H41" s="182">
        <f t="shared" si="3"/>
        <v>8325.3971580933994</v>
      </c>
      <c r="I41" s="182"/>
    </row>
    <row r="42" spans="1:9" x14ac:dyDescent="0.2">
      <c r="A42" s="33" t="s">
        <v>82</v>
      </c>
      <c r="B42" s="214">
        <v>9015</v>
      </c>
      <c r="C42" s="182">
        <f t="shared" si="3"/>
        <v>2199.5910116472546</v>
      </c>
      <c r="D42" s="182">
        <f t="shared" si="3"/>
        <v>1256.4201630615642</v>
      </c>
      <c r="E42" s="182">
        <f t="shared" si="3"/>
        <v>775.76361286744304</v>
      </c>
      <c r="F42" s="182">
        <f t="shared" si="3"/>
        <v>3740.4919046034383</v>
      </c>
      <c r="G42" s="182">
        <f t="shared" si="3"/>
        <v>658.93068774265123</v>
      </c>
      <c r="H42" s="182">
        <f t="shared" si="3"/>
        <v>8631.1973799223506</v>
      </c>
      <c r="I42" s="182"/>
    </row>
    <row r="43" spans="1:9" x14ac:dyDescent="0.2">
      <c r="A43" s="33" t="s">
        <v>83</v>
      </c>
      <c r="B43" s="214">
        <v>5035</v>
      </c>
      <c r="C43" s="182">
        <f t="shared" si="3"/>
        <v>2702.2944865938425</v>
      </c>
      <c r="D43" s="182">
        <f t="shared" si="3"/>
        <v>1144.9746752730882</v>
      </c>
      <c r="E43" s="182">
        <f t="shared" si="3"/>
        <v>846.54517576961268</v>
      </c>
      <c r="F43" s="182">
        <f t="shared" si="3"/>
        <v>4027.1735114200601</v>
      </c>
      <c r="G43" s="182">
        <f t="shared" si="3"/>
        <v>819.05952730883814</v>
      </c>
      <c r="H43" s="182">
        <f t="shared" si="3"/>
        <v>9540.0473763654409</v>
      </c>
      <c r="I43" s="182"/>
    </row>
    <row r="44" spans="1:9" x14ac:dyDescent="0.2">
      <c r="A44" s="33" t="s">
        <v>84</v>
      </c>
      <c r="B44" s="214">
        <v>5261</v>
      </c>
      <c r="C44" s="182">
        <f t="shared" si="3"/>
        <v>2718.1866204143698</v>
      </c>
      <c r="D44" s="182">
        <f t="shared" si="3"/>
        <v>1405.5554647405436</v>
      </c>
      <c r="E44" s="182">
        <f t="shared" si="3"/>
        <v>978.83912944307167</v>
      </c>
      <c r="F44" s="182">
        <f t="shared" si="3"/>
        <v>4805.1098403345377</v>
      </c>
      <c r="G44" s="182">
        <f t="shared" si="3"/>
        <v>1570.1404257745673</v>
      </c>
      <c r="H44" s="182">
        <f t="shared" si="3"/>
        <v>11477.831480707091</v>
      </c>
      <c r="I44" s="182"/>
    </row>
    <row r="45" spans="1:9" x14ac:dyDescent="0.2">
      <c r="A45" s="33" t="s">
        <v>85</v>
      </c>
      <c r="B45" s="220">
        <v>1470</v>
      </c>
      <c r="C45" s="183">
        <f t="shared" si="3"/>
        <v>3803.5144421768709</v>
      </c>
      <c r="D45" s="183">
        <f t="shared" si="3"/>
        <v>4163.0243537414972</v>
      </c>
      <c r="E45" s="183">
        <f t="shared" si="3"/>
        <v>1344.0340476190477</v>
      </c>
      <c r="F45" s="183">
        <f t="shared" si="3"/>
        <v>6477.2270816326536</v>
      </c>
      <c r="G45" s="183">
        <f t="shared" si="3"/>
        <v>1298.5899795918367</v>
      </c>
      <c r="H45" s="183">
        <f t="shared" si="3"/>
        <v>17086.389904761905</v>
      </c>
      <c r="I45" s="182"/>
    </row>
    <row r="46" spans="1:9" x14ac:dyDescent="0.2">
      <c r="A46" s="33" t="s">
        <v>172</v>
      </c>
      <c r="B46" s="214">
        <v>43565</v>
      </c>
      <c r="C46" s="182">
        <f t="shared" si="3"/>
        <v>2556.4409877194994</v>
      </c>
      <c r="D46" s="182">
        <f t="shared" si="3"/>
        <v>1128.9886794445083</v>
      </c>
      <c r="E46" s="182">
        <f t="shared" si="3"/>
        <v>804.03701365775282</v>
      </c>
      <c r="F46" s="182">
        <f t="shared" si="3"/>
        <v>3874.9266199931139</v>
      </c>
      <c r="G46" s="182">
        <f t="shared" si="3"/>
        <v>840.98019511075415</v>
      </c>
      <c r="H46" s="182">
        <f t="shared" si="3"/>
        <v>9205.3734959256271</v>
      </c>
      <c r="I46" s="182"/>
    </row>
    <row r="47" spans="1:9" x14ac:dyDescent="0.2">
      <c r="A47" s="33"/>
      <c r="B47" s="214"/>
      <c r="C47" s="182"/>
      <c r="D47" s="182"/>
      <c r="E47" s="182"/>
      <c r="F47" s="182"/>
      <c r="G47" s="182"/>
      <c r="H47" s="182"/>
      <c r="I47" s="182"/>
    </row>
    <row r="48" spans="1:9" x14ac:dyDescent="0.2">
      <c r="A48" s="33"/>
      <c r="B48" s="214"/>
      <c r="C48" s="182"/>
      <c r="D48" s="182"/>
      <c r="E48" s="182"/>
      <c r="F48" s="182"/>
      <c r="G48" s="182"/>
      <c r="H48" s="182"/>
      <c r="I48" s="182"/>
    </row>
    <row r="49" spans="1:9" x14ac:dyDescent="0.2">
      <c r="A49" s="33" t="s">
        <v>86</v>
      </c>
      <c r="B49" s="214">
        <v>10667</v>
      </c>
      <c r="C49" s="182">
        <f t="shared" ref="C49:H51" si="4">C21/$B49</f>
        <v>1710.2616686978527</v>
      </c>
      <c r="D49" s="182">
        <f t="shared" si="4"/>
        <v>628.4650632792725</v>
      </c>
      <c r="E49" s="182">
        <f t="shared" si="4"/>
        <v>666.89266522921162</v>
      </c>
      <c r="F49" s="182">
        <f t="shared" si="4"/>
        <v>3679.5807584137997</v>
      </c>
      <c r="G49" s="182">
        <f t="shared" si="4"/>
        <v>977.23346489172184</v>
      </c>
      <c r="H49" s="182">
        <f t="shared" si="4"/>
        <v>7662.4336205118598</v>
      </c>
      <c r="I49" s="182"/>
    </row>
    <row r="50" spans="1:9" x14ac:dyDescent="0.2">
      <c r="A50" s="33" t="s">
        <v>87</v>
      </c>
      <c r="B50" s="220">
        <v>7224</v>
      </c>
      <c r="C50" s="183">
        <f t="shared" si="4"/>
        <v>2759.2845362679955</v>
      </c>
      <c r="D50" s="183">
        <f t="shared" si="4"/>
        <v>2983.8185963455148</v>
      </c>
      <c r="E50" s="183">
        <f t="shared" si="4"/>
        <v>931.92934662236974</v>
      </c>
      <c r="F50" s="183">
        <f t="shared" si="4"/>
        <v>4167.3361254152833</v>
      </c>
      <c r="G50" s="183">
        <f t="shared" si="4"/>
        <v>1285.5820944075306</v>
      </c>
      <c r="H50" s="183">
        <f t="shared" si="4"/>
        <v>12127.950699058694</v>
      </c>
      <c r="I50" s="182"/>
    </row>
    <row r="51" spans="1:9" x14ac:dyDescent="0.2">
      <c r="A51" s="33" t="s">
        <v>173</v>
      </c>
      <c r="B51" s="221">
        <v>17891</v>
      </c>
      <c r="C51" s="182">
        <f t="shared" si="4"/>
        <v>2133.8344815829182</v>
      </c>
      <c r="D51" s="182">
        <f t="shared" si="4"/>
        <v>1579.5060292884689</v>
      </c>
      <c r="E51" s="182">
        <f t="shared" si="4"/>
        <v>773.90876194734778</v>
      </c>
      <c r="F51" s="182">
        <f t="shared" si="4"/>
        <v>3876.5258576938127</v>
      </c>
      <c r="G51" s="182">
        <f t="shared" si="4"/>
        <v>1101.7379922866244</v>
      </c>
      <c r="H51" s="182">
        <f t="shared" si="4"/>
        <v>9465.5131227991733</v>
      </c>
      <c r="I51" s="182"/>
    </row>
    <row r="52" spans="1:9" x14ac:dyDescent="0.2">
      <c r="A52" s="33"/>
      <c r="B52" s="214"/>
      <c r="C52" s="182"/>
      <c r="D52" s="182"/>
      <c r="E52" s="182"/>
      <c r="F52" s="182"/>
      <c r="G52" s="182"/>
      <c r="H52" s="182"/>
      <c r="I52" s="182"/>
    </row>
    <row r="53" spans="1:9" ht="13.5" thickBot="1" x14ac:dyDescent="0.25">
      <c r="A53" s="33" t="s">
        <v>174</v>
      </c>
      <c r="B53" s="192">
        <v>148899</v>
      </c>
      <c r="C53" s="192">
        <f t="shared" ref="C53:H53" si="5">C25/$B53</f>
        <v>2246.1008534644288</v>
      </c>
      <c r="D53" s="192">
        <f t="shared" si="5"/>
        <v>950.89265502118883</v>
      </c>
      <c r="E53" s="192">
        <f t="shared" si="5"/>
        <v>733.09439700736743</v>
      </c>
      <c r="F53" s="192">
        <f t="shared" si="5"/>
        <v>3564.8859739152044</v>
      </c>
      <c r="G53" s="192">
        <f t="shared" si="5"/>
        <v>1175.8321734195663</v>
      </c>
      <c r="H53" s="192">
        <f t="shared" si="5"/>
        <v>8670.8060528277547</v>
      </c>
      <c r="I53" s="182"/>
    </row>
    <row r="54" spans="1:9" ht="13.5" thickTop="1" x14ac:dyDescent="0.2">
      <c r="A54" s="33"/>
      <c r="B54" s="182"/>
      <c r="C54" s="182"/>
      <c r="D54" s="182"/>
      <c r="E54" s="182"/>
      <c r="F54" s="182"/>
      <c r="G54" s="182"/>
      <c r="H54" s="182"/>
      <c r="I54" s="182"/>
    </row>
    <row r="55" spans="1:9" x14ac:dyDescent="0.2">
      <c r="A55" s="33"/>
      <c r="B55" s="182"/>
      <c r="C55" s="182"/>
      <c r="D55" s="182"/>
      <c r="E55" s="182"/>
      <c r="F55" s="182"/>
      <c r="G55" s="182"/>
      <c r="H55" s="182"/>
      <c r="I55" s="182"/>
    </row>
    <row r="56" spans="1:9" x14ac:dyDescent="0.2">
      <c r="A56" s="36" t="s">
        <v>200</v>
      </c>
      <c r="B56" s="36"/>
      <c r="C56" s="36"/>
      <c r="D56" s="36"/>
      <c r="E56" s="36"/>
      <c r="F56" s="36"/>
      <c r="G56" s="36"/>
      <c r="H56" s="36"/>
      <c r="I56" s="182"/>
    </row>
    <row r="57" spans="1:9" x14ac:dyDescent="0.2">
      <c r="A57" s="36" t="s">
        <v>74</v>
      </c>
      <c r="B57" s="36"/>
      <c r="H57" s="202"/>
      <c r="I57" s="182"/>
    </row>
    <row r="58" spans="1:9" ht="33.75" x14ac:dyDescent="0.2">
      <c r="A58" s="20" t="s">
        <v>245</v>
      </c>
      <c r="B58" s="20"/>
      <c r="C58" s="202" t="s">
        <v>65</v>
      </c>
      <c r="D58" s="202" t="s">
        <v>66</v>
      </c>
      <c r="E58" s="202" t="s">
        <v>67</v>
      </c>
      <c r="F58" s="202" t="s">
        <v>68</v>
      </c>
      <c r="G58" s="202" t="s">
        <v>69</v>
      </c>
      <c r="H58" s="20"/>
      <c r="I58" s="194"/>
    </row>
    <row r="59" spans="1:9" x14ac:dyDescent="0.2">
      <c r="A59" s="33" t="s">
        <v>102</v>
      </c>
      <c r="B59" s="33"/>
      <c r="C59" s="224">
        <f t="shared" ref="C59:H65" si="6">C32/$H32</f>
        <v>0.29708123324700991</v>
      </c>
      <c r="D59" s="224">
        <f t="shared" si="6"/>
        <v>6.9696831135787646E-2</v>
      </c>
      <c r="E59" s="224">
        <f t="shared" si="6"/>
        <v>8.7295505674374191E-2</v>
      </c>
      <c r="F59" s="224">
        <f t="shared" si="6"/>
        <v>0.42886624711506982</v>
      </c>
      <c r="G59" s="224">
        <f t="shared" si="6"/>
        <v>0.11706018282775842</v>
      </c>
      <c r="H59" s="224">
        <f t="shared" si="6"/>
        <v>1</v>
      </c>
      <c r="I59" s="182"/>
    </row>
    <row r="60" spans="1:9" x14ac:dyDescent="0.2">
      <c r="A60" s="33" t="s">
        <v>76</v>
      </c>
      <c r="B60" s="33"/>
      <c r="C60" s="224">
        <f t="shared" si="6"/>
        <v>0.24003454567247695</v>
      </c>
      <c r="D60" s="224">
        <f t="shared" si="6"/>
        <v>7.1263034485501517E-2</v>
      </c>
      <c r="E60" s="224">
        <f t="shared" si="6"/>
        <v>8.2050168277598728E-2</v>
      </c>
      <c r="F60" s="224">
        <f t="shared" si="6"/>
        <v>0.40211077131116268</v>
      </c>
      <c r="G60" s="224">
        <f t="shared" si="6"/>
        <v>0.20454148025326005</v>
      </c>
      <c r="H60" s="224">
        <f t="shared" si="6"/>
        <v>1</v>
      </c>
      <c r="I60" s="182"/>
    </row>
    <row r="61" spans="1:9" x14ac:dyDescent="0.2">
      <c r="A61" s="33" t="s">
        <v>77</v>
      </c>
      <c r="B61" s="33"/>
      <c r="C61" s="224">
        <f t="shared" si="6"/>
        <v>0.2197308221983611</v>
      </c>
      <c r="D61" s="224">
        <f t="shared" si="6"/>
        <v>0.12120513404517384</v>
      </c>
      <c r="E61" s="224">
        <f t="shared" si="6"/>
        <v>8.2246637348596108E-2</v>
      </c>
      <c r="F61" s="224">
        <f t="shared" si="6"/>
        <v>0.38853490184143441</v>
      </c>
      <c r="G61" s="224">
        <f t="shared" si="6"/>
        <v>0.18828250456643469</v>
      </c>
      <c r="H61" s="224">
        <f t="shared" si="6"/>
        <v>1</v>
      </c>
      <c r="I61" s="182"/>
    </row>
    <row r="62" spans="1:9" x14ac:dyDescent="0.2">
      <c r="A62" s="33" t="s">
        <v>78</v>
      </c>
      <c r="B62" s="33"/>
      <c r="C62" s="224">
        <f t="shared" si="6"/>
        <v>0.22299889822632191</v>
      </c>
      <c r="D62" s="224">
        <f t="shared" si="6"/>
        <v>8.9011062394385887E-2</v>
      </c>
      <c r="E62" s="224">
        <f t="shared" si="6"/>
        <v>8.0433993748114899E-2</v>
      </c>
      <c r="F62" s="224">
        <f t="shared" si="6"/>
        <v>0.40614256535850474</v>
      </c>
      <c r="G62" s="224">
        <f t="shared" si="6"/>
        <v>0.20141348027267253</v>
      </c>
      <c r="H62" s="224">
        <f t="shared" si="6"/>
        <v>1</v>
      </c>
      <c r="I62" s="182"/>
    </row>
    <row r="63" spans="1:9" x14ac:dyDescent="0.2">
      <c r="A63" s="33" t="s">
        <v>79</v>
      </c>
      <c r="B63" s="33"/>
      <c r="C63" s="224">
        <f t="shared" si="6"/>
        <v>0.24383759601776869</v>
      </c>
      <c r="D63" s="224">
        <f t="shared" si="6"/>
        <v>0.16360502993637652</v>
      </c>
      <c r="E63" s="224">
        <f t="shared" si="6"/>
        <v>8.1563410519134669E-2</v>
      </c>
      <c r="F63" s="224">
        <f t="shared" si="6"/>
        <v>0.3518010729882271</v>
      </c>
      <c r="G63" s="224">
        <f t="shared" si="6"/>
        <v>0.15919289053849292</v>
      </c>
      <c r="H63" s="224">
        <f t="shared" si="6"/>
        <v>1</v>
      </c>
      <c r="I63" s="182"/>
    </row>
    <row r="64" spans="1:9" x14ac:dyDescent="0.2">
      <c r="A64" s="33" t="s">
        <v>80</v>
      </c>
      <c r="B64" s="33"/>
      <c r="C64" s="225">
        <f t="shared" si="6"/>
        <v>0.27134253293878163</v>
      </c>
      <c r="D64" s="225">
        <f t="shared" si="6"/>
        <v>0.12821460167679605</v>
      </c>
      <c r="E64" s="225">
        <f t="shared" si="6"/>
        <v>7.8905133685484144E-2</v>
      </c>
      <c r="F64" s="225">
        <f t="shared" si="6"/>
        <v>0.35273831456189081</v>
      </c>
      <c r="G64" s="225">
        <f t="shared" si="6"/>
        <v>0.16879941713704749</v>
      </c>
      <c r="H64" s="225">
        <f t="shared" si="6"/>
        <v>1</v>
      </c>
      <c r="I64" s="182"/>
    </row>
    <row r="65" spans="1:9" x14ac:dyDescent="0.2">
      <c r="A65" s="33" t="s">
        <v>171</v>
      </c>
      <c r="B65" s="33"/>
      <c r="C65" s="224">
        <f t="shared" si="6"/>
        <v>0.25655020294606246</v>
      </c>
      <c r="D65" s="224">
        <f t="shared" si="6"/>
        <v>8.9002494418209607E-2</v>
      </c>
      <c r="E65" s="224">
        <f t="shared" si="6"/>
        <v>8.3645881590516474E-2</v>
      </c>
      <c r="F65" s="224">
        <f t="shared" si="6"/>
        <v>0.4060551998256301</v>
      </c>
      <c r="G65" s="224">
        <f t="shared" si="6"/>
        <v>0.16474622121958135</v>
      </c>
      <c r="H65" s="224">
        <f t="shared" si="6"/>
        <v>1</v>
      </c>
      <c r="I65" s="182"/>
    </row>
    <row r="66" spans="1:9" x14ac:dyDescent="0.2">
      <c r="A66" s="33"/>
      <c r="B66" s="33"/>
      <c r="C66" s="224"/>
      <c r="D66" s="224"/>
      <c r="E66" s="224"/>
      <c r="F66" s="224"/>
      <c r="G66" s="224"/>
      <c r="H66" s="224"/>
      <c r="I66" s="182"/>
    </row>
    <row r="67" spans="1:9" x14ac:dyDescent="0.2">
      <c r="A67" s="33"/>
      <c r="B67" s="33"/>
      <c r="C67" s="224"/>
      <c r="D67" s="224"/>
      <c r="E67" s="224"/>
      <c r="F67" s="224"/>
      <c r="G67" s="224"/>
      <c r="H67" s="224"/>
      <c r="I67" s="182"/>
    </row>
    <row r="68" spans="1:9" x14ac:dyDescent="0.2">
      <c r="A68" s="33" t="s">
        <v>81</v>
      </c>
      <c r="B68" s="33"/>
      <c r="C68" s="224">
        <f t="shared" ref="C68:H73" si="7">C41/$H41</f>
        <v>0.30600300566385663</v>
      </c>
      <c r="D68" s="224">
        <f t="shared" si="7"/>
        <v>9.7943750536138102E-2</v>
      </c>
      <c r="E68" s="224">
        <f t="shared" si="7"/>
        <v>8.7758817860808483E-2</v>
      </c>
      <c r="F68" s="224">
        <f t="shared" si="7"/>
        <v>0.4218164868654618</v>
      </c>
      <c r="G68" s="224">
        <f t="shared" si="7"/>
        <v>8.6477939073734966E-2</v>
      </c>
      <c r="H68" s="224">
        <f t="shared" si="7"/>
        <v>1</v>
      </c>
      <c r="I68" s="182"/>
    </row>
    <row r="69" spans="1:9" x14ac:dyDescent="0.2">
      <c r="A69" s="33" t="s">
        <v>82</v>
      </c>
      <c r="B69" s="33"/>
      <c r="C69" s="224">
        <f t="shared" si="7"/>
        <v>0.25484193152202517</v>
      </c>
      <c r="D69" s="224">
        <f t="shared" si="7"/>
        <v>0.14556730749596963</v>
      </c>
      <c r="E69" s="224">
        <f t="shared" si="7"/>
        <v>8.9879025901087914E-2</v>
      </c>
      <c r="F69" s="224">
        <f t="shared" si="7"/>
        <v>0.43336882937058835</v>
      </c>
      <c r="G69" s="224">
        <f t="shared" si="7"/>
        <v>7.6342905710329062E-2</v>
      </c>
      <c r="H69" s="224">
        <f t="shared" si="7"/>
        <v>1</v>
      </c>
      <c r="I69" s="182"/>
    </row>
    <row r="70" spans="1:9" x14ac:dyDescent="0.2">
      <c r="A70" s="33" t="s">
        <v>83</v>
      </c>
      <c r="B70" s="33"/>
      <c r="C70" s="224">
        <f t="shared" si="7"/>
        <v>0.28325797346546933</v>
      </c>
      <c r="D70" s="224">
        <f t="shared" si="7"/>
        <v>0.12001771375996036</v>
      </c>
      <c r="E70" s="224">
        <f t="shared" si="7"/>
        <v>8.8735950920626222E-2</v>
      </c>
      <c r="F70" s="224">
        <f t="shared" si="7"/>
        <v>0.42213349185214732</v>
      </c>
      <c r="G70" s="224">
        <f t="shared" si="7"/>
        <v>8.5854870001796868E-2</v>
      </c>
      <c r="H70" s="224">
        <f t="shared" si="7"/>
        <v>1</v>
      </c>
      <c r="I70" s="182"/>
    </row>
    <row r="71" spans="1:9" x14ac:dyDescent="0.2">
      <c r="A71" s="33" t="s">
        <v>84</v>
      </c>
      <c r="B71" s="33"/>
      <c r="C71" s="224">
        <f t="shared" si="7"/>
        <v>0.23682057233400991</v>
      </c>
      <c r="D71" s="224">
        <f t="shared" si="7"/>
        <v>0.12245827681850183</v>
      </c>
      <c r="E71" s="224">
        <f t="shared" si="7"/>
        <v>8.5280841689337153E-2</v>
      </c>
      <c r="F71" s="224">
        <f t="shared" si="7"/>
        <v>0.41864265461741379</v>
      </c>
      <c r="G71" s="224">
        <f t="shared" si="7"/>
        <v>0.13679765454073725</v>
      </c>
      <c r="H71" s="224">
        <f t="shared" si="7"/>
        <v>1</v>
      </c>
      <c r="I71" s="182"/>
    </row>
    <row r="72" spans="1:9" x14ac:dyDescent="0.2">
      <c r="A72" s="33" t="s">
        <v>85</v>
      </c>
      <c r="B72" s="33"/>
      <c r="C72" s="225">
        <f t="shared" si="7"/>
        <v>0.22260491908339558</v>
      </c>
      <c r="D72" s="225">
        <f t="shared" si="7"/>
        <v>0.24364563707991235</v>
      </c>
      <c r="E72" s="225">
        <f t="shared" si="7"/>
        <v>7.8661089622242025E-2</v>
      </c>
      <c r="F72" s="225">
        <f t="shared" si="7"/>
        <v>0.37908692928911086</v>
      </c>
      <c r="G72" s="225">
        <f t="shared" si="7"/>
        <v>7.6001424925339262E-2</v>
      </c>
      <c r="H72" s="225">
        <f t="shared" si="7"/>
        <v>1</v>
      </c>
      <c r="I72" s="182"/>
    </row>
    <row r="73" spans="1:9" x14ac:dyDescent="0.2">
      <c r="A73" s="33" t="s">
        <v>172</v>
      </c>
      <c r="B73" s="33"/>
      <c r="C73" s="224">
        <f t="shared" si="7"/>
        <v>0.27771181569666903</v>
      </c>
      <c r="D73" s="224">
        <f t="shared" si="7"/>
        <v>0.12264452712800929</v>
      </c>
      <c r="E73" s="224">
        <f t="shared" si="7"/>
        <v>8.7344311886272313E-2</v>
      </c>
      <c r="F73" s="224">
        <f t="shared" si="7"/>
        <v>0.42094181422494026</v>
      </c>
      <c r="G73" s="224">
        <f t="shared" si="7"/>
        <v>9.1357531064109321E-2</v>
      </c>
      <c r="H73" s="224">
        <f t="shared" si="7"/>
        <v>1</v>
      </c>
      <c r="I73" s="182"/>
    </row>
    <row r="74" spans="1:9" x14ac:dyDescent="0.2">
      <c r="A74" s="33"/>
      <c r="B74" s="33"/>
      <c r="C74" s="224"/>
      <c r="D74" s="224"/>
      <c r="E74" s="224"/>
      <c r="F74" s="224"/>
      <c r="G74" s="224"/>
      <c r="H74" s="224"/>
      <c r="I74" s="182"/>
    </row>
    <row r="75" spans="1:9" x14ac:dyDescent="0.2">
      <c r="A75" s="33"/>
      <c r="B75" s="33"/>
      <c r="C75" s="224"/>
      <c r="D75" s="224"/>
      <c r="E75" s="224"/>
      <c r="F75" s="224"/>
      <c r="G75" s="224"/>
      <c r="H75" s="224"/>
      <c r="I75" s="182"/>
    </row>
    <row r="76" spans="1:9" x14ac:dyDescent="0.2">
      <c r="A76" s="33" t="s">
        <v>86</v>
      </c>
      <c r="B76" s="33"/>
      <c r="C76" s="224">
        <f t="shared" ref="C76:H77" si="8">C49/$H49</f>
        <v>0.22320084628460443</v>
      </c>
      <c r="D76" s="224">
        <f t="shared" si="8"/>
        <v>8.2018989580139465E-2</v>
      </c>
      <c r="E76" s="224">
        <f t="shared" si="8"/>
        <v>8.7034054486812298E-2</v>
      </c>
      <c r="F76" s="224">
        <f t="shared" si="8"/>
        <v>0.48021045801477352</v>
      </c>
      <c r="G76" s="224">
        <f t="shared" si="8"/>
        <v>0.12753565163367006</v>
      </c>
      <c r="H76" s="224">
        <f t="shared" si="8"/>
        <v>1</v>
      </c>
      <c r="I76" s="182"/>
    </row>
    <row r="77" spans="1:9" x14ac:dyDescent="0.2">
      <c r="A77" s="33" t="s">
        <v>87</v>
      </c>
      <c r="B77" s="33"/>
      <c r="C77" s="225">
        <f t="shared" si="8"/>
        <v>0.22751449150285186</v>
      </c>
      <c r="D77" s="225">
        <f t="shared" si="8"/>
        <v>0.24602825905097905</v>
      </c>
      <c r="E77" s="225">
        <f t="shared" si="8"/>
        <v>7.6841452422353684E-2</v>
      </c>
      <c r="F77" s="225">
        <f t="shared" si="8"/>
        <v>0.34361420398408521</v>
      </c>
      <c r="G77" s="225">
        <f t="shared" si="8"/>
        <v>0.10600159303973015</v>
      </c>
      <c r="H77" s="225">
        <f t="shared" si="8"/>
        <v>1</v>
      </c>
      <c r="I77" s="182"/>
    </row>
    <row r="78" spans="1:9" x14ac:dyDescent="0.2">
      <c r="A78" s="33" t="s">
        <v>173</v>
      </c>
      <c r="B78" s="33"/>
      <c r="C78" s="224">
        <f t="shared" ref="C78:H78" si="9">C51/$H51</f>
        <v>0.22543252055118312</v>
      </c>
      <c r="D78" s="224">
        <f t="shared" si="9"/>
        <v>0.1668695620403273</v>
      </c>
      <c r="E78" s="224">
        <f t="shared" si="9"/>
        <v>8.1760888385783034E-2</v>
      </c>
      <c r="F78" s="224">
        <f t="shared" si="9"/>
        <v>0.40954207208868498</v>
      </c>
      <c r="G78" s="224">
        <f t="shared" si="9"/>
        <v>0.11639495693402142</v>
      </c>
      <c r="H78" s="224">
        <f t="shared" si="9"/>
        <v>1</v>
      </c>
      <c r="I78" s="182"/>
    </row>
    <row r="79" spans="1:9" x14ac:dyDescent="0.2">
      <c r="A79" s="33"/>
      <c r="B79" s="33"/>
      <c r="C79" s="224"/>
      <c r="D79" s="224"/>
      <c r="E79" s="224"/>
      <c r="F79" s="224"/>
      <c r="G79" s="224"/>
      <c r="H79" s="224"/>
      <c r="I79" s="182"/>
    </row>
    <row r="80" spans="1:9" ht="13.5" thickBot="1" x14ac:dyDescent="0.25">
      <c r="A80" s="33" t="s">
        <v>208</v>
      </c>
      <c r="B80" s="33"/>
      <c r="C80" s="226">
        <f t="shared" ref="C80:H80" si="10">C53/$H53</f>
        <v>0.25904175918361388</v>
      </c>
      <c r="D80" s="226">
        <f t="shared" si="10"/>
        <v>0.10966600443231922</v>
      </c>
      <c r="E80" s="226">
        <f t="shared" si="10"/>
        <v>8.4547433369045091E-2</v>
      </c>
      <c r="F80" s="226">
        <f t="shared" si="10"/>
        <v>0.4111366293047935</v>
      </c>
      <c r="G80" s="226">
        <f t="shared" si="10"/>
        <v>0.13560817371022843</v>
      </c>
      <c r="H80" s="226">
        <f t="shared" si="10"/>
        <v>1</v>
      </c>
      <c r="I80" s="182"/>
    </row>
    <row r="81" spans="1:9" ht="13.5" thickTop="1" x14ac:dyDescent="0.2">
      <c r="A81" s="33"/>
      <c r="B81" s="33"/>
      <c r="C81" s="33"/>
      <c r="D81" s="33"/>
      <c r="E81" s="33"/>
      <c r="F81" s="33"/>
      <c r="G81" s="33"/>
      <c r="H81" s="33"/>
      <c r="I81" s="182"/>
    </row>
    <row r="82" spans="1:9" x14ac:dyDescent="0.2">
      <c r="A82" s="33"/>
      <c r="B82" s="33"/>
      <c r="C82" s="33"/>
      <c r="D82" s="33"/>
      <c r="E82" s="33"/>
      <c r="F82" s="33"/>
      <c r="G82" s="33"/>
      <c r="H82" s="33"/>
      <c r="I82" s="182"/>
    </row>
  </sheetData>
  <phoneticPr fontId="7"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I82"/>
  <sheetViews>
    <sheetView topLeftCell="A25" workbookViewId="0">
      <selection activeCell="H37" sqref="H37"/>
    </sheetView>
  </sheetViews>
  <sheetFormatPr defaultRowHeight="12.75" x14ac:dyDescent="0.2"/>
  <cols>
    <col min="1" max="1" width="34.28515625" bestFit="1" customWidth="1"/>
    <col min="2" max="2" width="9.28515625" bestFit="1" customWidth="1"/>
    <col min="3" max="3" width="12.85546875" bestFit="1" customWidth="1"/>
    <col min="4" max="5" width="12" bestFit="1" customWidth="1"/>
    <col min="6" max="7" width="12.85546875" bestFit="1" customWidth="1"/>
    <col min="8" max="8" width="10.85546875" bestFit="1" customWidth="1"/>
  </cols>
  <sheetData>
    <row r="1" spans="1:9" x14ac:dyDescent="0.2">
      <c r="A1" s="36" t="s">
        <v>200</v>
      </c>
      <c r="B1" s="36"/>
      <c r="C1" s="22"/>
      <c r="D1" s="22"/>
      <c r="E1" s="22"/>
      <c r="F1" s="22"/>
      <c r="G1" s="22"/>
      <c r="H1" s="22"/>
      <c r="I1" s="22"/>
    </row>
    <row r="2" spans="1:9" x14ac:dyDescent="0.2">
      <c r="A2" s="36" t="s">
        <v>547</v>
      </c>
      <c r="B2" s="36"/>
      <c r="C2" s="22"/>
      <c r="D2" s="22"/>
      <c r="E2" s="22"/>
      <c r="F2" s="22"/>
      <c r="G2" s="22"/>
      <c r="H2" s="22"/>
      <c r="I2" s="22"/>
    </row>
    <row r="3" spans="1:9" ht="33.75" x14ac:dyDescent="0.2">
      <c r="A3" s="20" t="s">
        <v>245</v>
      </c>
      <c r="B3" s="201" t="s">
        <v>530</v>
      </c>
      <c r="C3" s="202" t="s">
        <v>548</v>
      </c>
      <c r="D3" s="202" t="s">
        <v>549</v>
      </c>
      <c r="E3" s="202" t="s">
        <v>550</v>
      </c>
      <c r="F3" s="202" t="s">
        <v>551</v>
      </c>
      <c r="G3" s="202" t="s">
        <v>552</v>
      </c>
      <c r="H3" s="202" t="s">
        <v>553</v>
      </c>
      <c r="I3" s="202" t="s">
        <v>554</v>
      </c>
    </row>
    <row r="4" spans="1:9" x14ac:dyDescent="0.2">
      <c r="A4" s="33" t="s">
        <v>102</v>
      </c>
      <c r="B4" s="208">
        <v>35945</v>
      </c>
      <c r="C4" s="208">
        <v>75781721.879999995</v>
      </c>
      <c r="D4" s="208">
        <v>17399042.100000001</v>
      </c>
      <c r="E4" s="208">
        <v>25570092.170000002</v>
      </c>
      <c r="F4" s="208">
        <v>109257903.59999999</v>
      </c>
      <c r="G4" s="208">
        <v>32200787.390000001</v>
      </c>
      <c r="H4" s="182">
        <f t="shared" ref="H4:H9" si="0">SUM(C4:G4)</f>
        <v>260209547.13999999</v>
      </c>
      <c r="I4" s="182">
        <f>H4/B4</f>
        <v>7239.1027163722347</v>
      </c>
    </row>
    <row r="5" spans="1:9" x14ac:dyDescent="0.2">
      <c r="A5" s="33" t="s">
        <v>76</v>
      </c>
      <c r="B5" s="208">
        <v>18832</v>
      </c>
      <c r="C5" s="208">
        <v>34823932.719999999</v>
      </c>
      <c r="D5" s="208">
        <v>9896593.8000000007</v>
      </c>
      <c r="E5" s="208">
        <v>12048281.539999999</v>
      </c>
      <c r="F5" s="208">
        <v>59670434.829999998</v>
      </c>
      <c r="G5" s="208">
        <v>32141959.32</v>
      </c>
      <c r="H5" s="182">
        <f t="shared" si="0"/>
        <v>148581202.20999998</v>
      </c>
      <c r="I5" s="182">
        <f t="shared" ref="I5:I10" si="1">H5/B5</f>
        <v>7889.8259457306704</v>
      </c>
    </row>
    <row r="6" spans="1:9" x14ac:dyDescent="0.2">
      <c r="A6" s="33" t="s">
        <v>77</v>
      </c>
      <c r="B6" s="208">
        <v>11889</v>
      </c>
      <c r="C6" s="208">
        <v>21516680.780000001</v>
      </c>
      <c r="D6" s="208">
        <v>9807917.1999999993</v>
      </c>
      <c r="E6" s="208">
        <v>8160312.4199999999</v>
      </c>
      <c r="F6" s="208">
        <v>37761951.539999999</v>
      </c>
      <c r="G6" s="208">
        <v>24422150.539999999</v>
      </c>
      <c r="H6" s="182">
        <f t="shared" si="0"/>
        <v>101669012.47999999</v>
      </c>
      <c r="I6" s="182">
        <f t="shared" si="1"/>
        <v>8551.519259820001</v>
      </c>
    </row>
    <row r="7" spans="1:9" x14ac:dyDescent="0.2">
      <c r="A7" s="33" t="s">
        <v>78</v>
      </c>
      <c r="B7" s="208">
        <v>12931</v>
      </c>
      <c r="C7" s="208">
        <v>23795456.91</v>
      </c>
      <c r="D7" s="208">
        <v>8093824.0700000003</v>
      </c>
      <c r="E7" s="208">
        <v>8782234.4499999993</v>
      </c>
      <c r="F7" s="208">
        <v>41153584.759999998</v>
      </c>
      <c r="G7" s="208">
        <v>17741653.899999999</v>
      </c>
      <c r="H7" s="182">
        <f t="shared" si="0"/>
        <v>99566754.090000004</v>
      </c>
      <c r="I7" s="182">
        <f t="shared" si="1"/>
        <v>7699.8495158920423</v>
      </c>
    </row>
    <row r="8" spans="1:9" x14ac:dyDescent="0.2">
      <c r="A8" s="33" t="s">
        <v>79</v>
      </c>
      <c r="B8" s="208">
        <v>5888</v>
      </c>
      <c r="C8" s="208">
        <v>14075729.76</v>
      </c>
      <c r="D8" s="208">
        <v>7758626.6299999999</v>
      </c>
      <c r="E8" s="208">
        <v>4906575.6399999997</v>
      </c>
      <c r="F8" s="208">
        <v>20017748.260000002</v>
      </c>
      <c r="G8" s="208">
        <v>11545023.15</v>
      </c>
      <c r="H8" s="182">
        <f t="shared" si="0"/>
        <v>58303703.440000005</v>
      </c>
      <c r="I8" s="182">
        <f t="shared" si="1"/>
        <v>9902.123546195653</v>
      </c>
    </row>
    <row r="9" spans="1:9" x14ac:dyDescent="0.2">
      <c r="A9" s="33" t="s">
        <v>80</v>
      </c>
      <c r="B9" s="209">
        <v>1451</v>
      </c>
      <c r="C9" s="209">
        <v>3583134.2</v>
      </c>
      <c r="D9" s="209">
        <v>1715481.18</v>
      </c>
      <c r="E9" s="209">
        <v>1154173.3999999999</v>
      </c>
      <c r="F9" s="209">
        <v>4711758.62</v>
      </c>
      <c r="G9" s="209">
        <v>2272676.1</v>
      </c>
      <c r="H9" s="183">
        <f t="shared" si="0"/>
        <v>13437223.499999998</v>
      </c>
      <c r="I9" s="183">
        <f t="shared" si="1"/>
        <v>9260.6640248104741</v>
      </c>
    </row>
    <row r="10" spans="1:9" x14ac:dyDescent="0.2">
      <c r="A10" s="33" t="s">
        <v>171</v>
      </c>
      <c r="B10" s="208">
        <f t="shared" ref="B10:H10" si="2">SUM(B4:B9)</f>
        <v>86936</v>
      </c>
      <c r="C10" s="208">
        <f t="shared" si="2"/>
        <v>173576656.24999997</v>
      </c>
      <c r="D10" s="208">
        <f t="shared" si="2"/>
        <v>54671484.980000004</v>
      </c>
      <c r="E10" s="208">
        <f t="shared" si="2"/>
        <v>60621669.619999997</v>
      </c>
      <c r="F10" s="208">
        <f t="shared" si="2"/>
        <v>272573381.60999995</v>
      </c>
      <c r="G10" s="208">
        <f t="shared" si="2"/>
        <v>120324250.40000001</v>
      </c>
      <c r="H10" s="182">
        <f t="shared" si="2"/>
        <v>681767442.86000001</v>
      </c>
      <c r="I10" s="182">
        <f t="shared" si="1"/>
        <v>7842.1763465077756</v>
      </c>
    </row>
    <row r="11" spans="1:9" x14ac:dyDescent="0.2">
      <c r="A11" s="33"/>
      <c r="B11" s="208"/>
      <c r="C11" s="208"/>
      <c r="D11" s="208"/>
      <c r="E11" s="208"/>
      <c r="F11" s="208"/>
      <c r="G11" s="208"/>
      <c r="H11" s="182"/>
      <c r="I11" s="182"/>
    </row>
    <row r="12" spans="1:9" x14ac:dyDescent="0.2">
      <c r="A12" s="33"/>
      <c r="B12" s="208"/>
      <c r="C12" s="208"/>
      <c r="D12" s="208"/>
      <c r="E12" s="208"/>
      <c r="F12" s="208"/>
      <c r="G12" s="208"/>
      <c r="H12" s="182"/>
      <c r="I12" s="182"/>
    </row>
    <row r="13" spans="1:9" x14ac:dyDescent="0.2">
      <c r="A13" s="33" t="s">
        <v>81</v>
      </c>
      <c r="B13" s="208">
        <v>22656</v>
      </c>
      <c r="C13" s="208">
        <v>53880215.210000001</v>
      </c>
      <c r="D13" s="208">
        <v>17119565.370000001</v>
      </c>
      <c r="E13" s="208">
        <v>16080143.01</v>
      </c>
      <c r="F13" s="208">
        <v>76059021.609999999</v>
      </c>
      <c r="G13" s="208">
        <v>15486805.039999999</v>
      </c>
      <c r="H13" s="182">
        <f>SUM(C13:G13)</f>
        <v>178625750.23999998</v>
      </c>
      <c r="I13" s="182">
        <f t="shared" ref="I13:I18" si="3">H13/B13</f>
        <v>7884.2580437853103</v>
      </c>
    </row>
    <row r="14" spans="1:9" x14ac:dyDescent="0.2">
      <c r="A14" s="33" t="s">
        <v>82</v>
      </c>
      <c r="B14" s="208">
        <v>9214</v>
      </c>
      <c r="C14" s="208">
        <v>19314570.390000001</v>
      </c>
      <c r="D14" s="208">
        <v>8585751.3100000005</v>
      </c>
      <c r="E14" s="208">
        <v>6677806.1900000004</v>
      </c>
      <c r="F14" s="208">
        <v>33166763.550000001</v>
      </c>
      <c r="G14" s="208">
        <v>6525414.9000000004</v>
      </c>
      <c r="H14" s="182">
        <f>SUM(C14:G14)</f>
        <v>74270306.340000004</v>
      </c>
      <c r="I14" s="182">
        <f t="shared" si="3"/>
        <v>8060.5932645973526</v>
      </c>
    </row>
    <row r="15" spans="1:9" x14ac:dyDescent="0.2">
      <c r="A15" s="33" t="s">
        <v>83</v>
      </c>
      <c r="B15" s="208">
        <v>4359</v>
      </c>
      <c r="C15" s="208">
        <v>11095618.529999999</v>
      </c>
      <c r="D15" s="208">
        <v>4584457.29</v>
      </c>
      <c r="E15" s="208">
        <v>3296704.38</v>
      </c>
      <c r="F15" s="208">
        <v>17044022.289999999</v>
      </c>
      <c r="G15" s="208">
        <v>4800901.95</v>
      </c>
      <c r="H15" s="182">
        <f>SUM(C15:G15)</f>
        <v>40821704.439999998</v>
      </c>
      <c r="I15" s="182">
        <f t="shared" si="3"/>
        <v>9364.9241660931402</v>
      </c>
    </row>
    <row r="16" spans="1:9" x14ac:dyDescent="0.2">
      <c r="A16" s="33" t="s">
        <v>84</v>
      </c>
      <c r="B16" s="208">
        <v>5093</v>
      </c>
      <c r="C16" s="208">
        <v>13244990.380000001</v>
      </c>
      <c r="D16" s="208">
        <v>5708978.0300000003</v>
      </c>
      <c r="E16" s="208">
        <v>4948200.34</v>
      </c>
      <c r="F16" s="208">
        <v>23422249.73</v>
      </c>
      <c r="G16" s="208">
        <v>8200205.2300000004</v>
      </c>
      <c r="H16" s="182">
        <f>SUM(C16:G16)</f>
        <v>55524623.710000008</v>
      </c>
      <c r="I16" s="182">
        <f t="shared" si="3"/>
        <v>10902.144847830357</v>
      </c>
    </row>
    <row r="17" spans="1:9" x14ac:dyDescent="0.2">
      <c r="A17" s="33" t="s">
        <v>85</v>
      </c>
      <c r="B17" s="209">
        <v>1714</v>
      </c>
      <c r="C17" s="209">
        <v>7283607.9900000002</v>
      </c>
      <c r="D17" s="209">
        <v>3701305.48</v>
      </c>
      <c r="E17" s="209">
        <v>2323501.31</v>
      </c>
      <c r="F17" s="209">
        <v>10615000.890000001</v>
      </c>
      <c r="G17" s="209">
        <v>3181185.33</v>
      </c>
      <c r="H17" s="183">
        <f>SUM(C17:G17)</f>
        <v>27104601</v>
      </c>
      <c r="I17" s="183">
        <f t="shared" si="3"/>
        <v>15813.652858809801</v>
      </c>
    </row>
    <row r="18" spans="1:9" x14ac:dyDescent="0.2">
      <c r="A18" s="33" t="s">
        <v>172</v>
      </c>
      <c r="B18" s="208">
        <f>SUM(B13:B17)</f>
        <v>43036</v>
      </c>
      <c r="C18" s="208">
        <f t="shared" ref="C18:H18" si="4">SUM(C13:C17)</f>
        <v>104819002.49999999</v>
      </c>
      <c r="D18" s="208">
        <f t="shared" si="4"/>
        <v>39700057.479999997</v>
      </c>
      <c r="E18" s="208">
        <f t="shared" si="4"/>
        <v>33326355.229999997</v>
      </c>
      <c r="F18" s="208">
        <f t="shared" si="4"/>
        <v>160307058.06999999</v>
      </c>
      <c r="G18" s="208">
        <f t="shared" si="4"/>
        <v>38194512.449999996</v>
      </c>
      <c r="H18" s="182">
        <f t="shared" si="4"/>
        <v>376346985.73000002</v>
      </c>
      <c r="I18" s="182">
        <f t="shared" si="3"/>
        <v>8744.9341418812164</v>
      </c>
    </row>
    <row r="19" spans="1:9" x14ac:dyDescent="0.2">
      <c r="A19" s="33"/>
      <c r="B19" s="208"/>
      <c r="C19" s="208"/>
      <c r="D19" s="208"/>
      <c r="E19" s="208"/>
      <c r="F19" s="208"/>
      <c r="G19" s="208"/>
      <c r="H19" s="182"/>
      <c r="I19" s="182"/>
    </row>
    <row r="20" spans="1:9" x14ac:dyDescent="0.2">
      <c r="A20" s="33"/>
      <c r="B20" s="208"/>
      <c r="C20" s="208"/>
      <c r="D20" s="208"/>
      <c r="E20" s="208"/>
      <c r="F20" s="208"/>
      <c r="G20" s="208"/>
      <c r="H20" s="182"/>
      <c r="I20" s="182"/>
    </row>
    <row r="21" spans="1:9" x14ac:dyDescent="0.2">
      <c r="A21" s="33" t="s">
        <v>86</v>
      </c>
      <c r="B21" s="208">
        <v>11457</v>
      </c>
      <c r="C21" s="208">
        <v>18973485.32</v>
      </c>
      <c r="D21" s="208">
        <v>11730770.83</v>
      </c>
      <c r="E21" s="208">
        <v>7627663.2000000002</v>
      </c>
      <c r="F21" s="208">
        <v>39727842.859999999</v>
      </c>
      <c r="G21" s="208">
        <v>10882569.02</v>
      </c>
      <c r="H21" s="182">
        <f>SUM(C21:G21)</f>
        <v>88942331.230000004</v>
      </c>
      <c r="I21" s="182">
        <f>H21/B21</f>
        <v>7763.1431640045394</v>
      </c>
    </row>
    <row r="22" spans="1:9" x14ac:dyDescent="0.2">
      <c r="A22" s="33" t="s">
        <v>87</v>
      </c>
      <c r="B22" s="209">
        <v>6223</v>
      </c>
      <c r="C22" s="209">
        <v>19691657.460000001</v>
      </c>
      <c r="D22" s="209">
        <v>11215453.82</v>
      </c>
      <c r="E22" s="209">
        <v>6367484.0499999998</v>
      </c>
      <c r="F22" s="209">
        <v>25563407.780000001</v>
      </c>
      <c r="G22" s="209">
        <v>7666194.2999999998</v>
      </c>
      <c r="H22" s="183">
        <f>SUM(C22:G22)</f>
        <v>70504197.409999996</v>
      </c>
      <c r="I22" s="183">
        <f>H22/B22</f>
        <v>11329.615524666558</v>
      </c>
    </row>
    <row r="23" spans="1:9" x14ac:dyDescent="0.2">
      <c r="A23" s="33" t="s">
        <v>173</v>
      </c>
      <c r="B23" s="208">
        <f>SUM(B21:B22)</f>
        <v>17680</v>
      </c>
      <c r="C23" s="208">
        <f t="shared" ref="C23:H23" si="5">SUM(C21:C22)</f>
        <v>38665142.780000001</v>
      </c>
      <c r="D23" s="208">
        <f t="shared" si="5"/>
        <v>22946224.649999999</v>
      </c>
      <c r="E23" s="208">
        <f t="shared" si="5"/>
        <v>13995147.25</v>
      </c>
      <c r="F23" s="208">
        <f t="shared" si="5"/>
        <v>65291250.640000001</v>
      </c>
      <c r="G23" s="208">
        <f t="shared" si="5"/>
        <v>18548763.32</v>
      </c>
      <c r="H23" s="182">
        <f t="shared" si="5"/>
        <v>159446528.63999999</v>
      </c>
      <c r="I23" s="182">
        <f>H23/B23</f>
        <v>9018.4688144796364</v>
      </c>
    </row>
    <row r="24" spans="1:9" x14ac:dyDescent="0.2">
      <c r="A24" s="33"/>
      <c r="B24" s="182"/>
      <c r="C24" s="182"/>
      <c r="D24" s="182"/>
      <c r="E24" s="182"/>
      <c r="F24" s="182"/>
      <c r="G24" s="182"/>
      <c r="H24" s="182"/>
      <c r="I24" s="182"/>
    </row>
    <row r="25" spans="1:9" ht="13.5" thickBot="1" x14ac:dyDescent="0.25">
      <c r="A25" s="33" t="s">
        <v>174</v>
      </c>
      <c r="B25" s="192">
        <f>B23+B18+B10</f>
        <v>147652</v>
      </c>
      <c r="C25" s="192">
        <f t="shared" ref="C25:H25" si="6">C23+C18+C10</f>
        <v>317060801.52999997</v>
      </c>
      <c r="D25" s="192">
        <f t="shared" si="6"/>
        <v>117317767.11</v>
      </c>
      <c r="E25" s="192">
        <f t="shared" si="6"/>
        <v>107943172.09999999</v>
      </c>
      <c r="F25" s="192">
        <f t="shared" si="6"/>
        <v>498171690.31999993</v>
      </c>
      <c r="G25" s="192">
        <f t="shared" si="6"/>
        <v>177067526.17000002</v>
      </c>
      <c r="H25" s="192">
        <f t="shared" si="6"/>
        <v>1217560957.23</v>
      </c>
      <c r="I25" s="192">
        <f>H25/B25</f>
        <v>8246.1528271205261</v>
      </c>
    </row>
    <row r="26" spans="1:9" ht="13.5" thickTop="1" x14ac:dyDescent="0.2">
      <c r="A26" s="33"/>
      <c r="B26" s="182"/>
      <c r="C26" s="182"/>
      <c r="D26" s="182"/>
      <c r="E26" s="182"/>
      <c r="F26" s="182"/>
      <c r="G26" s="182"/>
      <c r="H26" s="182"/>
      <c r="I26" s="182"/>
    </row>
    <row r="27" spans="1:9" x14ac:dyDescent="0.2">
      <c r="A27" s="33"/>
      <c r="B27" s="182"/>
      <c r="C27" s="33"/>
      <c r="D27" s="33"/>
      <c r="E27" s="33"/>
      <c r="F27" s="33"/>
      <c r="G27" s="33"/>
      <c r="H27" s="182"/>
      <c r="I27" s="182"/>
    </row>
    <row r="28" spans="1:9" x14ac:dyDescent="0.2">
      <c r="A28" s="36" t="s">
        <v>200</v>
      </c>
      <c r="B28" s="22"/>
      <c r="C28" s="36"/>
      <c r="D28" s="36"/>
      <c r="E28" s="36"/>
      <c r="F28" s="36"/>
      <c r="G28" s="36"/>
      <c r="H28" s="36"/>
      <c r="I28" s="182"/>
    </row>
    <row r="29" spans="1:9" x14ac:dyDescent="0.2">
      <c r="A29" s="36" t="s">
        <v>558</v>
      </c>
      <c r="B29" s="22"/>
      <c r="C29" s="36"/>
      <c r="D29" s="36"/>
      <c r="E29" s="36"/>
      <c r="F29" s="36"/>
      <c r="G29" s="36"/>
      <c r="H29" s="36"/>
      <c r="I29" s="182"/>
    </row>
    <row r="30" spans="1:9" ht="33.75" x14ac:dyDescent="0.2">
      <c r="A30" s="20" t="s">
        <v>245</v>
      </c>
      <c r="B30" s="201" t="str">
        <f>B3</f>
        <v>ANB05</v>
      </c>
      <c r="C30" s="201" t="str">
        <f t="shared" ref="C30:H30" si="7">C3</f>
        <v>05/Pupil Property Tax</v>
      </c>
      <c r="D30" s="201" t="str">
        <f t="shared" si="7"/>
        <v>05/Pupil Non Levy Revenue</v>
      </c>
      <c r="E30" s="201" t="str">
        <f t="shared" si="7"/>
        <v>05/Pupil County Revenue</v>
      </c>
      <c r="F30" s="201" t="str">
        <f t="shared" si="7"/>
        <v>05/Pupil State Revenue</v>
      </c>
      <c r="G30" s="201" t="str">
        <f t="shared" si="7"/>
        <v>05/Pupil Federal Revenue</v>
      </c>
      <c r="H30" s="201" t="str">
        <f t="shared" si="7"/>
        <v>05/Pupil Total Revenue</v>
      </c>
      <c r="I30" s="194"/>
    </row>
    <row r="31" spans="1:9" x14ac:dyDescent="0.2">
      <c r="A31" s="33"/>
      <c r="B31" s="182"/>
      <c r="C31" s="182"/>
      <c r="D31" s="182"/>
      <c r="E31" s="182"/>
      <c r="F31" s="182"/>
      <c r="G31" s="182"/>
      <c r="H31" s="33"/>
      <c r="I31" s="182"/>
    </row>
    <row r="32" spans="1:9" x14ac:dyDescent="0.2">
      <c r="A32" s="33" t="s">
        <v>102</v>
      </c>
      <c r="B32" s="182">
        <f t="shared" ref="B32:B37" si="8">B4</f>
        <v>35945</v>
      </c>
      <c r="C32" s="182">
        <f t="shared" ref="C32:H32" si="9">C4/$B$32</f>
        <v>2108.2687962164418</v>
      </c>
      <c r="D32" s="182">
        <f t="shared" si="9"/>
        <v>484.04624008902493</v>
      </c>
      <c r="E32" s="182">
        <f t="shared" si="9"/>
        <v>711.36714897760476</v>
      </c>
      <c r="F32" s="182">
        <f t="shared" si="9"/>
        <v>3039.5855779663375</v>
      </c>
      <c r="G32" s="182">
        <f t="shared" si="9"/>
        <v>895.83495312282651</v>
      </c>
      <c r="H32" s="182">
        <f t="shared" si="9"/>
        <v>7239.1027163722347</v>
      </c>
      <c r="I32" s="182"/>
    </row>
    <row r="33" spans="1:9" x14ac:dyDescent="0.2">
      <c r="A33" s="33" t="s">
        <v>76</v>
      </c>
      <c r="B33" s="182">
        <f t="shared" si="8"/>
        <v>18832</v>
      </c>
      <c r="C33" s="182">
        <f t="shared" ref="C33:H33" si="10">C5/$B$33</f>
        <v>1849.1892905692437</v>
      </c>
      <c r="D33" s="182">
        <f t="shared" si="10"/>
        <v>525.52006159728126</v>
      </c>
      <c r="E33" s="182">
        <f t="shared" si="10"/>
        <v>639.77705713678836</v>
      </c>
      <c r="F33" s="182">
        <f t="shared" si="10"/>
        <v>3168.5659956457093</v>
      </c>
      <c r="G33" s="182">
        <f t="shared" si="10"/>
        <v>1706.7735407816483</v>
      </c>
      <c r="H33" s="182">
        <f t="shared" si="10"/>
        <v>7889.8259457306704</v>
      </c>
      <c r="I33" s="182"/>
    </row>
    <row r="34" spans="1:9" x14ac:dyDescent="0.2">
      <c r="A34" s="33" t="s">
        <v>77</v>
      </c>
      <c r="B34" s="182">
        <f t="shared" si="8"/>
        <v>11889</v>
      </c>
      <c r="C34" s="182">
        <f t="shared" ref="C34:H34" si="11">C6/$B$34</f>
        <v>1809.7973572209607</v>
      </c>
      <c r="D34" s="182">
        <f t="shared" si="11"/>
        <v>824.95728824964249</v>
      </c>
      <c r="E34" s="182">
        <f t="shared" si="11"/>
        <v>686.37500378501136</v>
      </c>
      <c r="F34" s="182">
        <f t="shared" si="11"/>
        <v>3176.2092303810246</v>
      </c>
      <c r="G34" s="182">
        <f t="shared" si="11"/>
        <v>2054.1803801833626</v>
      </c>
      <c r="H34" s="182">
        <f t="shared" si="11"/>
        <v>8551.519259820001</v>
      </c>
      <c r="I34" s="182"/>
    </row>
    <row r="35" spans="1:9" x14ac:dyDescent="0.2">
      <c r="A35" s="33" t="s">
        <v>78</v>
      </c>
      <c r="B35" s="182">
        <f t="shared" si="8"/>
        <v>12931</v>
      </c>
      <c r="C35" s="182">
        <f t="shared" ref="C35:H35" si="12">C7/$B$35</f>
        <v>1840.1869082050885</v>
      </c>
      <c r="D35" s="182">
        <f t="shared" si="12"/>
        <v>625.92406387750373</v>
      </c>
      <c r="E35" s="182">
        <f t="shared" si="12"/>
        <v>679.16127523006719</v>
      </c>
      <c r="F35" s="182">
        <f t="shared" si="12"/>
        <v>3182.5523749129998</v>
      </c>
      <c r="G35" s="182">
        <f t="shared" si="12"/>
        <v>1372.0248936663829</v>
      </c>
      <c r="H35" s="182">
        <f t="shared" si="12"/>
        <v>7699.8495158920423</v>
      </c>
      <c r="I35" s="182"/>
    </row>
    <row r="36" spans="1:9" x14ac:dyDescent="0.2">
      <c r="A36" s="33" t="s">
        <v>79</v>
      </c>
      <c r="B36" s="182">
        <f t="shared" si="8"/>
        <v>5888</v>
      </c>
      <c r="C36" s="182">
        <f t="shared" ref="C36:H36" si="13">C8/$B$36</f>
        <v>2390.5791032608695</v>
      </c>
      <c r="D36" s="182">
        <f t="shared" si="13"/>
        <v>1317.7015336277175</v>
      </c>
      <c r="E36" s="182">
        <f t="shared" si="13"/>
        <v>833.31787364130435</v>
      </c>
      <c r="F36" s="182">
        <f t="shared" si="13"/>
        <v>3399.7534408967394</v>
      </c>
      <c r="G36" s="182">
        <f t="shared" si="13"/>
        <v>1960.7715947690217</v>
      </c>
      <c r="H36" s="182">
        <f t="shared" si="13"/>
        <v>9902.123546195653</v>
      </c>
      <c r="I36" s="182"/>
    </row>
    <row r="37" spans="1:9" x14ac:dyDescent="0.2">
      <c r="A37" s="33" t="s">
        <v>80</v>
      </c>
      <c r="B37" s="183">
        <f t="shared" si="8"/>
        <v>1451</v>
      </c>
      <c r="C37" s="183">
        <f t="shared" ref="C37:H37" si="14">C9/$B$37</f>
        <v>2469.4239834596833</v>
      </c>
      <c r="D37" s="183">
        <f t="shared" si="14"/>
        <v>1182.2751068228806</v>
      </c>
      <c r="E37" s="183">
        <f t="shared" si="14"/>
        <v>795.43308063404538</v>
      </c>
      <c r="F37" s="183">
        <f t="shared" si="14"/>
        <v>3247.2492212267402</v>
      </c>
      <c r="G37" s="183">
        <f t="shared" si="14"/>
        <v>1566.2826326671261</v>
      </c>
      <c r="H37" s="183">
        <f t="shared" si="14"/>
        <v>9260.6640248104741</v>
      </c>
      <c r="I37" s="182"/>
    </row>
    <row r="38" spans="1:9" x14ac:dyDescent="0.2">
      <c r="A38" s="33" t="s">
        <v>171</v>
      </c>
      <c r="B38" s="182">
        <f>SUM(B32:B37)</f>
        <v>86936</v>
      </c>
      <c r="C38" s="182">
        <f t="shared" ref="C38:H38" si="15">C10/$B$38</f>
        <v>1996.6027451228485</v>
      </c>
      <c r="D38" s="182">
        <f t="shared" si="15"/>
        <v>628.87049070580667</v>
      </c>
      <c r="E38" s="182">
        <f t="shared" si="15"/>
        <v>697.31376667893619</v>
      </c>
      <c r="F38" s="182">
        <f t="shared" si="15"/>
        <v>3135.3338272982419</v>
      </c>
      <c r="G38" s="182">
        <f t="shared" si="15"/>
        <v>1384.0555167019418</v>
      </c>
      <c r="H38" s="182">
        <f t="shared" si="15"/>
        <v>7842.1763465077756</v>
      </c>
      <c r="I38" s="182"/>
    </row>
    <row r="39" spans="1:9" x14ac:dyDescent="0.2">
      <c r="A39" s="33"/>
      <c r="B39" s="182"/>
      <c r="C39" s="182"/>
      <c r="D39" s="182"/>
      <c r="E39" s="182"/>
      <c r="F39" s="182"/>
      <c r="G39" s="182"/>
      <c r="H39" s="182"/>
      <c r="I39" s="182"/>
    </row>
    <row r="40" spans="1:9" x14ac:dyDescent="0.2">
      <c r="A40" s="33"/>
      <c r="B40" s="182"/>
      <c r="C40" s="182"/>
      <c r="D40" s="182"/>
      <c r="E40" s="182"/>
      <c r="F40" s="182"/>
      <c r="G40" s="182"/>
      <c r="H40" s="182"/>
      <c r="I40" s="182"/>
    </row>
    <row r="41" spans="1:9" x14ac:dyDescent="0.2">
      <c r="A41" s="33" t="s">
        <v>81</v>
      </c>
      <c r="B41" s="182">
        <f>B13</f>
        <v>22656</v>
      </c>
      <c r="C41" s="182">
        <f t="shared" ref="C41:H41" si="16">C13/$B$41</f>
        <v>2378.1874651306498</v>
      </c>
      <c r="D41" s="182">
        <f t="shared" si="16"/>
        <v>755.63053363347467</v>
      </c>
      <c r="E41" s="182">
        <f t="shared" si="16"/>
        <v>709.75207494703386</v>
      </c>
      <c r="F41" s="182">
        <f t="shared" si="16"/>
        <v>3357.1248945091806</v>
      </c>
      <c r="G41" s="182">
        <f t="shared" si="16"/>
        <v>683.56307556497177</v>
      </c>
      <c r="H41" s="182">
        <f t="shared" si="16"/>
        <v>7884.2580437853103</v>
      </c>
      <c r="I41" s="182"/>
    </row>
    <row r="42" spans="1:9" x14ac:dyDescent="0.2">
      <c r="A42" s="33" t="s">
        <v>82</v>
      </c>
      <c r="B42" s="182">
        <f>B14</f>
        <v>9214</v>
      </c>
      <c r="C42" s="182">
        <f t="shared" ref="C42:H42" si="17">C14/$B$42</f>
        <v>2096.2199251139573</v>
      </c>
      <c r="D42" s="182">
        <f t="shared" si="17"/>
        <v>931.81585739092691</v>
      </c>
      <c r="E42" s="182">
        <f t="shared" si="17"/>
        <v>724.7456251356632</v>
      </c>
      <c r="F42" s="182">
        <f t="shared" si="17"/>
        <v>3599.605334273931</v>
      </c>
      <c r="G42" s="182">
        <f t="shared" si="17"/>
        <v>708.20652268287392</v>
      </c>
      <c r="H42" s="182">
        <f t="shared" si="17"/>
        <v>8060.5932645973526</v>
      </c>
      <c r="I42" s="182"/>
    </row>
    <row r="43" spans="1:9" x14ac:dyDescent="0.2">
      <c r="A43" s="33" t="s">
        <v>83</v>
      </c>
      <c r="B43" s="182">
        <f>B15</f>
        <v>4359</v>
      </c>
      <c r="C43" s="182">
        <f t="shared" ref="C43:H43" si="18">C15/$B$43</f>
        <v>2545.4504542326222</v>
      </c>
      <c r="D43" s="182">
        <f t="shared" si="18"/>
        <v>1051.7222505161735</v>
      </c>
      <c r="E43" s="182">
        <f t="shared" si="18"/>
        <v>756.2983207157605</v>
      </c>
      <c r="F43" s="182">
        <f t="shared" si="18"/>
        <v>3910.0762307868777</v>
      </c>
      <c r="G43" s="182">
        <f t="shared" si="18"/>
        <v>1101.3769098417069</v>
      </c>
      <c r="H43" s="182">
        <f t="shared" si="18"/>
        <v>9364.9241660931402</v>
      </c>
      <c r="I43" s="182"/>
    </row>
    <row r="44" spans="1:9" x14ac:dyDescent="0.2">
      <c r="A44" s="33" t="s">
        <v>84</v>
      </c>
      <c r="B44" s="182">
        <f>B16</f>
        <v>5093</v>
      </c>
      <c r="C44" s="182">
        <f t="shared" ref="C44:H44" si="19">C16/$B$44</f>
        <v>2600.6264245042216</v>
      </c>
      <c r="D44" s="182">
        <f t="shared" si="19"/>
        <v>1120.9460102100923</v>
      </c>
      <c r="E44" s="182">
        <f t="shared" si="19"/>
        <v>971.56888670724516</v>
      </c>
      <c r="F44" s="182">
        <f t="shared" si="19"/>
        <v>4598.9102159827216</v>
      </c>
      <c r="G44" s="182">
        <f t="shared" si="19"/>
        <v>1610.093310426075</v>
      </c>
      <c r="H44" s="182">
        <f t="shared" si="19"/>
        <v>10902.144847830357</v>
      </c>
      <c r="I44" s="182"/>
    </row>
    <row r="45" spans="1:9" x14ac:dyDescent="0.2">
      <c r="A45" s="33" t="s">
        <v>85</v>
      </c>
      <c r="B45" s="183">
        <f>B17</f>
        <v>1714</v>
      </c>
      <c r="C45" s="183">
        <f t="shared" ref="C45:H45" si="20">C17/$B$45</f>
        <v>4249.4795740956824</v>
      </c>
      <c r="D45" s="183">
        <f t="shared" si="20"/>
        <v>2159.454772462077</v>
      </c>
      <c r="E45" s="183">
        <f t="shared" si="20"/>
        <v>1355.6016977829638</v>
      </c>
      <c r="F45" s="183">
        <f t="shared" si="20"/>
        <v>6193.1160385064177</v>
      </c>
      <c r="G45" s="183">
        <f t="shared" si="20"/>
        <v>1856.0007759626606</v>
      </c>
      <c r="H45" s="183">
        <f t="shared" si="20"/>
        <v>15813.652858809801</v>
      </c>
      <c r="I45" s="182"/>
    </row>
    <row r="46" spans="1:9" x14ac:dyDescent="0.2">
      <c r="A46" s="33" t="s">
        <v>172</v>
      </c>
      <c r="B46" s="182">
        <f>SUM(B41:B45)</f>
        <v>43036</v>
      </c>
      <c r="C46" s="182">
        <f t="shared" ref="C46:H46" si="21">C18/$B$46</f>
        <v>2435.6121038200572</v>
      </c>
      <c r="D46" s="182">
        <f t="shared" si="21"/>
        <v>922.48483781020536</v>
      </c>
      <c r="E46" s="182">
        <f t="shared" si="21"/>
        <v>774.38319616135323</v>
      </c>
      <c r="F46" s="182">
        <f t="shared" si="21"/>
        <v>3724.9525529789012</v>
      </c>
      <c r="G46" s="182">
        <f t="shared" si="21"/>
        <v>887.50145111069787</v>
      </c>
      <c r="H46" s="182">
        <f t="shared" si="21"/>
        <v>8744.9341418812164</v>
      </c>
      <c r="I46" s="182"/>
    </row>
    <row r="47" spans="1:9" x14ac:dyDescent="0.2">
      <c r="A47" s="33"/>
      <c r="B47" s="182"/>
      <c r="C47" s="182"/>
      <c r="D47" s="182"/>
      <c r="E47" s="182"/>
      <c r="F47" s="182"/>
      <c r="G47" s="182"/>
      <c r="H47" s="182"/>
      <c r="I47" s="182"/>
    </row>
    <row r="48" spans="1:9" x14ac:dyDescent="0.2">
      <c r="A48" s="33"/>
      <c r="B48" s="182"/>
      <c r="C48" s="182"/>
      <c r="D48" s="182"/>
      <c r="E48" s="182"/>
      <c r="F48" s="182"/>
      <c r="G48" s="182"/>
      <c r="H48" s="182"/>
      <c r="I48" s="182"/>
    </row>
    <row r="49" spans="1:9" x14ac:dyDescent="0.2">
      <c r="A49" s="33" t="s">
        <v>86</v>
      </c>
      <c r="B49" s="182">
        <f>B21</f>
        <v>11457</v>
      </c>
      <c r="C49" s="182">
        <f t="shared" ref="C49:H49" si="22">C21/$B$49</f>
        <v>1656.0605149690145</v>
      </c>
      <c r="D49" s="182">
        <f t="shared" si="22"/>
        <v>1023.8955075499695</v>
      </c>
      <c r="E49" s="182">
        <f t="shared" si="22"/>
        <v>665.76444095312911</v>
      </c>
      <c r="F49" s="182">
        <f t="shared" si="22"/>
        <v>3467.5606930260974</v>
      </c>
      <c r="G49" s="182">
        <f t="shared" si="22"/>
        <v>949.86200750632793</v>
      </c>
      <c r="H49" s="182">
        <f t="shared" si="22"/>
        <v>7763.1431640045394</v>
      </c>
      <c r="I49" s="182"/>
    </row>
    <row r="50" spans="1:9" x14ac:dyDescent="0.2">
      <c r="A50" s="33" t="s">
        <v>87</v>
      </c>
      <c r="B50" s="183">
        <f>B22</f>
        <v>6223</v>
      </c>
      <c r="C50" s="183">
        <f t="shared" ref="C50:H50" si="23">C22/$B$50</f>
        <v>3164.3351213241203</v>
      </c>
      <c r="D50" s="183">
        <f t="shared" si="23"/>
        <v>1802.2583673469387</v>
      </c>
      <c r="E50" s="183">
        <f t="shared" si="23"/>
        <v>1023.2177486742728</v>
      </c>
      <c r="F50" s="183">
        <f t="shared" si="23"/>
        <v>4107.8913353687931</v>
      </c>
      <c r="G50" s="183">
        <f t="shared" si="23"/>
        <v>1231.9129519524345</v>
      </c>
      <c r="H50" s="183">
        <f t="shared" si="23"/>
        <v>11329.615524666558</v>
      </c>
      <c r="I50" s="182"/>
    </row>
    <row r="51" spans="1:9" x14ac:dyDescent="0.2">
      <c r="A51" s="33" t="s">
        <v>173</v>
      </c>
      <c r="B51" s="182">
        <f>SUM(B49:B50)</f>
        <v>17680</v>
      </c>
      <c r="C51" s="182">
        <f t="shared" ref="C51:H51" si="24">C23/$B$51</f>
        <v>2186.9424649321268</v>
      </c>
      <c r="D51" s="182">
        <f t="shared" si="24"/>
        <v>1297.8633851809955</v>
      </c>
      <c r="E51" s="182">
        <f t="shared" si="24"/>
        <v>791.58072680995474</v>
      </c>
      <c r="F51" s="182">
        <f t="shared" si="24"/>
        <v>3692.9440407239817</v>
      </c>
      <c r="G51" s="182">
        <f t="shared" si="24"/>
        <v>1049.1381968325793</v>
      </c>
      <c r="H51" s="182">
        <f t="shared" si="24"/>
        <v>9018.4688144796364</v>
      </c>
      <c r="I51" s="182"/>
    </row>
    <row r="52" spans="1:9" x14ac:dyDescent="0.2">
      <c r="A52" s="33"/>
      <c r="B52" s="182"/>
      <c r="C52" s="182"/>
      <c r="D52" s="182"/>
      <c r="E52" s="182"/>
      <c r="F52" s="182"/>
      <c r="G52" s="182"/>
      <c r="H52" s="182"/>
      <c r="I52" s="182"/>
    </row>
    <row r="53" spans="1:9" ht="13.5" thickBot="1" x14ac:dyDescent="0.25">
      <c r="A53" s="33" t="s">
        <v>174</v>
      </c>
      <c r="B53" s="192">
        <f>B51+B46+B38</f>
        <v>147652</v>
      </c>
      <c r="C53" s="192">
        <f t="shared" ref="C53:H53" si="25">C25/$B$53</f>
        <v>2147.3518918131822</v>
      </c>
      <c r="D53" s="192">
        <f t="shared" si="25"/>
        <v>794.55589568715629</v>
      </c>
      <c r="E53" s="192">
        <f t="shared" si="25"/>
        <v>731.06474751442579</v>
      </c>
      <c r="F53" s="192">
        <f t="shared" si="25"/>
        <v>3373.9582959932809</v>
      </c>
      <c r="G53" s="192">
        <f t="shared" si="25"/>
        <v>1199.2219961124808</v>
      </c>
      <c r="H53" s="192">
        <f t="shared" si="25"/>
        <v>8246.1528271205261</v>
      </c>
      <c r="I53" s="182"/>
    </row>
    <row r="54" spans="1:9" ht="13.5" thickTop="1" x14ac:dyDescent="0.2">
      <c r="A54" s="33"/>
      <c r="B54" s="182"/>
      <c r="C54" s="182"/>
      <c r="D54" s="182"/>
      <c r="E54" s="182"/>
      <c r="F54" s="182"/>
      <c r="G54" s="182"/>
      <c r="H54" s="182"/>
      <c r="I54" s="182"/>
    </row>
    <row r="55" spans="1:9" x14ac:dyDescent="0.2">
      <c r="A55" s="33"/>
      <c r="B55" s="182"/>
      <c r="C55" s="182"/>
      <c r="D55" s="182"/>
      <c r="E55" s="182"/>
      <c r="F55" s="182"/>
      <c r="G55" s="182"/>
      <c r="H55" s="182"/>
      <c r="I55" s="182"/>
    </row>
    <row r="56" spans="1:9" x14ac:dyDescent="0.2">
      <c r="A56" s="36" t="s">
        <v>200</v>
      </c>
      <c r="B56" s="36"/>
      <c r="C56" s="36"/>
      <c r="D56" s="36"/>
      <c r="E56" s="36"/>
      <c r="F56" s="36"/>
      <c r="G56" s="36"/>
      <c r="H56" s="36"/>
      <c r="I56" s="182"/>
    </row>
    <row r="57" spans="1:9" x14ac:dyDescent="0.2">
      <c r="A57" s="36" t="s">
        <v>557</v>
      </c>
      <c r="B57" s="36"/>
      <c r="C57" s="36"/>
      <c r="D57" s="36"/>
      <c r="E57" s="36"/>
      <c r="F57" s="36"/>
      <c r="G57" s="36"/>
      <c r="H57" s="36"/>
      <c r="I57" s="182"/>
    </row>
    <row r="58" spans="1:9" ht="33.75" x14ac:dyDescent="0.2">
      <c r="A58" s="20" t="s">
        <v>245</v>
      </c>
      <c r="B58" s="20"/>
      <c r="C58" s="202" t="str">
        <f>C30</f>
        <v>05/Pupil Property Tax</v>
      </c>
      <c r="D58" s="202" t="str">
        <f>D30</f>
        <v>05/Pupil Non Levy Revenue</v>
      </c>
      <c r="E58" s="202" t="str">
        <f>E30</f>
        <v>05/Pupil County Revenue</v>
      </c>
      <c r="F58" s="202" t="str">
        <f>F30</f>
        <v>05/Pupil State Revenue</v>
      </c>
      <c r="G58" s="202" t="str">
        <f>G30</f>
        <v>05/Pupil Federal Revenue</v>
      </c>
      <c r="H58" s="20"/>
      <c r="I58" s="194"/>
    </row>
    <row r="59" spans="1:9" x14ac:dyDescent="0.2">
      <c r="A59" s="33" t="s">
        <v>102</v>
      </c>
      <c r="B59" s="33"/>
      <c r="C59" s="191">
        <f>C4/H4</f>
        <v>0.29123344132806672</v>
      </c>
      <c r="D59" s="191">
        <f t="shared" ref="D59:D64" si="26">D32/H32</f>
        <v>6.6865502404640176E-2</v>
      </c>
      <c r="E59" s="191">
        <f t="shared" ref="E59:E64" si="27">E32/H32</f>
        <v>9.8267309754943702E-2</v>
      </c>
      <c r="F59" s="191">
        <f t="shared" ref="F59:F64" si="28">F32/H32</f>
        <v>0.41988430017602779</v>
      </c>
      <c r="G59" s="191">
        <f t="shared" ref="G59:G64" si="29">G32/H32</f>
        <v>0.12374944633632171</v>
      </c>
      <c r="H59" s="200">
        <f>SUM(C59:G59)</f>
        <v>1.0000000000000002</v>
      </c>
      <c r="I59" s="182"/>
    </row>
    <row r="60" spans="1:9" x14ac:dyDescent="0.2">
      <c r="A60" s="33" t="s">
        <v>76</v>
      </c>
      <c r="B60" s="33"/>
      <c r="C60" s="191">
        <f t="shared" ref="C60:C65" si="30">C33/H33</f>
        <v>0.23437643660185861</v>
      </c>
      <c r="D60" s="191">
        <f t="shared" si="26"/>
        <v>6.6607307336310734E-2</v>
      </c>
      <c r="E60" s="191">
        <f t="shared" si="27"/>
        <v>8.1088868314387025E-2</v>
      </c>
      <c r="F60" s="191">
        <f t="shared" si="28"/>
        <v>0.40160150774432213</v>
      </c>
      <c r="G60" s="191">
        <f t="shared" si="29"/>
        <v>0.21632588000312158</v>
      </c>
      <c r="H60" s="200">
        <f t="shared" ref="H60:H80" si="31">SUM(C60:G60)</f>
        <v>1</v>
      </c>
      <c r="I60" s="182"/>
    </row>
    <row r="61" spans="1:9" x14ac:dyDescent="0.2">
      <c r="A61" s="33" t="s">
        <v>77</v>
      </c>
      <c r="B61" s="33"/>
      <c r="C61" s="191">
        <f t="shared" si="30"/>
        <v>0.21163459991541372</v>
      </c>
      <c r="D61" s="191">
        <f t="shared" si="26"/>
        <v>9.6469090834627527E-2</v>
      </c>
      <c r="E61" s="191">
        <f t="shared" si="27"/>
        <v>8.0263516099413984E-2</v>
      </c>
      <c r="F61" s="191">
        <f t="shared" si="28"/>
        <v>0.37142046154356434</v>
      </c>
      <c r="G61" s="191">
        <f t="shared" si="29"/>
        <v>0.24021233160698049</v>
      </c>
      <c r="H61" s="200">
        <f t="shared" si="31"/>
        <v>1</v>
      </c>
      <c r="I61" s="182"/>
    </row>
    <row r="62" spans="1:9" x14ac:dyDescent="0.2">
      <c r="A62" s="33" t="s">
        <v>78</v>
      </c>
      <c r="B62" s="33"/>
      <c r="C62" s="191">
        <f t="shared" si="30"/>
        <v>0.23898998342851371</v>
      </c>
      <c r="D62" s="191">
        <f t="shared" si="26"/>
        <v>8.1290428155203917E-2</v>
      </c>
      <c r="E62" s="191">
        <f t="shared" si="27"/>
        <v>8.8204486831634538E-2</v>
      </c>
      <c r="F62" s="191">
        <f t="shared" si="28"/>
        <v>0.41332656805102441</v>
      </c>
      <c r="G62" s="191">
        <f t="shared" si="29"/>
        <v>0.17818853353362338</v>
      </c>
      <c r="H62" s="200">
        <f t="shared" si="31"/>
        <v>1</v>
      </c>
      <c r="I62" s="182"/>
    </row>
    <row r="63" spans="1:9" x14ac:dyDescent="0.2">
      <c r="A63" s="33" t="s">
        <v>79</v>
      </c>
      <c r="B63" s="33"/>
      <c r="C63" s="191">
        <f t="shared" si="30"/>
        <v>0.24142085201303293</v>
      </c>
      <c r="D63" s="191">
        <f t="shared" si="26"/>
        <v>0.13307262098683589</v>
      </c>
      <c r="E63" s="191">
        <f t="shared" si="27"/>
        <v>8.4155471273781562E-2</v>
      </c>
      <c r="F63" s="191">
        <f t="shared" si="28"/>
        <v>0.34333579307873896</v>
      </c>
      <c r="G63" s="191">
        <f t="shared" si="29"/>
        <v>0.19801526264761063</v>
      </c>
      <c r="H63" s="200">
        <f t="shared" si="31"/>
        <v>0.99999999999999989</v>
      </c>
      <c r="I63" s="182"/>
    </row>
    <row r="64" spans="1:9" x14ac:dyDescent="0.2">
      <c r="A64" s="33" t="s">
        <v>80</v>
      </c>
      <c r="B64" s="33"/>
      <c r="C64" s="193">
        <f t="shared" si="30"/>
        <v>0.26665733438161543</v>
      </c>
      <c r="D64" s="193">
        <f t="shared" si="26"/>
        <v>0.12766634267860469</v>
      </c>
      <c r="E64" s="193">
        <f t="shared" si="27"/>
        <v>8.5893741367031665E-2</v>
      </c>
      <c r="F64" s="193">
        <f t="shared" si="28"/>
        <v>0.3506497171830178</v>
      </c>
      <c r="G64" s="193">
        <f t="shared" si="29"/>
        <v>0.16913286438973055</v>
      </c>
      <c r="H64" s="203">
        <f t="shared" si="31"/>
        <v>1</v>
      </c>
      <c r="I64" s="182"/>
    </row>
    <row r="65" spans="1:9" x14ac:dyDescent="0.2">
      <c r="A65" s="33" t="s">
        <v>171</v>
      </c>
      <c r="B65" s="33"/>
      <c r="C65" s="191">
        <f t="shared" si="30"/>
        <v>0.25459804229115074</v>
      </c>
      <c r="D65" s="191">
        <f>D38/H38</f>
        <v>8.0190812208125239E-2</v>
      </c>
      <c r="E65" s="191">
        <f>E38/H38</f>
        <v>8.8918399162173797E-2</v>
      </c>
      <c r="F65" s="191">
        <f>F38/H38</f>
        <v>0.3998040453010786</v>
      </c>
      <c r="G65" s="191">
        <f>G38/H38</f>
        <v>0.17648870103747155</v>
      </c>
      <c r="H65" s="200">
        <f t="shared" si="31"/>
        <v>1</v>
      </c>
      <c r="I65" s="182"/>
    </row>
    <row r="66" spans="1:9" x14ac:dyDescent="0.2">
      <c r="A66" s="33"/>
      <c r="B66" s="33"/>
      <c r="C66" s="182"/>
      <c r="D66" s="182"/>
      <c r="E66" s="182"/>
      <c r="F66" s="182"/>
      <c r="G66" s="182"/>
      <c r="H66" s="200"/>
      <c r="I66" s="182"/>
    </row>
    <row r="67" spans="1:9" x14ac:dyDescent="0.2">
      <c r="A67" s="33"/>
      <c r="B67" s="33"/>
      <c r="C67" s="182"/>
      <c r="D67" s="182"/>
      <c r="E67" s="182"/>
      <c r="F67" s="182"/>
      <c r="G67" s="182"/>
      <c r="H67" s="200"/>
      <c r="I67" s="182"/>
    </row>
    <row r="68" spans="1:9" x14ac:dyDescent="0.2">
      <c r="A68" s="33" t="s">
        <v>81</v>
      </c>
      <c r="B68" s="33"/>
      <c r="C68" s="191">
        <f t="shared" ref="C68:C73" si="32">C41/H41</f>
        <v>0.30163744665932551</v>
      </c>
      <c r="D68" s="191">
        <f t="shared" ref="D68:D73" si="33">D41/H41</f>
        <v>9.5840411290076061E-2</v>
      </c>
      <c r="E68" s="191">
        <f t="shared" ref="E68:E73" si="34">E41/H41</f>
        <v>9.0021416220197034E-2</v>
      </c>
      <c r="F68" s="191">
        <f t="shared" ref="F68:F73" si="35">F41/H41</f>
        <v>0.42580099178202341</v>
      </c>
      <c r="G68" s="191">
        <f t="shared" ref="G68:G73" si="36">G41/H41</f>
        <v>8.6699734048378052E-2</v>
      </c>
      <c r="H68" s="200">
        <f t="shared" si="31"/>
        <v>1</v>
      </c>
      <c r="I68" s="182"/>
    </row>
    <row r="69" spans="1:9" x14ac:dyDescent="0.2">
      <c r="A69" s="33" t="s">
        <v>82</v>
      </c>
      <c r="B69" s="33"/>
      <c r="C69" s="191">
        <f t="shared" si="32"/>
        <v>0.26005777196582924</v>
      </c>
      <c r="D69" s="191">
        <f t="shared" si="33"/>
        <v>0.11560139890490723</v>
      </c>
      <c r="E69" s="191">
        <f t="shared" si="34"/>
        <v>8.9912193971973864E-2</v>
      </c>
      <c r="F69" s="191">
        <f t="shared" si="35"/>
        <v>0.44656828797994691</v>
      </c>
      <c r="G69" s="191">
        <f t="shared" si="36"/>
        <v>8.7860347177342743E-2</v>
      </c>
      <c r="H69" s="200">
        <f t="shared" si="31"/>
        <v>1</v>
      </c>
      <c r="I69" s="182"/>
    </row>
    <row r="70" spans="1:9" x14ac:dyDescent="0.2">
      <c r="A70" s="33" t="s">
        <v>83</v>
      </c>
      <c r="B70" s="33"/>
      <c r="C70" s="191">
        <f t="shared" si="32"/>
        <v>0.27180684104722797</v>
      </c>
      <c r="D70" s="191">
        <f t="shared" si="33"/>
        <v>0.11230440651340919</v>
      </c>
      <c r="E70" s="191">
        <f t="shared" si="34"/>
        <v>8.0758616653195295E-2</v>
      </c>
      <c r="F70" s="191">
        <f t="shared" si="35"/>
        <v>0.41752353371357664</v>
      </c>
      <c r="G70" s="191">
        <f t="shared" si="36"/>
        <v>0.11760660207259099</v>
      </c>
      <c r="H70" s="200">
        <f t="shared" si="31"/>
        <v>1</v>
      </c>
      <c r="I70" s="182"/>
    </row>
    <row r="71" spans="1:9" x14ac:dyDescent="0.2">
      <c r="A71" s="33" t="s">
        <v>84</v>
      </c>
      <c r="B71" s="33"/>
      <c r="C71" s="191">
        <f t="shared" si="32"/>
        <v>0.2385426409943337</v>
      </c>
      <c r="D71" s="191">
        <f t="shared" si="33"/>
        <v>0.10281885132292774</v>
      </c>
      <c r="E71" s="191">
        <f t="shared" si="34"/>
        <v>8.9117224203877438E-2</v>
      </c>
      <c r="F71" s="191">
        <f t="shared" si="35"/>
        <v>0.42183536177268399</v>
      </c>
      <c r="G71" s="191">
        <f t="shared" si="36"/>
        <v>0.147685921706177</v>
      </c>
      <c r="H71" s="200">
        <f t="shared" si="31"/>
        <v>0.99999999999999989</v>
      </c>
      <c r="I71" s="182"/>
    </row>
    <row r="72" spans="1:9" x14ac:dyDescent="0.2">
      <c r="A72" s="33" t="s">
        <v>85</v>
      </c>
      <c r="B72" s="33"/>
      <c r="C72" s="193">
        <f t="shared" si="32"/>
        <v>0.26872219923104568</v>
      </c>
      <c r="D72" s="193">
        <f t="shared" si="33"/>
        <v>0.13655635366113672</v>
      </c>
      <c r="E72" s="193">
        <f t="shared" si="34"/>
        <v>8.5723501703640653E-2</v>
      </c>
      <c r="F72" s="193">
        <f t="shared" si="35"/>
        <v>0.39163095926038538</v>
      </c>
      <c r="G72" s="193">
        <f t="shared" si="36"/>
        <v>0.11736698614379161</v>
      </c>
      <c r="H72" s="203">
        <f t="shared" si="31"/>
        <v>1</v>
      </c>
      <c r="I72" s="182"/>
    </row>
    <row r="73" spans="1:9" x14ac:dyDescent="0.2">
      <c r="A73" s="33" t="s">
        <v>172</v>
      </c>
      <c r="B73" s="33"/>
      <c r="C73" s="191">
        <f t="shared" si="32"/>
        <v>0.27851691782965293</v>
      </c>
      <c r="D73" s="191">
        <f t="shared" si="33"/>
        <v>0.10548791138314505</v>
      </c>
      <c r="E73" s="191">
        <f t="shared" si="34"/>
        <v>8.8552204464603018E-2</v>
      </c>
      <c r="F73" s="191">
        <f t="shared" si="35"/>
        <v>0.42595547233905029</v>
      </c>
      <c r="G73" s="191">
        <f t="shared" si="36"/>
        <v>0.1014874939835485</v>
      </c>
      <c r="H73" s="200">
        <f t="shared" si="31"/>
        <v>0.99999999999999978</v>
      </c>
      <c r="I73" s="182"/>
    </row>
    <row r="74" spans="1:9" x14ac:dyDescent="0.2">
      <c r="A74" s="33"/>
      <c r="B74" s="33"/>
      <c r="C74" s="182"/>
      <c r="D74" s="182"/>
      <c r="E74" s="182"/>
      <c r="F74" s="182"/>
      <c r="G74" s="182"/>
      <c r="H74" s="200"/>
      <c r="I74" s="182"/>
    </row>
    <row r="75" spans="1:9" x14ac:dyDescent="0.2">
      <c r="A75" s="33"/>
      <c r="B75" s="33"/>
      <c r="C75" s="182"/>
      <c r="D75" s="182"/>
      <c r="E75" s="182"/>
      <c r="F75" s="182"/>
      <c r="G75" s="182"/>
      <c r="H75" s="200"/>
      <c r="I75" s="182"/>
    </row>
    <row r="76" spans="1:9" x14ac:dyDescent="0.2">
      <c r="A76" s="33" t="s">
        <v>86</v>
      </c>
      <c r="B76" s="33"/>
      <c r="C76" s="191">
        <f>C49/H49</f>
        <v>0.21332345417094592</v>
      </c>
      <c r="D76" s="191">
        <f>D49/H49</f>
        <v>0.13189187496856664</v>
      </c>
      <c r="E76" s="191">
        <f>E49/H49</f>
        <v>8.5759650039701346E-2</v>
      </c>
      <c r="F76" s="191">
        <f>F49/H49</f>
        <v>0.44666968259765943</v>
      </c>
      <c r="G76" s="191">
        <f>G49/H49</f>
        <v>0.12235533822312651</v>
      </c>
      <c r="H76" s="200">
        <f t="shared" si="31"/>
        <v>0.99999999999999989</v>
      </c>
      <c r="I76" s="182"/>
    </row>
    <row r="77" spans="1:9" x14ac:dyDescent="0.2">
      <c r="A77" s="33" t="s">
        <v>87</v>
      </c>
      <c r="B77" s="33"/>
      <c r="C77" s="193">
        <f>C50/H50</f>
        <v>0.27929766146386947</v>
      </c>
      <c r="D77" s="193">
        <f>D50/H50</f>
        <v>0.15907498038420689</v>
      </c>
      <c r="E77" s="193">
        <f>E50/H50</f>
        <v>9.0313545631495476E-2</v>
      </c>
      <c r="F77" s="193">
        <f>F50/H50</f>
        <v>0.36257994160747942</v>
      </c>
      <c r="G77" s="193">
        <f>G50/H50</f>
        <v>0.10873387091294882</v>
      </c>
      <c r="H77" s="203">
        <f t="shared" si="31"/>
        <v>1</v>
      </c>
      <c r="I77" s="182"/>
    </row>
    <row r="78" spans="1:9" x14ac:dyDescent="0.2">
      <c r="A78" s="33" t="s">
        <v>173</v>
      </c>
      <c r="B78" s="33"/>
      <c r="C78" s="191">
        <f>C51/H51</f>
        <v>0.24249598351117799</v>
      </c>
      <c r="D78" s="191">
        <f>D51/H51</f>
        <v>0.14391172291877374</v>
      </c>
      <c r="E78" s="191">
        <f>E51/H51</f>
        <v>8.7773295344663091E-2</v>
      </c>
      <c r="F78" s="191">
        <f>F51/H51</f>
        <v>0.40948681164088097</v>
      </c>
      <c r="G78" s="191">
        <f>G51/H51</f>
        <v>0.11633218658450441</v>
      </c>
      <c r="H78" s="200">
        <f t="shared" si="31"/>
        <v>1.0000000000000002</v>
      </c>
      <c r="I78" s="182"/>
    </row>
    <row r="79" spans="1:9" x14ac:dyDescent="0.2">
      <c r="A79" s="33"/>
      <c r="B79" s="33"/>
      <c r="C79" s="182"/>
      <c r="D79" s="182"/>
      <c r="E79" s="182"/>
      <c r="F79" s="182"/>
      <c r="G79" s="182"/>
      <c r="H79" s="182"/>
      <c r="I79" s="182"/>
    </row>
    <row r="80" spans="1:9" ht="13.5" thickBot="1" x14ac:dyDescent="0.25">
      <c r="A80" s="33" t="s">
        <v>208</v>
      </c>
      <c r="B80" s="33"/>
      <c r="C80" s="195">
        <f>C53/H53</f>
        <v>0.26040651159784728</v>
      </c>
      <c r="D80" s="195">
        <f>D53/H53</f>
        <v>9.6354738063302095E-2</v>
      </c>
      <c r="E80" s="195">
        <f>E53/H53</f>
        <v>8.8655250859534004E-2</v>
      </c>
      <c r="F80" s="195">
        <f>F53/H53</f>
        <v>0.4091554409344404</v>
      </c>
      <c r="G80" s="195">
        <f>G53/H53</f>
        <v>0.14542805854487628</v>
      </c>
      <c r="H80" s="204">
        <f t="shared" si="31"/>
        <v>1</v>
      </c>
      <c r="I80" s="182"/>
    </row>
    <row r="81" spans="1:9" ht="13.5" thickTop="1" x14ac:dyDescent="0.2">
      <c r="A81" s="33"/>
      <c r="B81" s="33"/>
      <c r="C81" s="33"/>
      <c r="D81" s="33"/>
      <c r="E81" s="33"/>
      <c r="F81" s="33"/>
      <c r="G81" s="33"/>
      <c r="H81" s="33"/>
      <c r="I81" s="182"/>
    </row>
    <row r="82" spans="1:9" x14ac:dyDescent="0.2">
      <c r="A82" s="33"/>
      <c r="B82" s="33"/>
      <c r="C82" s="33"/>
      <c r="D82" s="33"/>
      <c r="E82" s="33"/>
      <c r="F82" s="33"/>
      <c r="G82" s="33"/>
      <c r="H82" s="33"/>
      <c r="I82" s="182"/>
    </row>
  </sheetData>
  <phoneticPr fontId="7" type="noConversion"/>
  <pageMargins left="0.25" right="0.25" top="1" bottom="1" header="0.5" footer="0.5"/>
  <pageSetup orientation="landscape" horizontalDpi="4294967293" r:id="rId1"/>
  <headerFooter alignWithMargins="0"/>
  <rowBreaks count="2" manualBreakCount="2">
    <brk id="26" max="16383" man="1"/>
    <brk id="5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J83"/>
  <sheetViews>
    <sheetView topLeftCell="A61" workbookViewId="0">
      <selection activeCell="D53" sqref="D53"/>
    </sheetView>
  </sheetViews>
  <sheetFormatPr defaultRowHeight="12.75" x14ac:dyDescent="0.2"/>
  <cols>
    <col min="1" max="1" width="18.42578125" customWidth="1"/>
    <col min="2" max="2" width="9.28515625" bestFit="1" customWidth="1"/>
    <col min="3" max="7" width="9.5703125" bestFit="1" customWidth="1"/>
    <col min="8" max="8" width="10.85546875" bestFit="1" customWidth="1"/>
    <col min="9" max="9" width="9.28515625" bestFit="1" customWidth="1"/>
  </cols>
  <sheetData>
    <row r="1" spans="1:9" x14ac:dyDescent="0.2">
      <c r="A1" s="36" t="s">
        <v>200</v>
      </c>
      <c r="B1" s="36"/>
      <c r="C1" s="22"/>
      <c r="D1" s="22"/>
      <c r="E1" s="22"/>
      <c r="F1" s="22"/>
      <c r="G1" s="22"/>
      <c r="H1" s="22"/>
      <c r="I1" s="22"/>
    </row>
    <row r="2" spans="1:9" x14ac:dyDescent="0.2">
      <c r="A2" s="36" t="s">
        <v>518</v>
      </c>
      <c r="B2" s="36"/>
      <c r="C2" s="22"/>
      <c r="D2" s="22"/>
      <c r="E2" s="22"/>
      <c r="F2" s="22"/>
      <c r="G2" s="22"/>
      <c r="H2" s="22"/>
      <c r="I2" s="22"/>
    </row>
    <row r="3" spans="1:9" s="196" customFormat="1" ht="33.75" x14ac:dyDescent="0.2">
      <c r="A3" s="20" t="s">
        <v>245</v>
      </c>
      <c r="B3" s="201" t="s">
        <v>498</v>
      </c>
      <c r="C3" s="202" t="s">
        <v>519</v>
      </c>
      <c r="D3" s="202" t="s">
        <v>520</v>
      </c>
      <c r="E3" s="202" t="s">
        <v>521</v>
      </c>
      <c r="F3" s="202" t="s">
        <v>522</v>
      </c>
      <c r="G3" s="202" t="s">
        <v>523</v>
      </c>
      <c r="H3" s="202" t="s">
        <v>524</v>
      </c>
      <c r="I3" s="202" t="s">
        <v>525</v>
      </c>
    </row>
    <row r="4" spans="1:9" x14ac:dyDescent="0.2">
      <c r="A4" s="33" t="s">
        <v>102</v>
      </c>
      <c r="B4" s="182">
        <v>33931</v>
      </c>
      <c r="C4" s="182">
        <v>67263134.700000003</v>
      </c>
      <c r="D4" s="182">
        <v>15893827.810000001</v>
      </c>
      <c r="E4" s="182">
        <v>24190079.59</v>
      </c>
      <c r="F4" s="182">
        <v>96054408.5</v>
      </c>
      <c r="G4" s="182">
        <v>31749716.050000001</v>
      </c>
      <c r="H4" s="182">
        <f t="shared" ref="H4:H9" si="0">SUM(C4:G4)</f>
        <v>235151166.65000004</v>
      </c>
      <c r="I4" s="182">
        <f>H4/B4</f>
        <v>6930.2751657776089</v>
      </c>
    </row>
    <row r="5" spans="1:9" x14ac:dyDescent="0.2">
      <c r="A5" s="33" t="s">
        <v>76</v>
      </c>
      <c r="B5" s="182">
        <v>21202</v>
      </c>
      <c r="C5" s="182">
        <v>39080396.75</v>
      </c>
      <c r="D5" s="182">
        <v>10623530.939999999</v>
      </c>
      <c r="E5" s="182">
        <v>14279315.609999999</v>
      </c>
      <c r="F5" s="182">
        <v>64764118.229999997</v>
      </c>
      <c r="G5" s="182">
        <v>35583874</v>
      </c>
      <c r="H5" s="182">
        <f t="shared" si="0"/>
        <v>164331235.53</v>
      </c>
      <c r="I5" s="182">
        <f t="shared" ref="I5:I10" si="1">H5/B5</f>
        <v>7750.7421719649092</v>
      </c>
    </row>
    <row r="6" spans="1:9" x14ac:dyDescent="0.2">
      <c r="A6" s="33" t="s">
        <v>77</v>
      </c>
      <c r="B6" s="182">
        <v>11728</v>
      </c>
      <c r="C6" s="182">
        <v>21311304.25</v>
      </c>
      <c r="D6" s="182">
        <v>9515472.3100000005</v>
      </c>
      <c r="E6" s="182">
        <v>8947560.9900000002</v>
      </c>
      <c r="F6" s="182">
        <v>36122193.880000003</v>
      </c>
      <c r="G6" s="182">
        <v>22674167</v>
      </c>
      <c r="H6" s="182">
        <f t="shared" si="0"/>
        <v>98570698.430000007</v>
      </c>
      <c r="I6" s="182">
        <f t="shared" si="1"/>
        <v>8404.732130798091</v>
      </c>
    </row>
    <row r="7" spans="1:9" x14ac:dyDescent="0.2">
      <c r="A7" s="33" t="s">
        <v>78</v>
      </c>
      <c r="B7" s="182">
        <v>13035</v>
      </c>
      <c r="C7" s="182">
        <v>23146931.16</v>
      </c>
      <c r="D7" s="182">
        <v>8479191.1899999995</v>
      </c>
      <c r="E7" s="182">
        <v>9269561.9700000007</v>
      </c>
      <c r="F7" s="182">
        <v>39947317.880000003</v>
      </c>
      <c r="G7" s="182">
        <v>18327134</v>
      </c>
      <c r="H7" s="182">
        <f t="shared" si="0"/>
        <v>99170136.200000003</v>
      </c>
      <c r="I7" s="182">
        <f t="shared" si="1"/>
        <v>7607.9889681626391</v>
      </c>
    </row>
    <row r="8" spans="1:9" x14ac:dyDescent="0.2">
      <c r="A8" s="33" t="s">
        <v>79</v>
      </c>
      <c r="B8" s="182">
        <v>6607</v>
      </c>
      <c r="C8" s="182">
        <v>15495329.720000001</v>
      </c>
      <c r="D8" s="182">
        <v>6525145.0899999999</v>
      </c>
      <c r="E8" s="182">
        <v>5530872.7400000002</v>
      </c>
      <c r="F8" s="182">
        <v>21569722.739999998</v>
      </c>
      <c r="G8" s="182">
        <v>12898319</v>
      </c>
      <c r="H8" s="182">
        <f t="shared" si="0"/>
        <v>62019389.290000007</v>
      </c>
      <c r="I8" s="182">
        <f t="shared" si="1"/>
        <v>9386.9213394884227</v>
      </c>
    </row>
    <row r="9" spans="1:9" x14ac:dyDescent="0.2">
      <c r="A9" s="33" t="s">
        <v>80</v>
      </c>
      <c r="B9" s="183">
        <v>1364</v>
      </c>
      <c r="C9" s="183">
        <v>3353769.19</v>
      </c>
      <c r="D9" s="183">
        <v>1689394.21</v>
      </c>
      <c r="E9" s="183">
        <v>1117757.52</v>
      </c>
      <c r="F9" s="183">
        <v>4308880.18</v>
      </c>
      <c r="G9" s="183">
        <v>2247980.0099999998</v>
      </c>
      <c r="H9" s="183">
        <f t="shared" si="0"/>
        <v>12717781.109999999</v>
      </c>
      <c r="I9" s="183">
        <f t="shared" si="1"/>
        <v>9323.8864442815247</v>
      </c>
    </row>
    <row r="10" spans="1:9" x14ac:dyDescent="0.2">
      <c r="A10" s="33" t="s">
        <v>171</v>
      </c>
      <c r="B10" s="182">
        <f t="shared" ref="B10:H10" si="2">SUM(B4:B9)</f>
        <v>87867</v>
      </c>
      <c r="C10" s="182">
        <f t="shared" si="2"/>
        <v>169650865.77000001</v>
      </c>
      <c r="D10" s="182">
        <f t="shared" si="2"/>
        <v>52726561.550000004</v>
      </c>
      <c r="E10" s="182">
        <f t="shared" si="2"/>
        <v>63335148.420000009</v>
      </c>
      <c r="F10" s="182">
        <f t="shared" si="2"/>
        <v>262766641.41</v>
      </c>
      <c r="G10" s="182">
        <f t="shared" si="2"/>
        <v>123481190.06</v>
      </c>
      <c r="H10" s="182">
        <f t="shared" si="2"/>
        <v>671960407.21000004</v>
      </c>
      <c r="I10" s="182">
        <f t="shared" si="1"/>
        <v>7647.4718291281142</v>
      </c>
    </row>
    <row r="11" spans="1:9" x14ac:dyDescent="0.2">
      <c r="A11" s="33"/>
      <c r="B11" s="182"/>
      <c r="C11" s="182"/>
      <c r="D11" s="182"/>
      <c r="E11" s="182"/>
      <c r="F11" s="182"/>
      <c r="G11" s="182"/>
      <c r="H11" s="182"/>
      <c r="I11" s="182"/>
    </row>
    <row r="12" spans="1:9" x14ac:dyDescent="0.2">
      <c r="A12" s="33"/>
      <c r="B12" s="182"/>
      <c r="C12" s="182"/>
      <c r="D12" s="182"/>
      <c r="E12" s="182"/>
      <c r="F12" s="182"/>
      <c r="G12" s="182"/>
      <c r="H12" s="182"/>
      <c r="I12" s="182"/>
    </row>
    <row r="13" spans="1:9" x14ac:dyDescent="0.2">
      <c r="A13" s="33" t="s">
        <v>81</v>
      </c>
      <c r="B13" s="182">
        <v>22769</v>
      </c>
      <c r="C13" s="182">
        <v>54071315.780000001</v>
      </c>
      <c r="D13" s="182">
        <v>16918154.280000001</v>
      </c>
      <c r="E13" s="182">
        <v>16193683.65</v>
      </c>
      <c r="F13" s="182">
        <v>74212115.099999994</v>
      </c>
      <c r="G13" s="182">
        <v>10306873.130000001</v>
      </c>
      <c r="H13" s="182">
        <f>SUM(C13:G13)</f>
        <v>171702141.94</v>
      </c>
      <c r="I13" s="182">
        <f t="shared" ref="I13:I18" si="3">H13/B13</f>
        <v>7541.048879617023</v>
      </c>
    </row>
    <row r="14" spans="1:9" x14ac:dyDescent="0.2">
      <c r="A14" s="33" t="s">
        <v>82</v>
      </c>
      <c r="B14" s="182">
        <v>9254</v>
      </c>
      <c r="C14" s="182">
        <v>18602721.34</v>
      </c>
      <c r="D14" s="182">
        <v>8350915.7400000002</v>
      </c>
      <c r="E14" s="182">
        <v>6676082.2199999997</v>
      </c>
      <c r="F14" s="182">
        <v>32355906.469999999</v>
      </c>
      <c r="G14" s="182">
        <v>6387657.1900000004</v>
      </c>
      <c r="H14" s="182">
        <f>SUM(C14:G14)</f>
        <v>72373282.959999993</v>
      </c>
      <c r="I14" s="182">
        <f t="shared" si="3"/>
        <v>7820.7567495137228</v>
      </c>
    </row>
    <row r="15" spans="1:9" x14ac:dyDescent="0.2">
      <c r="A15" s="33" t="s">
        <v>83</v>
      </c>
      <c r="B15" s="182">
        <v>5112</v>
      </c>
      <c r="C15" s="182">
        <v>12305922.65</v>
      </c>
      <c r="D15" s="182">
        <v>5021308.51</v>
      </c>
      <c r="E15" s="182">
        <v>4009998.12</v>
      </c>
      <c r="F15" s="182">
        <v>20027729.969999999</v>
      </c>
      <c r="G15" s="182">
        <v>5801829.0199999996</v>
      </c>
      <c r="H15" s="182">
        <f>SUM(C15:G15)</f>
        <v>47166788.269999996</v>
      </c>
      <c r="I15" s="182">
        <f t="shared" si="3"/>
        <v>9226.6800215179956</v>
      </c>
    </row>
    <row r="16" spans="1:9" x14ac:dyDescent="0.2">
      <c r="A16" s="33" t="s">
        <v>84</v>
      </c>
      <c r="B16" s="182">
        <v>4817</v>
      </c>
      <c r="C16" s="182">
        <v>13396624.029999999</v>
      </c>
      <c r="D16" s="182">
        <v>5841623.5300000003</v>
      </c>
      <c r="E16" s="182">
        <v>5013312.1900000004</v>
      </c>
      <c r="F16" s="182">
        <v>21571659.440000001</v>
      </c>
      <c r="G16" s="182">
        <v>8572573.1999999993</v>
      </c>
      <c r="H16" s="182">
        <f>SUM(C16:G16)</f>
        <v>54395792.390000001</v>
      </c>
      <c r="I16" s="182">
        <f t="shared" si="3"/>
        <v>11292.462609507993</v>
      </c>
    </row>
    <row r="17" spans="1:10" x14ac:dyDescent="0.2">
      <c r="A17" s="33" t="s">
        <v>85</v>
      </c>
      <c r="B17" s="183">
        <v>1482</v>
      </c>
      <c r="C17" s="183">
        <v>6572815.46</v>
      </c>
      <c r="D17" s="183">
        <v>2564268.0699999998</v>
      </c>
      <c r="E17" s="183">
        <v>2062242.92</v>
      </c>
      <c r="F17" s="183">
        <v>9145950.4100000001</v>
      </c>
      <c r="G17" s="183">
        <v>2317624</v>
      </c>
      <c r="H17" s="183">
        <f>SUM(C17:G17)</f>
        <v>22662900.859999999</v>
      </c>
      <c r="I17" s="183">
        <f t="shared" si="3"/>
        <v>15292.10584345479</v>
      </c>
    </row>
    <row r="18" spans="1:10" x14ac:dyDescent="0.2">
      <c r="A18" s="33" t="s">
        <v>172</v>
      </c>
      <c r="B18" s="182">
        <f>SUM(B13:B17)</f>
        <v>43434</v>
      </c>
      <c r="C18" s="182">
        <f t="shared" ref="C18:H18" si="4">SUM(C13:C17)</f>
        <v>104949399.26000001</v>
      </c>
      <c r="D18" s="182">
        <f t="shared" si="4"/>
        <v>38696270.130000003</v>
      </c>
      <c r="E18" s="182">
        <f t="shared" si="4"/>
        <v>33955319.100000001</v>
      </c>
      <c r="F18" s="182">
        <f t="shared" si="4"/>
        <v>157313361.38999999</v>
      </c>
      <c r="G18" s="182">
        <f t="shared" si="4"/>
        <v>33386556.539999999</v>
      </c>
      <c r="H18" s="182">
        <f t="shared" si="4"/>
        <v>368300906.41999996</v>
      </c>
      <c r="I18" s="182">
        <f t="shared" si="3"/>
        <v>8479.5530326472344</v>
      </c>
    </row>
    <row r="19" spans="1:10" x14ac:dyDescent="0.2">
      <c r="A19" s="33"/>
      <c r="B19" s="182"/>
      <c r="C19" s="182"/>
      <c r="D19" s="182"/>
      <c r="E19" s="182"/>
      <c r="F19" s="182"/>
      <c r="G19" s="182"/>
      <c r="H19" s="182"/>
      <c r="I19" s="182"/>
    </row>
    <row r="20" spans="1:10" x14ac:dyDescent="0.2">
      <c r="A20" s="33"/>
      <c r="B20" s="182"/>
      <c r="C20" s="182"/>
      <c r="D20" s="182"/>
      <c r="E20" s="182"/>
      <c r="F20" s="182"/>
      <c r="G20" s="182"/>
      <c r="H20" s="182"/>
      <c r="I20" s="182"/>
    </row>
    <row r="21" spans="1:10" x14ac:dyDescent="0.2">
      <c r="A21" s="33" t="s">
        <v>86</v>
      </c>
      <c r="B21" s="182">
        <v>12099</v>
      </c>
      <c r="C21" s="182">
        <v>18171756.600000001</v>
      </c>
      <c r="D21" s="182">
        <v>10865596.08</v>
      </c>
      <c r="E21" s="182">
        <v>8528052.1400000006</v>
      </c>
      <c r="F21" s="182">
        <v>40298440.549999997</v>
      </c>
      <c r="G21" s="182">
        <v>11590609.27</v>
      </c>
      <c r="H21" s="182">
        <f>SUM(C21:G21)</f>
        <v>89454454.640000001</v>
      </c>
      <c r="I21" s="182">
        <f>H21/B21</f>
        <v>7393.5411719976855</v>
      </c>
      <c r="J21" s="182"/>
    </row>
    <row r="22" spans="1:10" x14ac:dyDescent="0.2">
      <c r="A22" s="33" t="s">
        <v>87</v>
      </c>
      <c r="B22" s="183">
        <v>6063</v>
      </c>
      <c r="C22" s="183">
        <v>19876399.280000001</v>
      </c>
      <c r="D22" s="183">
        <v>10020855.949999999</v>
      </c>
      <c r="E22" s="183">
        <v>6089061.9100000001</v>
      </c>
      <c r="F22" s="183">
        <v>23867457.5</v>
      </c>
      <c r="G22" s="183">
        <v>8007215</v>
      </c>
      <c r="H22" s="183">
        <f>SUM(C22:G22)</f>
        <v>67860989.640000001</v>
      </c>
      <c r="I22" s="183">
        <f>H22/B22</f>
        <v>11192.642196932213</v>
      </c>
      <c r="J22" s="182"/>
    </row>
    <row r="23" spans="1:10" x14ac:dyDescent="0.2">
      <c r="A23" s="33" t="s">
        <v>173</v>
      </c>
      <c r="B23" s="182">
        <f>SUM(B21:B22)</f>
        <v>18162</v>
      </c>
      <c r="C23" s="182">
        <f t="shared" ref="C23:H23" si="5">SUM(C21:C22)</f>
        <v>38048155.880000003</v>
      </c>
      <c r="D23" s="182">
        <f t="shared" si="5"/>
        <v>20886452.030000001</v>
      </c>
      <c r="E23" s="182">
        <f t="shared" si="5"/>
        <v>14617114.050000001</v>
      </c>
      <c r="F23" s="182">
        <f t="shared" si="5"/>
        <v>64165898.049999997</v>
      </c>
      <c r="G23" s="182">
        <f t="shared" si="5"/>
        <v>19597824.27</v>
      </c>
      <c r="H23" s="182">
        <f t="shared" si="5"/>
        <v>157315444.28</v>
      </c>
      <c r="I23" s="182">
        <f>H23/B23</f>
        <v>8661.7907873582208</v>
      </c>
    </row>
    <row r="24" spans="1:10" x14ac:dyDescent="0.2">
      <c r="A24" s="33"/>
      <c r="B24" s="182"/>
      <c r="C24" s="182"/>
      <c r="D24" s="182"/>
      <c r="E24" s="182"/>
      <c r="F24" s="182"/>
      <c r="G24" s="182"/>
      <c r="H24" s="182"/>
      <c r="I24" s="182"/>
    </row>
    <row r="25" spans="1:10" ht="13.5" thickBot="1" x14ac:dyDescent="0.25">
      <c r="A25" s="33" t="s">
        <v>174</v>
      </c>
      <c r="B25" s="192">
        <f>B23+B18+B10</f>
        <v>149463</v>
      </c>
      <c r="C25" s="192">
        <f t="shared" ref="C25:H25" si="6">C23+C18+C10</f>
        <v>312648420.91000003</v>
      </c>
      <c r="D25" s="192">
        <f t="shared" si="6"/>
        <v>112309283.71000001</v>
      </c>
      <c r="E25" s="192">
        <f t="shared" si="6"/>
        <v>111907581.57000002</v>
      </c>
      <c r="F25" s="192">
        <f t="shared" si="6"/>
        <v>484245900.85000002</v>
      </c>
      <c r="G25" s="192">
        <f t="shared" si="6"/>
        <v>176465570.87</v>
      </c>
      <c r="H25" s="192">
        <f t="shared" si="6"/>
        <v>1197576757.9099998</v>
      </c>
      <c r="I25" s="192">
        <f>H25/B25</f>
        <v>8012.5299098104533</v>
      </c>
    </row>
    <row r="26" spans="1:10" ht="13.5" thickTop="1" x14ac:dyDescent="0.2">
      <c r="A26" s="33"/>
      <c r="B26" s="182"/>
      <c r="C26" s="182"/>
      <c r="D26" s="182"/>
      <c r="E26" s="182"/>
      <c r="F26" s="182"/>
      <c r="G26" s="182"/>
      <c r="H26" s="182"/>
      <c r="I26" s="182"/>
    </row>
    <row r="27" spans="1:10" x14ac:dyDescent="0.2">
      <c r="A27" s="33"/>
      <c r="B27" s="182"/>
      <c r="C27" s="33"/>
      <c r="D27" s="33"/>
      <c r="E27" s="33"/>
      <c r="F27" s="33"/>
      <c r="G27" s="33"/>
      <c r="H27" s="182"/>
      <c r="I27" s="182"/>
    </row>
    <row r="28" spans="1:10" x14ac:dyDescent="0.2">
      <c r="A28" s="36" t="s">
        <v>200</v>
      </c>
      <c r="B28" s="22"/>
      <c r="C28" s="36"/>
      <c r="D28" s="36"/>
      <c r="E28" s="36"/>
      <c r="F28" s="36"/>
      <c r="G28" s="36"/>
      <c r="H28" s="36"/>
      <c r="I28" s="182"/>
    </row>
    <row r="29" spans="1:10" x14ac:dyDescent="0.2">
      <c r="A29" s="36" t="s">
        <v>527</v>
      </c>
      <c r="B29" s="22"/>
      <c r="C29" s="36"/>
      <c r="D29" s="36"/>
      <c r="E29" s="36"/>
      <c r="F29" s="36"/>
      <c r="G29" s="36"/>
      <c r="H29" s="36"/>
      <c r="I29" s="182"/>
    </row>
    <row r="30" spans="1:10" s="196" customFormat="1" ht="33.75" x14ac:dyDescent="0.2">
      <c r="A30" s="20" t="s">
        <v>245</v>
      </c>
      <c r="B30" s="201" t="str">
        <f>B3</f>
        <v>ANB04</v>
      </c>
      <c r="C30" s="201" t="str">
        <f t="shared" ref="C30:H30" si="7">C3</f>
        <v>04/Pupil Property Tax</v>
      </c>
      <c r="D30" s="201" t="str">
        <f t="shared" si="7"/>
        <v>04/Pupil Non Levy Revenue</v>
      </c>
      <c r="E30" s="201" t="str">
        <f t="shared" si="7"/>
        <v>04/Pupil County Revenue</v>
      </c>
      <c r="F30" s="201" t="str">
        <f t="shared" si="7"/>
        <v>04/Pupil State Revenue</v>
      </c>
      <c r="G30" s="201" t="str">
        <f t="shared" si="7"/>
        <v>04/Pupil Federal Revenue</v>
      </c>
      <c r="H30" s="201" t="str">
        <f t="shared" si="7"/>
        <v>04/Pupil Total Revenue</v>
      </c>
      <c r="I30" s="194"/>
    </row>
    <row r="31" spans="1:10" x14ac:dyDescent="0.2">
      <c r="A31" s="33"/>
      <c r="B31" s="182"/>
      <c r="C31" s="182"/>
      <c r="D31" s="182"/>
      <c r="E31" s="182"/>
      <c r="F31" s="182"/>
      <c r="G31" s="182"/>
      <c r="H31" s="33"/>
      <c r="I31" s="182"/>
    </row>
    <row r="32" spans="1:10" x14ac:dyDescent="0.2">
      <c r="A32" s="33" t="s">
        <v>102</v>
      </c>
      <c r="B32" s="182">
        <f t="shared" ref="B32:B37" si="8">B4</f>
        <v>33931</v>
      </c>
      <c r="C32" s="182">
        <f t="shared" ref="C32:H32" si="9">C4/$B$32</f>
        <v>1982.3504965960333</v>
      </c>
      <c r="D32" s="182">
        <f t="shared" si="9"/>
        <v>468.41613303468807</v>
      </c>
      <c r="E32" s="182">
        <f t="shared" si="9"/>
        <v>712.91973681883826</v>
      </c>
      <c r="F32" s="182">
        <f t="shared" si="9"/>
        <v>2830.8746721287316</v>
      </c>
      <c r="G32" s="182">
        <f t="shared" si="9"/>
        <v>935.71412719931629</v>
      </c>
      <c r="H32" s="182">
        <f t="shared" si="9"/>
        <v>6930.2751657776089</v>
      </c>
      <c r="I32" s="182"/>
    </row>
    <row r="33" spans="1:9" x14ac:dyDescent="0.2">
      <c r="A33" s="33" t="s">
        <v>76</v>
      </c>
      <c r="B33" s="182">
        <f t="shared" si="8"/>
        <v>21202</v>
      </c>
      <c r="C33" s="182">
        <f t="shared" ref="C33:H33" si="10">C5/$B$33</f>
        <v>1843.2410503726064</v>
      </c>
      <c r="D33" s="182">
        <f t="shared" si="10"/>
        <v>501.0626799358551</v>
      </c>
      <c r="E33" s="182">
        <f t="shared" si="10"/>
        <v>673.48908640694276</v>
      </c>
      <c r="F33" s="182">
        <f t="shared" si="10"/>
        <v>3054.6230652768604</v>
      </c>
      <c r="G33" s="182">
        <f t="shared" si="10"/>
        <v>1678.3262899726442</v>
      </c>
      <c r="H33" s="182">
        <f t="shared" si="10"/>
        <v>7750.7421719649092</v>
      </c>
      <c r="I33" s="182"/>
    </row>
    <row r="34" spans="1:9" x14ac:dyDescent="0.2">
      <c r="A34" s="33" t="s">
        <v>77</v>
      </c>
      <c r="B34" s="182">
        <f t="shared" si="8"/>
        <v>11728</v>
      </c>
      <c r="C34" s="182">
        <f t="shared" ref="C34:H34" si="11">C6/$B$34</f>
        <v>1817.1303078103683</v>
      </c>
      <c r="D34" s="182">
        <f t="shared" si="11"/>
        <v>811.34654757844476</v>
      </c>
      <c r="E34" s="182">
        <f t="shared" si="11"/>
        <v>762.9230039222374</v>
      </c>
      <c r="F34" s="182">
        <f t="shared" si="11"/>
        <v>3079.9960675306961</v>
      </c>
      <c r="G34" s="182">
        <f t="shared" si="11"/>
        <v>1933.3362039563438</v>
      </c>
      <c r="H34" s="182">
        <f t="shared" si="11"/>
        <v>8404.732130798091</v>
      </c>
      <c r="I34" s="182"/>
    </row>
    <row r="35" spans="1:9" x14ac:dyDescent="0.2">
      <c r="A35" s="33" t="s">
        <v>78</v>
      </c>
      <c r="B35" s="182">
        <f t="shared" si="8"/>
        <v>13035</v>
      </c>
      <c r="C35" s="182">
        <f t="shared" ref="C35:H35" si="12">C7/$B$35</f>
        <v>1775.7522945914845</v>
      </c>
      <c r="D35" s="182">
        <f t="shared" si="12"/>
        <v>650.49414576141157</v>
      </c>
      <c r="E35" s="182">
        <f t="shared" si="12"/>
        <v>711.12865132336026</v>
      </c>
      <c r="F35" s="182">
        <f t="shared" si="12"/>
        <v>3064.6197069428463</v>
      </c>
      <c r="G35" s="182">
        <f t="shared" si="12"/>
        <v>1405.9941695435366</v>
      </c>
      <c r="H35" s="182">
        <f t="shared" si="12"/>
        <v>7607.9889681626391</v>
      </c>
      <c r="I35" s="182"/>
    </row>
    <row r="36" spans="1:9" x14ac:dyDescent="0.2">
      <c r="A36" s="33" t="s">
        <v>79</v>
      </c>
      <c r="B36" s="182">
        <f t="shared" si="8"/>
        <v>6607</v>
      </c>
      <c r="C36" s="182">
        <f t="shared" ref="C36:H36" si="13">C8/$B$36</f>
        <v>2345.2898017254429</v>
      </c>
      <c r="D36" s="182">
        <f t="shared" si="13"/>
        <v>987.61088088391102</v>
      </c>
      <c r="E36" s="182">
        <f t="shared" si="13"/>
        <v>837.12316331163925</v>
      </c>
      <c r="F36" s="182">
        <f t="shared" si="13"/>
        <v>3264.6772725896772</v>
      </c>
      <c r="G36" s="182">
        <f t="shared" si="13"/>
        <v>1952.2202209777508</v>
      </c>
      <c r="H36" s="182">
        <f t="shared" si="13"/>
        <v>9386.9213394884227</v>
      </c>
      <c r="I36" s="182"/>
    </row>
    <row r="37" spans="1:9" x14ac:dyDescent="0.2">
      <c r="A37" s="33" t="s">
        <v>80</v>
      </c>
      <c r="B37" s="183">
        <f t="shared" si="8"/>
        <v>1364</v>
      </c>
      <c r="C37" s="183">
        <f t="shared" ref="C37:H37" si="14">C9/$B$37</f>
        <v>2458.7750659824046</v>
      </c>
      <c r="D37" s="183">
        <f t="shared" si="14"/>
        <v>1238.5588049853372</v>
      </c>
      <c r="E37" s="183">
        <f t="shared" si="14"/>
        <v>819.47032258064519</v>
      </c>
      <c r="F37" s="183">
        <f t="shared" si="14"/>
        <v>3159.0030645161287</v>
      </c>
      <c r="G37" s="183">
        <f t="shared" si="14"/>
        <v>1648.0791862170086</v>
      </c>
      <c r="H37" s="183">
        <f t="shared" si="14"/>
        <v>9323.8864442815247</v>
      </c>
      <c r="I37" s="182"/>
    </row>
    <row r="38" spans="1:9" x14ac:dyDescent="0.2">
      <c r="A38" s="33" t="s">
        <v>171</v>
      </c>
      <c r="B38" s="182">
        <f>SUM(B32:B37)</f>
        <v>87867</v>
      </c>
      <c r="C38" s="182">
        <f t="shared" ref="C38:H38" si="15">C10/$B$38</f>
        <v>1930.7688412031821</v>
      </c>
      <c r="D38" s="182">
        <f t="shared" si="15"/>
        <v>600.07239976327867</v>
      </c>
      <c r="E38" s="182">
        <f t="shared" si="15"/>
        <v>720.80699716617175</v>
      </c>
      <c r="F38" s="182">
        <f t="shared" si="15"/>
        <v>2990.5043009320907</v>
      </c>
      <c r="G38" s="182">
        <f t="shared" si="15"/>
        <v>1405.3192900633912</v>
      </c>
      <c r="H38" s="182">
        <f t="shared" si="15"/>
        <v>7647.4718291281142</v>
      </c>
      <c r="I38" s="182"/>
    </row>
    <row r="39" spans="1:9" x14ac:dyDescent="0.2">
      <c r="A39" s="33"/>
      <c r="B39" s="182"/>
      <c r="C39" s="182"/>
      <c r="D39" s="182"/>
      <c r="E39" s="182"/>
      <c r="F39" s="182"/>
      <c r="G39" s="182"/>
      <c r="H39" s="182"/>
      <c r="I39" s="182"/>
    </row>
    <row r="40" spans="1:9" x14ac:dyDescent="0.2">
      <c r="A40" s="33"/>
      <c r="B40" s="182"/>
      <c r="C40" s="182"/>
      <c r="D40" s="182"/>
      <c r="E40" s="182"/>
      <c r="F40" s="182"/>
      <c r="G40" s="182"/>
      <c r="H40" s="182"/>
      <c r="I40" s="182"/>
    </row>
    <row r="41" spans="1:9" x14ac:dyDescent="0.2">
      <c r="A41" s="33" t="s">
        <v>81</v>
      </c>
      <c r="B41" s="182">
        <f>B13</f>
        <v>22769</v>
      </c>
      <c r="C41" s="182">
        <f t="shared" ref="C41:H41" si="16">C13/$B$41</f>
        <v>2374.7778022750231</v>
      </c>
      <c r="D41" s="182">
        <f t="shared" si="16"/>
        <v>743.0345768369275</v>
      </c>
      <c r="E41" s="182">
        <f t="shared" si="16"/>
        <v>711.21628749615707</v>
      </c>
      <c r="F41" s="182">
        <f t="shared" si="16"/>
        <v>3259.3488998199305</v>
      </c>
      <c r="G41" s="182">
        <f t="shared" si="16"/>
        <v>452.67131318898504</v>
      </c>
      <c r="H41" s="182">
        <f t="shared" si="16"/>
        <v>7541.048879617023</v>
      </c>
      <c r="I41" s="182"/>
    </row>
    <row r="42" spans="1:9" x14ac:dyDescent="0.2">
      <c r="A42" s="33" t="s">
        <v>82</v>
      </c>
      <c r="B42" s="182">
        <f>B14</f>
        <v>9254</v>
      </c>
      <c r="C42" s="182">
        <f t="shared" ref="C42:H42" si="17">C14/$B$42</f>
        <v>2010.2357186081695</v>
      </c>
      <c r="D42" s="182">
        <f t="shared" si="17"/>
        <v>902.41146963475251</v>
      </c>
      <c r="E42" s="182">
        <f t="shared" si="17"/>
        <v>721.42665009725522</v>
      </c>
      <c r="F42" s="182">
        <f t="shared" si="17"/>
        <v>3496.4238675167494</v>
      </c>
      <c r="G42" s="182">
        <f t="shared" si="17"/>
        <v>690.25904365679708</v>
      </c>
      <c r="H42" s="182">
        <f t="shared" si="17"/>
        <v>7820.7567495137228</v>
      </c>
      <c r="I42" s="182"/>
    </row>
    <row r="43" spans="1:9" x14ac:dyDescent="0.2">
      <c r="A43" s="33" t="s">
        <v>83</v>
      </c>
      <c r="B43" s="182">
        <f>B15</f>
        <v>5112</v>
      </c>
      <c r="C43" s="182">
        <f t="shared" ref="C43:H43" si="18">C15/$B$43</f>
        <v>2407.2618642410016</v>
      </c>
      <c r="D43" s="182">
        <f t="shared" si="18"/>
        <v>982.25909820031291</v>
      </c>
      <c r="E43" s="182">
        <f t="shared" si="18"/>
        <v>784.42842723004696</v>
      </c>
      <c r="F43" s="182">
        <f t="shared" si="18"/>
        <v>3917.7875528169011</v>
      </c>
      <c r="G43" s="182">
        <f t="shared" si="18"/>
        <v>1134.9430790297338</v>
      </c>
      <c r="H43" s="182">
        <f t="shared" si="18"/>
        <v>9226.6800215179956</v>
      </c>
      <c r="I43" s="182"/>
    </row>
    <row r="44" spans="1:9" x14ac:dyDescent="0.2">
      <c r="A44" s="33" t="s">
        <v>84</v>
      </c>
      <c r="B44" s="182">
        <f>B16</f>
        <v>4817</v>
      </c>
      <c r="C44" s="182">
        <f t="shared" ref="C44:H44" si="19">C16/$B$44</f>
        <v>2781.1135623832261</v>
      </c>
      <c r="D44" s="182">
        <f t="shared" si="19"/>
        <v>1212.7098878970314</v>
      </c>
      <c r="E44" s="182">
        <f t="shared" si="19"/>
        <v>1040.7540357068715</v>
      </c>
      <c r="F44" s="182">
        <f t="shared" si="19"/>
        <v>4478.2352999792402</v>
      </c>
      <c r="G44" s="182">
        <f t="shared" si="19"/>
        <v>1779.6498235416232</v>
      </c>
      <c r="H44" s="182">
        <f t="shared" si="19"/>
        <v>11292.462609507993</v>
      </c>
      <c r="I44" s="182"/>
    </row>
    <row r="45" spans="1:9" x14ac:dyDescent="0.2">
      <c r="A45" s="33" t="s">
        <v>85</v>
      </c>
      <c r="B45" s="183">
        <f>B17</f>
        <v>1482</v>
      </c>
      <c r="C45" s="183">
        <f t="shared" ref="C45:H45" si="20">C17/$B$45</f>
        <v>4435.0981511470982</v>
      </c>
      <c r="D45" s="183">
        <f t="shared" si="20"/>
        <v>1730.275350877193</v>
      </c>
      <c r="E45" s="183">
        <f t="shared" si="20"/>
        <v>1391.5269365721997</v>
      </c>
      <c r="F45" s="183">
        <f t="shared" si="20"/>
        <v>6171.3565519568156</v>
      </c>
      <c r="G45" s="183">
        <f t="shared" si="20"/>
        <v>1563.8488529014844</v>
      </c>
      <c r="H45" s="183">
        <f t="shared" si="20"/>
        <v>15292.10584345479</v>
      </c>
      <c r="I45" s="182"/>
    </row>
    <row r="46" spans="1:9" x14ac:dyDescent="0.2">
      <c r="A46" s="33" t="s">
        <v>172</v>
      </c>
      <c r="B46" s="182">
        <f>SUM(B41:B45)</f>
        <v>43434</v>
      </c>
      <c r="C46" s="182">
        <f t="shared" ref="C46:H46" si="21">C18/$B$46</f>
        <v>2416.2959722797809</v>
      </c>
      <c r="D46" s="182">
        <f t="shared" si="21"/>
        <v>890.92117074181522</v>
      </c>
      <c r="E46" s="182">
        <f t="shared" si="21"/>
        <v>781.76817930653408</v>
      </c>
      <c r="F46" s="182">
        <f t="shared" si="21"/>
        <v>3621.8944004696777</v>
      </c>
      <c r="G46" s="182">
        <f t="shared" si="21"/>
        <v>768.67330984942669</v>
      </c>
      <c r="H46" s="182">
        <f t="shared" si="21"/>
        <v>8479.5530326472344</v>
      </c>
      <c r="I46" s="182"/>
    </row>
    <row r="47" spans="1:9" x14ac:dyDescent="0.2">
      <c r="A47" s="33"/>
      <c r="B47" s="182"/>
      <c r="C47" s="182"/>
      <c r="D47" s="182"/>
      <c r="E47" s="182"/>
      <c r="F47" s="182"/>
      <c r="G47" s="182"/>
      <c r="H47" s="182"/>
      <c r="I47" s="182"/>
    </row>
    <row r="48" spans="1:9" x14ac:dyDescent="0.2">
      <c r="A48" s="33"/>
      <c r="B48" s="182"/>
      <c r="C48" s="182"/>
      <c r="D48" s="182"/>
      <c r="E48" s="182"/>
      <c r="F48" s="182"/>
      <c r="G48" s="182"/>
      <c r="H48" s="182"/>
      <c r="I48" s="182"/>
    </row>
    <row r="49" spans="1:9" x14ac:dyDescent="0.2">
      <c r="A49" s="33" t="s">
        <v>86</v>
      </c>
      <c r="B49" s="182">
        <f>B21</f>
        <v>12099</v>
      </c>
      <c r="C49" s="182">
        <f t="shared" ref="C49:H49" si="22">C21/$B$49</f>
        <v>1501.9221919166876</v>
      </c>
      <c r="D49" s="182">
        <f t="shared" si="22"/>
        <v>898.05736672452269</v>
      </c>
      <c r="E49" s="182">
        <f t="shared" si="22"/>
        <v>704.85595007851896</v>
      </c>
      <c r="F49" s="182">
        <f t="shared" si="22"/>
        <v>3330.7248987519629</v>
      </c>
      <c r="G49" s="182">
        <f t="shared" si="22"/>
        <v>957.98076452599389</v>
      </c>
      <c r="H49" s="182">
        <f t="shared" si="22"/>
        <v>7393.5411719976855</v>
      </c>
      <c r="I49" s="182"/>
    </row>
    <row r="50" spans="1:9" x14ac:dyDescent="0.2">
      <c r="A50" s="33" t="s">
        <v>87</v>
      </c>
      <c r="B50" s="183">
        <f>B22</f>
        <v>6063</v>
      </c>
      <c r="C50" s="183">
        <f t="shared" ref="C50:H50" si="23">C22/$B$50</f>
        <v>3278.3109483753919</v>
      </c>
      <c r="D50" s="183">
        <f t="shared" si="23"/>
        <v>1652.7883803397656</v>
      </c>
      <c r="E50" s="183">
        <f t="shared" si="23"/>
        <v>1004.298517235692</v>
      </c>
      <c r="F50" s="183">
        <f t="shared" si="23"/>
        <v>3936.5755401616361</v>
      </c>
      <c r="G50" s="183">
        <f t="shared" si="23"/>
        <v>1320.6688108197261</v>
      </c>
      <c r="H50" s="183">
        <f t="shared" si="23"/>
        <v>11192.642196932213</v>
      </c>
      <c r="I50" s="182"/>
    </row>
    <row r="51" spans="1:9" x14ac:dyDescent="0.2">
      <c r="A51" s="33" t="s">
        <v>173</v>
      </c>
      <c r="B51" s="182">
        <f>SUM(B49:B50)</f>
        <v>18162</v>
      </c>
      <c r="C51" s="182">
        <f t="shared" ref="C51:H51" si="24">C23/$B$51</f>
        <v>2094.9320493337741</v>
      </c>
      <c r="D51" s="182">
        <f t="shared" si="24"/>
        <v>1150.0083707741439</v>
      </c>
      <c r="E51" s="182">
        <f t="shared" si="24"/>
        <v>804.81852494218697</v>
      </c>
      <c r="F51" s="182">
        <f t="shared" si="24"/>
        <v>3532.9753358660937</v>
      </c>
      <c r="G51" s="182">
        <f t="shared" si="24"/>
        <v>1079.0565064420218</v>
      </c>
      <c r="H51" s="182">
        <f t="shared" si="24"/>
        <v>8661.7907873582208</v>
      </c>
      <c r="I51" s="182"/>
    </row>
    <row r="52" spans="1:9" x14ac:dyDescent="0.2">
      <c r="A52" s="33"/>
      <c r="B52" s="182"/>
      <c r="C52" s="182"/>
      <c r="D52" s="182"/>
      <c r="E52" s="182"/>
      <c r="F52" s="182"/>
      <c r="G52" s="182"/>
      <c r="H52" s="182"/>
      <c r="I52" s="182"/>
    </row>
    <row r="53" spans="1:9" ht="13.5" thickBot="1" x14ac:dyDescent="0.25">
      <c r="A53" s="33" t="s">
        <v>174</v>
      </c>
      <c r="B53" s="192">
        <f>B51+B46+B38</f>
        <v>149463</v>
      </c>
      <c r="C53" s="192">
        <f t="shared" ref="C53:H53" si="25">C25/$B$53</f>
        <v>2091.8114912051815</v>
      </c>
      <c r="D53" s="192">
        <f t="shared" si="25"/>
        <v>751.41863678636184</v>
      </c>
      <c r="E53" s="192">
        <f t="shared" si="25"/>
        <v>748.73100078280254</v>
      </c>
      <c r="F53" s="192">
        <f t="shared" si="25"/>
        <v>3239.9048650836662</v>
      </c>
      <c r="G53" s="192">
        <f t="shared" si="25"/>
        <v>1180.6639159524432</v>
      </c>
      <c r="H53" s="192">
        <f t="shared" si="25"/>
        <v>8012.5299098104533</v>
      </c>
      <c r="I53" s="182"/>
    </row>
    <row r="54" spans="1:9" ht="13.5" thickTop="1" x14ac:dyDescent="0.2">
      <c r="A54" s="33"/>
      <c r="B54" s="182"/>
      <c r="C54" s="182"/>
      <c r="D54" s="182"/>
      <c r="E54" s="182"/>
      <c r="F54" s="182"/>
      <c r="G54" s="182"/>
      <c r="H54" s="182"/>
      <c r="I54" s="182"/>
    </row>
    <row r="55" spans="1:9" x14ac:dyDescent="0.2">
      <c r="A55" s="33"/>
      <c r="B55" s="182"/>
      <c r="C55" s="182"/>
      <c r="D55" s="182"/>
      <c r="E55" s="182"/>
      <c r="F55" s="182"/>
      <c r="G55" s="182"/>
      <c r="H55" s="182"/>
      <c r="I55" s="182"/>
    </row>
    <row r="56" spans="1:9" x14ac:dyDescent="0.2">
      <c r="A56" s="36" t="s">
        <v>200</v>
      </c>
      <c r="B56" s="36"/>
      <c r="C56" s="36"/>
      <c r="D56" s="36"/>
      <c r="E56" s="36"/>
      <c r="F56" s="36"/>
      <c r="G56" s="36"/>
      <c r="H56" s="36"/>
      <c r="I56" s="182"/>
    </row>
    <row r="57" spans="1:9" x14ac:dyDescent="0.2">
      <c r="A57" s="36" t="s">
        <v>526</v>
      </c>
      <c r="B57" s="36"/>
      <c r="C57" s="36"/>
      <c r="D57" s="36"/>
      <c r="E57" s="36"/>
      <c r="F57" s="36"/>
      <c r="G57" s="36"/>
      <c r="H57" s="36"/>
      <c r="I57" s="182"/>
    </row>
    <row r="58" spans="1:9" s="196" customFormat="1" ht="33.75" x14ac:dyDescent="0.2">
      <c r="A58" s="20" t="s">
        <v>245</v>
      </c>
      <c r="B58" s="20"/>
      <c r="C58" s="202" t="str">
        <f>C30</f>
        <v>04/Pupil Property Tax</v>
      </c>
      <c r="D58" s="202" t="str">
        <f>D30</f>
        <v>04/Pupil Non Levy Revenue</v>
      </c>
      <c r="E58" s="202" t="str">
        <f>E30</f>
        <v>04/Pupil County Revenue</v>
      </c>
      <c r="F58" s="202" t="str">
        <f>F30</f>
        <v>04/Pupil State Revenue</v>
      </c>
      <c r="G58" s="202" t="str">
        <f>G30</f>
        <v>04/Pupil Federal Revenue</v>
      </c>
      <c r="H58" s="20"/>
      <c r="I58" s="194"/>
    </row>
    <row r="59" spans="1:9" x14ac:dyDescent="0.2">
      <c r="A59" s="33" t="s">
        <v>102</v>
      </c>
      <c r="B59" s="33"/>
      <c r="C59" s="191">
        <f>C4/H4</f>
        <v>0.28604210499246524</v>
      </c>
      <c r="D59" s="191">
        <f t="shared" ref="D59:D64" si="26">D32/H32</f>
        <v>6.7589831836371198E-2</v>
      </c>
      <c r="E59" s="191">
        <f t="shared" ref="E59:E64" si="27">E32/H32</f>
        <v>0.10287033628034095</v>
      </c>
      <c r="F59" s="191">
        <f t="shared" ref="F59:F64" si="28">F32/H32</f>
        <v>0.40847940441208935</v>
      </c>
      <c r="G59" s="191">
        <f t="shared" ref="G59:G64" si="29">G32/H32</f>
        <v>0.13501832247873305</v>
      </c>
      <c r="H59" s="200">
        <f>SUM(C59:G59)</f>
        <v>0.99999999999999967</v>
      </c>
      <c r="I59" s="182"/>
    </row>
    <row r="60" spans="1:9" x14ac:dyDescent="0.2">
      <c r="A60" s="33" t="s">
        <v>76</v>
      </c>
      <c r="B60" s="33"/>
      <c r="C60" s="191">
        <f t="shared" ref="C60:C65" si="30">C33/H33</f>
        <v>0.237814780762514</v>
      </c>
      <c r="D60" s="191">
        <f t="shared" si="26"/>
        <v>6.4647058155055295E-2</v>
      </c>
      <c r="E60" s="191">
        <f t="shared" si="27"/>
        <v>8.6893496321295505E-2</v>
      </c>
      <c r="F60" s="191">
        <f t="shared" si="28"/>
        <v>0.39410717032050052</v>
      </c>
      <c r="G60" s="191">
        <f t="shared" si="29"/>
        <v>0.21653749444063466</v>
      </c>
      <c r="H60" s="200">
        <f t="shared" ref="H60:H80" si="31">SUM(C60:G60)</f>
        <v>1</v>
      </c>
      <c r="I60" s="182"/>
    </row>
    <row r="61" spans="1:9" x14ac:dyDescent="0.2">
      <c r="A61" s="33" t="s">
        <v>77</v>
      </c>
      <c r="B61" s="33"/>
      <c r="C61" s="191">
        <f t="shared" si="30"/>
        <v>0.21620323878636433</v>
      </c>
      <c r="D61" s="191">
        <f t="shared" si="26"/>
        <v>9.6534492111338882E-2</v>
      </c>
      <c r="E61" s="191">
        <f t="shared" si="27"/>
        <v>9.077303024644906E-2</v>
      </c>
      <c r="F61" s="191">
        <f t="shared" si="28"/>
        <v>0.36645975381469154</v>
      </c>
      <c r="G61" s="191">
        <f t="shared" si="29"/>
        <v>0.23002948504115614</v>
      </c>
      <c r="H61" s="200">
        <f t="shared" si="31"/>
        <v>1</v>
      </c>
      <c r="I61" s="182"/>
    </row>
    <row r="62" spans="1:9" x14ac:dyDescent="0.2">
      <c r="A62" s="33" t="s">
        <v>78</v>
      </c>
      <c r="B62" s="33"/>
      <c r="C62" s="191">
        <f t="shared" si="30"/>
        <v>0.23340626570602613</v>
      </c>
      <c r="D62" s="191">
        <f t="shared" si="26"/>
        <v>8.5501457544635298E-2</v>
      </c>
      <c r="E62" s="191">
        <f t="shared" si="27"/>
        <v>9.347130421708548E-2</v>
      </c>
      <c r="F62" s="191">
        <f t="shared" si="28"/>
        <v>0.40281600298941611</v>
      </c>
      <c r="G62" s="191">
        <f t="shared" si="29"/>
        <v>0.18480496954283701</v>
      </c>
      <c r="H62" s="200">
        <f t="shared" si="31"/>
        <v>1</v>
      </c>
      <c r="I62" s="182"/>
    </row>
    <row r="63" spans="1:9" x14ac:dyDescent="0.2">
      <c r="A63" s="33" t="s">
        <v>79</v>
      </c>
      <c r="B63" s="33"/>
      <c r="C63" s="191">
        <f t="shared" si="30"/>
        <v>0.24984653827441775</v>
      </c>
      <c r="D63" s="191">
        <f t="shared" si="26"/>
        <v>0.10521137284162378</v>
      </c>
      <c r="E63" s="191">
        <f t="shared" si="27"/>
        <v>8.9179735616838729E-2</v>
      </c>
      <c r="F63" s="191">
        <f t="shared" si="28"/>
        <v>0.3477899893393161</v>
      </c>
      <c r="G63" s="191">
        <f t="shared" si="29"/>
        <v>0.20797236392780349</v>
      </c>
      <c r="H63" s="200">
        <f t="shared" si="31"/>
        <v>0.99999999999999978</v>
      </c>
      <c r="I63" s="182"/>
    </row>
    <row r="64" spans="1:9" x14ac:dyDescent="0.2">
      <c r="A64" s="33" t="s">
        <v>80</v>
      </c>
      <c r="B64" s="33"/>
      <c r="C64" s="193">
        <f t="shared" si="30"/>
        <v>0.26370710118315599</v>
      </c>
      <c r="D64" s="193">
        <f t="shared" si="26"/>
        <v>0.13283718247608683</v>
      </c>
      <c r="E64" s="193">
        <f t="shared" si="27"/>
        <v>8.7889350377410302E-2</v>
      </c>
      <c r="F64" s="193">
        <f t="shared" si="28"/>
        <v>0.33880754376342614</v>
      </c>
      <c r="G64" s="193">
        <f t="shared" si="29"/>
        <v>0.17675882219992067</v>
      </c>
      <c r="H64" s="203">
        <f t="shared" si="31"/>
        <v>0.99999999999999989</v>
      </c>
      <c r="I64" s="182"/>
    </row>
    <row r="65" spans="1:9" x14ac:dyDescent="0.2">
      <c r="A65" s="33" t="s">
        <v>171</v>
      </c>
      <c r="B65" s="33"/>
      <c r="C65" s="191">
        <f t="shared" si="30"/>
        <v>0.25247152056829592</v>
      </c>
      <c r="D65" s="191">
        <f>D38/H38</f>
        <v>7.8466768256365421E-2</v>
      </c>
      <c r="E65" s="191">
        <f>E38/H38</f>
        <v>9.4254286027013814E-2</v>
      </c>
      <c r="F65" s="191">
        <f>F38/H38</f>
        <v>0.39104482732995399</v>
      </c>
      <c r="G65" s="191">
        <f>G38/H38</f>
        <v>0.18376259781837095</v>
      </c>
      <c r="H65" s="200">
        <f t="shared" si="31"/>
        <v>1.0000000000000002</v>
      </c>
      <c r="I65" s="182"/>
    </row>
    <row r="66" spans="1:9" x14ac:dyDescent="0.2">
      <c r="A66" s="33"/>
      <c r="B66" s="33"/>
      <c r="C66" s="182"/>
      <c r="D66" s="182"/>
      <c r="E66" s="182"/>
      <c r="F66" s="182"/>
      <c r="G66" s="182"/>
      <c r="H66" s="200"/>
      <c r="I66" s="182"/>
    </row>
    <row r="67" spans="1:9" x14ac:dyDescent="0.2">
      <c r="A67" s="33"/>
      <c r="B67" s="33"/>
      <c r="C67" s="182"/>
      <c r="D67" s="182"/>
      <c r="E67" s="182"/>
      <c r="F67" s="182"/>
      <c r="G67" s="182"/>
      <c r="H67" s="200"/>
      <c r="I67" s="182"/>
    </row>
    <row r="68" spans="1:9" x14ac:dyDescent="0.2">
      <c r="A68" s="33" t="s">
        <v>81</v>
      </c>
      <c r="B68" s="33"/>
      <c r="C68" s="191">
        <f t="shared" ref="C68:C73" si="32">C41/H41</f>
        <v>0.31491346100326933</v>
      </c>
      <c r="D68" s="191">
        <f t="shared" ref="D68:D73" si="33">D41/H41</f>
        <v>9.8531993188016975E-2</v>
      </c>
      <c r="E68" s="191">
        <f t="shared" ref="E68:E73" si="34">E41/H41</f>
        <v>9.4312647862358989E-2</v>
      </c>
      <c r="F68" s="191">
        <f t="shared" ref="F68:F73" si="35">F41/H41</f>
        <v>0.43221426513090822</v>
      </c>
      <c r="G68" s="191">
        <f t="shared" ref="G68:G73" si="36">G41/H41</f>
        <v>6.002763281544652E-2</v>
      </c>
      <c r="H68" s="200">
        <f t="shared" si="31"/>
        <v>1</v>
      </c>
      <c r="I68" s="182"/>
    </row>
    <row r="69" spans="1:9" x14ac:dyDescent="0.2">
      <c r="A69" s="33" t="s">
        <v>82</v>
      </c>
      <c r="B69" s="33"/>
      <c r="C69" s="191">
        <f t="shared" si="32"/>
        <v>0.25703851724235782</v>
      </c>
      <c r="D69" s="191">
        <f t="shared" si="33"/>
        <v>0.11538672004993154</v>
      </c>
      <c r="E69" s="191">
        <f t="shared" si="34"/>
        <v>9.224512067097751E-2</v>
      </c>
      <c r="F69" s="191">
        <f t="shared" si="35"/>
        <v>0.44706976313182856</v>
      </c>
      <c r="G69" s="191">
        <f t="shared" si="36"/>
        <v>8.8259878904904679E-2</v>
      </c>
      <c r="H69" s="200">
        <f t="shared" si="31"/>
        <v>1.0000000000000002</v>
      </c>
      <c r="I69" s="182"/>
    </row>
    <row r="70" spans="1:9" x14ac:dyDescent="0.2">
      <c r="A70" s="33" t="s">
        <v>83</v>
      </c>
      <c r="B70" s="33"/>
      <c r="C70" s="191">
        <f t="shared" si="32"/>
        <v>0.26090228106175867</v>
      </c>
      <c r="D70" s="191">
        <f t="shared" si="33"/>
        <v>0.10645856320036438</v>
      </c>
      <c r="E70" s="191">
        <f t="shared" si="34"/>
        <v>8.501740879716678E-2</v>
      </c>
      <c r="F70" s="191">
        <f t="shared" si="35"/>
        <v>0.42461508838282408</v>
      </c>
      <c r="G70" s="191">
        <f t="shared" si="36"/>
        <v>0.12300665855788616</v>
      </c>
      <c r="H70" s="200">
        <f t="shared" si="31"/>
        <v>1</v>
      </c>
      <c r="I70" s="182"/>
    </row>
    <row r="71" spans="1:9" x14ac:dyDescent="0.2">
      <c r="A71" s="33" t="s">
        <v>84</v>
      </c>
      <c r="B71" s="33"/>
      <c r="C71" s="191">
        <f t="shared" si="32"/>
        <v>0.24628051989666033</v>
      </c>
      <c r="D71" s="191">
        <f t="shared" si="33"/>
        <v>0.10739109172484287</v>
      </c>
      <c r="E71" s="191">
        <f t="shared" si="34"/>
        <v>9.216360254587698E-2</v>
      </c>
      <c r="F71" s="191">
        <f t="shared" si="35"/>
        <v>0.39656853025208771</v>
      </c>
      <c r="G71" s="191">
        <f t="shared" si="36"/>
        <v>0.157596255580532</v>
      </c>
      <c r="H71" s="200">
        <f t="shared" si="31"/>
        <v>0.99999999999999989</v>
      </c>
      <c r="I71" s="182"/>
    </row>
    <row r="72" spans="1:9" x14ac:dyDescent="0.2">
      <c r="A72" s="33" t="s">
        <v>85</v>
      </c>
      <c r="B72" s="33"/>
      <c r="C72" s="193">
        <f t="shared" si="32"/>
        <v>0.29002533703004513</v>
      </c>
      <c r="D72" s="193">
        <f t="shared" si="33"/>
        <v>0.11314827196398017</v>
      </c>
      <c r="E72" s="193">
        <f t="shared" si="34"/>
        <v>9.0996423306067442E-2</v>
      </c>
      <c r="F72" s="193">
        <f t="shared" si="35"/>
        <v>0.40356485987822482</v>
      </c>
      <c r="G72" s="193">
        <f t="shared" si="36"/>
        <v>0.10226510782168245</v>
      </c>
      <c r="H72" s="203">
        <f t="shared" si="31"/>
        <v>1</v>
      </c>
      <c r="I72" s="182"/>
    </row>
    <row r="73" spans="1:9" x14ac:dyDescent="0.2">
      <c r="A73" s="33" t="s">
        <v>172</v>
      </c>
      <c r="B73" s="33"/>
      <c r="C73" s="191">
        <f t="shared" si="32"/>
        <v>0.28495558232571566</v>
      </c>
      <c r="D73" s="191">
        <f t="shared" si="33"/>
        <v>0.10506699672867996</v>
      </c>
      <c r="E73" s="191">
        <f t="shared" si="34"/>
        <v>9.2194503212213966E-2</v>
      </c>
      <c r="F73" s="191">
        <f t="shared" si="35"/>
        <v>0.42713270222203648</v>
      </c>
      <c r="G73" s="191">
        <f t="shared" si="36"/>
        <v>9.0650215511353938E-2</v>
      </c>
      <c r="H73" s="200">
        <f t="shared" si="31"/>
        <v>1</v>
      </c>
      <c r="I73" s="182"/>
    </row>
    <row r="74" spans="1:9" x14ac:dyDescent="0.2">
      <c r="A74" s="33"/>
      <c r="B74" s="33"/>
      <c r="C74" s="182"/>
      <c r="D74" s="182"/>
      <c r="E74" s="182"/>
      <c r="F74" s="182"/>
      <c r="G74" s="182"/>
      <c r="H74" s="200"/>
      <c r="I74" s="182"/>
    </row>
    <row r="75" spans="1:9" x14ac:dyDescent="0.2">
      <c r="A75" s="33"/>
      <c r="B75" s="33"/>
      <c r="C75" s="182"/>
      <c r="D75" s="182"/>
      <c r="E75" s="182"/>
      <c r="F75" s="182"/>
      <c r="G75" s="182"/>
      <c r="H75" s="200"/>
      <c r="I75" s="182"/>
    </row>
    <row r="76" spans="1:9" x14ac:dyDescent="0.2">
      <c r="A76" s="33" t="s">
        <v>86</v>
      </c>
      <c r="B76" s="33"/>
      <c r="C76" s="191">
        <f>C49/H49</f>
        <v>0.20313976171595163</v>
      </c>
      <c r="D76" s="191">
        <f>D49/H49</f>
        <v>0.12146512014105328</v>
      </c>
      <c r="E76" s="191">
        <f>E49/H49</f>
        <v>9.5334012982587008E-2</v>
      </c>
      <c r="F76" s="191">
        <f>F49/H49</f>
        <v>0.45049115454536964</v>
      </c>
      <c r="G76" s="191">
        <f>G49/H49</f>
        <v>0.12956995061503848</v>
      </c>
      <c r="H76" s="200">
        <f t="shared" si="31"/>
        <v>1</v>
      </c>
      <c r="I76" s="182"/>
    </row>
    <row r="77" spans="1:9" x14ac:dyDescent="0.2">
      <c r="A77" s="33" t="s">
        <v>87</v>
      </c>
      <c r="B77" s="33"/>
      <c r="C77" s="193">
        <f>C50/H50</f>
        <v>0.29289875354667755</v>
      </c>
      <c r="D77" s="193">
        <f>D50/H50</f>
        <v>0.14766740071372761</v>
      </c>
      <c r="E77" s="193">
        <f>E50/H50</f>
        <v>8.972845728160235E-2</v>
      </c>
      <c r="F77" s="193">
        <f>F50/H50</f>
        <v>0.35171101433409624</v>
      </c>
      <c r="G77" s="193">
        <f>G50/H50</f>
        <v>0.11799437412389611</v>
      </c>
      <c r="H77" s="203">
        <f t="shared" si="31"/>
        <v>0.99999999999999989</v>
      </c>
      <c r="I77" s="182"/>
    </row>
    <row r="78" spans="1:9" x14ac:dyDescent="0.2">
      <c r="A78" s="33" t="s">
        <v>173</v>
      </c>
      <c r="B78" s="33"/>
      <c r="C78" s="191">
        <f>C51/H51</f>
        <v>0.24185899899490787</v>
      </c>
      <c r="D78" s="191">
        <f>D51/H51</f>
        <v>0.13276796900388857</v>
      </c>
      <c r="E78" s="191">
        <f>E51/H51</f>
        <v>9.2915950604211067E-2</v>
      </c>
      <c r="F78" s="191">
        <f>F51/H51</f>
        <v>0.40788047444212444</v>
      </c>
      <c r="G78" s="191">
        <f>G51/H51</f>
        <v>0.12457660695486801</v>
      </c>
      <c r="H78" s="200">
        <f t="shared" si="31"/>
        <v>1</v>
      </c>
      <c r="I78" s="182"/>
    </row>
    <row r="79" spans="1:9" x14ac:dyDescent="0.2">
      <c r="A79" s="33"/>
      <c r="B79" s="33"/>
      <c r="C79" s="182"/>
      <c r="D79" s="182"/>
      <c r="E79" s="182"/>
      <c r="F79" s="182"/>
      <c r="G79" s="182"/>
      <c r="H79" s="182"/>
      <c r="I79" s="182"/>
    </row>
    <row r="80" spans="1:9" ht="13.5" thickBot="1" x14ac:dyDescent="0.25">
      <c r="A80" s="33" t="s">
        <v>208</v>
      </c>
      <c r="B80" s="33"/>
      <c r="C80" s="195">
        <f>C53/H53</f>
        <v>0.26106754230570678</v>
      </c>
      <c r="D80" s="195">
        <f>D53/H53</f>
        <v>9.3780447030385891E-2</v>
      </c>
      <c r="E80" s="195">
        <f>E53/H53</f>
        <v>9.3445017892047372E-2</v>
      </c>
      <c r="F80" s="195">
        <f>F53/H53</f>
        <v>0.40435479200105856</v>
      </c>
      <c r="G80" s="195">
        <f>G53/H53</f>
        <v>0.14735220077080166</v>
      </c>
      <c r="H80" s="204">
        <f t="shared" si="31"/>
        <v>1.0000000000000002</v>
      </c>
      <c r="I80" s="182"/>
    </row>
    <row r="81" spans="1:9" ht="13.5" thickTop="1" x14ac:dyDescent="0.2">
      <c r="A81" s="33"/>
      <c r="B81" s="33"/>
      <c r="C81" s="33"/>
      <c r="D81" s="33"/>
      <c r="E81" s="33"/>
      <c r="F81" s="33"/>
      <c r="G81" s="33"/>
      <c r="H81" s="33"/>
      <c r="I81" s="182"/>
    </row>
    <row r="82" spans="1:9" x14ac:dyDescent="0.2">
      <c r="A82" s="33"/>
      <c r="B82" s="33"/>
      <c r="C82" s="33"/>
      <c r="D82" s="33"/>
      <c r="E82" s="33"/>
      <c r="F82" s="33"/>
      <c r="G82" s="33"/>
      <c r="H82" s="33"/>
      <c r="I82" s="182"/>
    </row>
    <row r="83" spans="1:9" x14ac:dyDescent="0.2">
      <c r="A83" s="33"/>
      <c r="B83" s="33"/>
      <c r="C83" s="33"/>
      <c r="D83" s="33"/>
      <c r="E83" s="33"/>
      <c r="F83" s="33"/>
      <c r="G83" s="33"/>
      <c r="H83" s="33"/>
      <c r="I83" s="182"/>
    </row>
  </sheetData>
  <phoneticPr fontId="7" type="noConversion"/>
  <pageMargins left="0.25" right="0.5" top="0.5" bottom="1" header="0.5" footer="0.5"/>
  <pageSetup orientation="landscape" horizontalDpi="4294967293" r:id="rId1"/>
  <headerFooter alignWithMargins="0">
    <oddFooter>&amp;L&amp;Z&amp;F</oddFooter>
  </headerFooter>
  <rowBreaks count="2" manualBreakCount="2">
    <brk id="25" max="16383" man="1"/>
    <brk id="5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I84"/>
  <sheetViews>
    <sheetView topLeftCell="A34" workbookViewId="0"/>
  </sheetViews>
  <sheetFormatPr defaultRowHeight="12.75" x14ac:dyDescent="0.2"/>
  <cols>
    <col min="1" max="1" width="18.85546875" customWidth="1"/>
    <col min="3" max="3" width="9.5703125" bestFit="1" customWidth="1"/>
    <col min="4" max="5" width="10.42578125" bestFit="1" customWidth="1"/>
    <col min="6" max="6" width="9.5703125" bestFit="1" customWidth="1"/>
    <col min="7" max="7" width="10.42578125" bestFit="1" customWidth="1"/>
    <col min="8" max="8" width="10.85546875" bestFit="1" customWidth="1"/>
  </cols>
  <sheetData>
    <row r="1" spans="1:9" x14ac:dyDescent="0.2">
      <c r="A1" s="36" t="s">
        <v>200</v>
      </c>
      <c r="B1" s="1"/>
      <c r="C1" s="6"/>
      <c r="D1" s="6"/>
      <c r="E1" s="6"/>
      <c r="F1" s="6"/>
      <c r="G1" s="6"/>
      <c r="H1" s="6"/>
      <c r="I1" s="6"/>
    </row>
    <row r="2" spans="1:9" x14ac:dyDescent="0.2">
      <c r="A2" s="36" t="s">
        <v>493</v>
      </c>
      <c r="B2" s="1"/>
      <c r="C2" s="6"/>
      <c r="D2" s="6"/>
      <c r="E2" s="6"/>
      <c r="F2" s="6"/>
      <c r="G2" s="6"/>
      <c r="H2" s="6"/>
      <c r="I2" s="6"/>
    </row>
    <row r="3" spans="1:9" ht="33.75" x14ac:dyDescent="0.2">
      <c r="A3" s="167" t="s">
        <v>245</v>
      </c>
      <c r="B3" s="160" t="s">
        <v>465</v>
      </c>
      <c r="C3" s="141" t="s">
        <v>484</v>
      </c>
      <c r="D3" s="141" t="s">
        <v>485</v>
      </c>
      <c r="E3" s="141" t="s">
        <v>486</v>
      </c>
      <c r="F3" s="141" t="s">
        <v>487</v>
      </c>
      <c r="G3" s="141" t="s">
        <v>488</v>
      </c>
      <c r="H3" s="141" t="s">
        <v>489</v>
      </c>
      <c r="I3" s="141" t="s">
        <v>490</v>
      </c>
    </row>
    <row r="4" spans="1:9" x14ac:dyDescent="0.2">
      <c r="A4" s="1" t="s">
        <v>102</v>
      </c>
      <c r="B4" s="33">
        <v>34236</v>
      </c>
      <c r="C4" s="182">
        <v>61766352.649999999</v>
      </c>
      <c r="D4" s="182">
        <v>16529403.52</v>
      </c>
      <c r="E4" s="182">
        <v>22668586.039999999</v>
      </c>
      <c r="F4" s="182">
        <v>94901903.870000005</v>
      </c>
      <c r="G4" s="182">
        <v>27153760.16</v>
      </c>
      <c r="H4" s="6">
        <f t="shared" ref="H4:H9" si="0">SUM(C4:G4)</f>
        <v>223020006.24000001</v>
      </c>
      <c r="I4" s="6">
        <f>H4/B4</f>
        <v>6514.1957658604979</v>
      </c>
    </row>
    <row r="5" spans="1:9" x14ac:dyDescent="0.2">
      <c r="A5" s="1" t="s">
        <v>76</v>
      </c>
      <c r="B5" s="33">
        <v>21444</v>
      </c>
      <c r="C5" s="182">
        <v>34487229.469999999</v>
      </c>
      <c r="D5" s="182">
        <v>11477656.75</v>
      </c>
      <c r="E5" s="182">
        <v>14233459.119999999</v>
      </c>
      <c r="F5" s="182">
        <v>63204520.539999999</v>
      </c>
      <c r="G5" s="182">
        <v>31251334.379999999</v>
      </c>
      <c r="H5" s="6">
        <f t="shared" si="0"/>
        <v>154654200.25999999</v>
      </c>
      <c r="I5" s="6">
        <f t="shared" ref="I5:I10" si="1">H5/B5</f>
        <v>7212.003369707144</v>
      </c>
    </row>
    <row r="6" spans="1:9" x14ac:dyDescent="0.2">
      <c r="A6" s="1" t="s">
        <v>77</v>
      </c>
      <c r="B6" s="33">
        <v>12158</v>
      </c>
      <c r="C6" s="182">
        <v>19101791.390000001</v>
      </c>
      <c r="D6" s="182">
        <v>9378724.0999999996</v>
      </c>
      <c r="E6" s="182">
        <v>8767316.8000000007</v>
      </c>
      <c r="F6" s="182">
        <v>36074908.649999999</v>
      </c>
      <c r="G6" s="182">
        <v>22399613.199999999</v>
      </c>
      <c r="H6" s="6">
        <f t="shared" si="0"/>
        <v>95722354.140000001</v>
      </c>
      <c r="I6" s="6">
        <f t="shared" si="1"/>
        <v>7873.1990574107585</v>
      </c>
    </row>
    <row r="7" spans="1:9" x14ac:dyDescent="0.2">
      <c r="A7" s="1" t="s">
        <v>78</v>
      </c>
      <c r="B7" s="33">
        <v>13223</v>
      </c>
      <c r="C7" s="182">
        <v>20085202.91</v>
      </c>
      <c r="D7" s="182">
        <v>8498467.25</v>
      </c>
      <c r="E7" s="182">
        <v>8656533.1899999995</v>
      </c>
      <c r="F7" s="182">
        <v>39874874.82</v>
      </c>
      <c r="G7" s="182">
        <v>17994080.68</v>
      </c>
      <c r="H7" s="6">
        <f t="shared" si="0"/>
        <v>95109158.849999994</v>
      </c>
      <c r="I7" s="6">
        <f t="shared" si="1"/>
        <v>7192.7065605384551</v>
      </c>
    </row>
    <row r="8" spans="1:9" x14ac:dyDescent="0.2">
      <c r="A8" s="1" t="s">
        <v>79</v>
      </c>
      <c r="B8" s="33">
        <v>6800</v>
      </c>
      <c r="C8" s="182">
        <v>13961999.18</v>
      </c>
      <c r="D8" s="182">
        <v>6527287.0999999996</v>
      </c>
      <c r="E8" s="182">
        <v>5355046.08</v>
      </c>
      <c r="F8" s="182">
        <v>21762754.039999999</v>
      </c>
      <c r="G8" s="182">
        <v>11873611.359999999</v>
      </c>
      <c r="H8" s="6">
        <f t="shared" si="0"/>
        <v>59480697.759999998</v>
      </c>
      <c r="I8" s="6">
        <f t="shared" si="1"/>
        <v>8747.1614352941178</v>
      </c>
    </row>
    <row r="9" spans="1:9" x14ac:dyDescent="0.2">
      <c r="A9" s="14" t="s">
        <v>80</v>
      </c>
      <c r="B9" s="33">
        <v>1427</v>
      </c>
      <c r="C9" s="182">
        <v>3071348.63</v>
      </c>
      <c r="D9" s="182">
        <v>1296048.1599999999</v>
      </c>
      <c r="E9" s="182">
        <v>1110292.46</v>
      </c>
      <c r="F9" s="182">
        <v>4490482.1399999997</v>
      </c>
      <c r="G9" s="182">
        <v>2267240.6</v>
      </c>
      <c r="H9" s="6">
        <f t="shared" si="0"/>
        <v>12235411.99</v>
      </c>
      <c r="I9" s="6">
        <f t="shared" si="1"/>
        <v>8574.2200350385428</v>
      </c>
    </row>
    <row r="10" spans="1:9" ht="13.5" thickBot="1" x14ac:dyDescent="0.25">
      <c r="A10" s="15" t="s">
        <v>171</v>
      </c>
      <c r="B10" s="8">
        <f t="shared" ref="B10:H10" si="2">SUM(B4:B9)</f>
        <v>89288</v>
      </c>
      <c r="C10" s="8">
        <f t="shared" si="2"/>
        <v>152473924.23000002</v>
      </c>
      <c r="D10" s="8">
        <f t="shared" si="2"/>
        <v>53707586.879999995</v>
      </c>
      <c r="E10" s="8">
        <f t="shared" si="2"/>
        <v>60791233.68999999</v>
      </c>
      <c r="F10" s="8">
        <f t="shared" si="2"/>
        <v>260309444.05999997</v>
      </c>
      <c r="G10" s="8">
        <f t="shared" si="2"/>
        <v>112939640.37999998</v>
      </c>
      <c r="H10" s="8">
        <f t="shared" si="2"/>
        <v>640221829.24000001</v>
      </c>
      <c r="I10" s="8">
        <f t="shared" si="1"/>
        <v>7170.3009277842484</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33">
        <v>23004</v>
      </c>
      <c r="C13" s="182">
        <v>48764923.32</v>
      </c>
      <c r="D13" s="182">
        <v>17182961.440000001</v>
      </c>
      <c r="E13" s="182">
        <v>16354582.550000001</v>
      </c>
      <c r="F13" s="182">
        <v>72808500.200000003</v>
      </c>
      <c r="G13" s="182">
        <v>9426306.5399999991</v>
      </c>
      <c r="H13" s="6">
        <f>SUM(C13:G13)</f>
        <v>164537274.04999998</v>
      </c>
      <c r="I13" s="6">
        <f t="shared" ref="I13:I18" si="3">H13/B13</f>
        <v>7152.5506020692046</v>
      </c>
    </row>
    <row r="14" spans="1:9" x14ac:dyDescent="0.2">
      <c r="A14" s="1" t="s">
        <v>82</v>
      </c>
      <c r="B14" s="33">
        <v>9223</v>
      </c>
      <c r="C14" s="182">
        <v>16157110.789999999</v>
      </c>
      <c r="D14" s="182">
        <v>8218372.2800000003</v>
      </c>
      <c r="E14" s="182">
        <v>6427427.0099999998</v>
      </c>
      <c r="F14" s="182">
        <v>32194698.23</v>
      </c>
      <c r="G14" s="182">
        <v>5921513.25</v>
      </c>
      <c r="H14" s="6">
        <f>SUM(C14:G14)</f>
        <v>68919121.560000002</v>
      </c>
      <c r="I14" s="6">
        <f t="shared" si="3"/>
        <v>7472.5275463515127</v>
      </c>
    </row>
    <row r="15" spans="1:9" x14ac:dyDescent="0.2">
      <c r="A15" s="1" t="s">
        <v>83</v>
      </c>
      <c r="B15" s="33">
        <v>5092</v>
      </c>
      <c r="C15" s="182">
        <v>10684206.029999999</v>
      </c>
      <c r="D15" s="182">
        <v>5210112.37</v>
      </c>
      <c r="E15" s="182">
        <v>4028373.04</v>
      </c>
      <c r="F15" s="182">
        <v>19516025.140000001</v>
      </c>
      <c r="G15" s="182">
        <v>5793804.1100000003</v>
      </c>
      <c r="H15" s="6">
        <f>SUM(C15:G15)</f>
        <v>45232520.689999998</v>
      </c>
      <c r="I15" s="6">
        <f t="shared" si="3"/>
        <v>8883.0559092694421</v>
      </c>
    </row>
    <row r="16" spans="1:9" x14ac:dyDescent="0.2">
      <c r="A16" s="1" t="s">
        <v>84</v>
      </c>
      <c r="B16" s="33">
        <v>4900</v>
      </c>
      <c r="C16" s="182">
        <v>11549882.789999999</v>
      </c>
      <c r="D16" s="182">
        <v>4688390.1900000004</v>
      </c>
      <c r="E16" s="182">
        <v>4871490.17</v>
      </c>
      <c r="F16" s="182">
        <v>21575829.73</v>
      </c>
      <c r="G16" s="182">
        <v>10001971.24</v>
      </c>
      <c r="H16" s="6">
        <f>SUM(C16:G16)</f>
        <v>52687564.119999997</v>
      </c>
      <c r="I16" s="6">
        <f t="shared" si="3"/>
        <v>10752.564106122449</v>
      </c>
    </row>
    <row r="17" spans="1:9" x14ac:dyDescent="0.2">
      <c r="A17" s="14" t="s">
        <v>85</v>
      </c>
      <c r="B17" s="33">
        <v>1532</v>
      </c>
      <c r="C17" s="182">
        <v>6091399.5599999996</v>
      </c>
      <c r="D17" s="182">
        <v>2364995.85</v>
      </c>
      <c r="E17" s="182">
        <v>1995395.91</v>
      </c>
      <c r="F17" s="182">
        <v>9184208.5</v>
      </c>
      <c r="G17" s="182">
        <v>2095378.84</v>
      </c>
      <c r="H17" s="6">
        <f>SUM(C17:G17)</f>
        <v>21731378.66</v>
      </c>
      <c r="I17" s="6">
        <f t="shared" si="3"/>
        <v>14184.973015665797</v>
      </c>
    </row>
    <row r="18" spans="1:9" ht="13.5" thickBot="1" x14ac:dyDescent="0.25">
      <c r="A18" s="15" t="s">
        <v>172</v>
      </c>
      <c r="B18" s="8">
        <f>SUM(B13:B17)</f>
        <v>43751</v>
      </c>
      <c r="C18" s="8">
        <f t="shared" ref="C18:H18" si="4">SUM(C13:C17)</f>
        <v>93247522.49000001</v>
      </c>
      <c r="D18" s="8">
        <f t="shared" si="4"/>
        <v>37664832.130000003</v>
      </c>
      <c r="E18" s="8">
        <f t="shared" si="4"/>
        <v>33677268.68</v>
      </c>
      <c r="F18" s="8">
        <f t="shared" si="4"/>
        <v>155279261.80000001</v>
      </c>
      <c r="G18" s="8">
        <f t="shared" si="4"/>
        <v>33238973.98</v>
      </c>
      <c r="H18" s="8">
        <f t="shared" si="4"/>
        <v>353107859.07999998</v>
      </c>
      <c r="I18" s="8">
        <f t="shared" si="3"/>
        <v>8070.8523023473745</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33">
        <v>12215</v>
      </c>
      <c r="C21" s="182">
        <v>16322469.609999999</v>
      </c>
      <c r="D21" s="182">
        <v>9124318.7100000009</v>
      </c>
      <c r="E21" s="182">
        <v>8007542.2599999998</v>
      </c>
      <c r="F21" s="182">
        <v>39544884.670000002</v>
      </c>
      <c r="G21" s="182">
        <v>9957421.4299999997</v>
      </c>
      <c r="H21" s="6">
        <f>SUM(C21:G21)</f>
        <v>82956636.680000007</v>
      </c>
      <c r="I21" s="6">
        <f>H21/B21</f>
        <v>6791.3742677036435</v>
      </c>
    </row>
    <row r="22" spans="1:9" x14ac:dyDescent="0.2">
      <c r="A22" s="14" t="s">
        <v>87</v>
      </c>
      <c r="B22" s="33">
        <v>6257</v>
      </c>
      <c r="C22" s="182">
        <v>17468106.760000002</v>
      </c>
      <c r="D22" s="182">
        <v>9019124.9600000009</v>
      </c>
      <c r="E22" s="182">
        <v>5897407.9199999999</v>
      </c>
      <c r="F22" s="182">
        <v>23828895.530000001</v>
      </c>
      <c r="G22" s="182">
        <v>7264787.0499999998</v>
      </c>
      <c r="H22" s="6">
        <f>SUM(C22:G22)</f>
        <v>63478322.219999999</v>
      </c>
      <c r="I22" s="6">
        <f>H22/B22</f>
        <v>10145.168965958126</v>
      </c>
    </row>
    <row r="23" spans="1:9" ht="13.5" thickBot="1" x14ac:dyDescent="0.25">
      <c r="A23" s="15" t="s">
        <v>173</v>
      </c>
      <c r="B23" s="8">
        <f>SUM(B21:B22)</f>
        <v>18472</v>
      </c>
      <c r="C23" s="8">
        <f t="shared" ref="C23:H23" si="5">SUM(C21:C22)</f>
        <v>33790576.370000005</v>
      </c>
      <c r="D23" s="8">
        <f t="shared" si="5"/>
        <v>18143443.670000002</v>
      </c>
      <c r="E23" s="8">
        <f t="shared" si="5"/>
        <v>13904950.18</v>
      </c>
      <c r="F23" s="8">
        <f t="shared" si="5"/>
        <v>63373780.200000003</v>
      </c>
      <c r="G23" s="8">
        <f t="shared" si="5"/>
        <v>17222208.48</v>
      </c>
      <c r="H23" s="8">
        <f t="shared" si="5"/>
        <v>146434958.90000001</v>
      </c>
      <c r="I23" s="8">
        <f>H23/B23</f>
        <v>7927.4014129493289</v>
      </c>
    </row>
    <row r="24" spans="1:9" ht="13.5" thickTop="1" x14ac:dyDescent="0.2">
      <c r="A24" s="177"/>
      <c r="B24" s="178"/>
      <c r="C24" s="178"/>
      <c r="D24" s="178"/>
      <c r="E24" s="178"/>
      <c r="F24" s="178"/>
      <c r="G24" s="178"/>
      <c r="H24" s="178"/>
      <c r="I24" s="6"/>
    </row>
    <row r="25" spans="1:9" ht="13.5" thickBot="1" x14ac:dyDescent="0.25">
      <c r="A25" s="15" t="s">
        <v>174</v>
      </c>
      <c r="B25" s="8">
        <f>B23+B18+B10</f>
        <v>151511</v>
      </c>
      <c r="C25" s="8">
        <f t="shared" ref="C25:H25" si="6">C23+C18+C10</f>
        <v>279512023.09000003</v>
      </c>
      <c r="D25" s="8">
        <f t="shared" si="6"/>
        <v>109515862.68000001</v>
      </c>
      <c r="E25" s="8">
        <f t="shared" si="6"/>
        <v>108373452.54999998</v>
      </c>
      <c r="F25" s="8">
        <f t="shared" si="6"/>
        <v>478962486.05999994</v>
      </c>
      <c r="G25" s="8">
        <f t="shared" si="6"/>
        <v>163400822.83999997</v>
      </c>
      <c r="H25" s="8">
        <f t="shared" si="6"/>
        <v>1139764647.22</v>
      </c>
      <c r="I25" s="8">
        <f>H25/B25</f>
        <v>7522.6527923385102</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491</v>
      </c>
      <c r="B29" s="6"/>
      <c r="C29" s="1"/>
      <c r="D29" s="1"/>
      <c r="E29" s="1"/>
      <c r="F29" s="1"/>
      <c r="G29" s="1"/>
      <c r="H29" s="1"/>
      <c r="I29" s="6"/>
    </row>
    <row r="30" spans="1:9" ht="35.25" customHeight="1" x14ac:dyDescent="0.2">
      <c r="A30" s="167" t="s">
        <v>245</v>
      </c>
      <c r="B30" s="160" t="str">
        <f>B3</f>
        <v>ANB03</v>
      </c>
      <c r="C30" s="160" t="str">
        <f t="shared" ref="C30:H30" si="7">C3</f>
        <v>03/Pupil Property Tax</v>
      </c>
      <c r="D30" s="160" t="str">
        <f t="shared" si="7"/>
        <v>03/Pupil Non Levy Revenue</v>
      </c>
      <c r="E30" s="160" t="str">
        <f t="shared" si="7"/>
        <v>03/Pupil County Revenue</v>
      </c>
      <c r="F30" s="160" t="str">
        <f t="shared" si="7"/>
        <v>03/Pupil State Revenue</v>
      </c>
      <c r="G30" s="160" t="str">
        <f t="shared" si="7"/>
        <v>03/Pupil Federal Revenue</v>
      </c>
      <c r="H30" s="160" t="str">
        <f t="shared" si="7"/>
        <v>03/Pupil Total Revenue</v>
      </c>
      <c r="I30" s="6"/>
    </row>
    <row r="31" spans="1:9" x14ac:dyDescent="0.2">
      <c r="A31" s="20"/>
      <c r="B31" s="16"/>
      <c r="C31" s="16"/>
      <c r="D31" s="16"/>
      <c r="E31" s="16"/>
      <c r="F31" s="16"/>
      <c r="G31" s="16"/>
      <c r="H31" s="17"/>
      <c r="I31" s="6"/>
    </row>
    <row r="32" spans="1:9" x14ac:dyDescent="0.2">
      <c r="A32" s="1" t="s">
        <v>102</v>
      </c>
      <c r="B32" s="6">
        <f t="shared" ref="B32:B37" si="8">B4</f>
        <v>34236</v>
      </c>
      <c r="C32" s="6">
        <f t="shared" ref="C32:H32" si="9">C4/$B$32</f>
        <v>1804.1346141488491</v>
      </c>
      <c r="D32" s="6">
        <f t="shared" si="9"/>
        <v>482.80767379366745</v>
      </c>
      <c r="E32" s="6">
        <f t="shared" si="9"/>
        <v>662.12717724033178</v>
      </c>
      <c r="F32" s="6">
        <f t="shared" si="9"/>
        <v>2771.9915840051408</v>
      </c>
      <c r="G32" s="6">
        <f t="shared" si="9"/>
        <v>793.13471667250849</v>
      </c>
      <c r="H32" s="6">
        <f t="shared" si="9"/>
        <v>6514.1957658604979</v>
      </c>
      <c r="I32" s="6"/>
    </row>
    <row r="33" spans="1:9" x14ac:dyDescent="0.2">
      <c r="A33" s="1" t="s">
        <v>76</v>
      </c>
      <c r="B33" s="6">
        <f t="shared" si="8"/>
        <v>21444</v>
      </c>
      <c r="C33" s="6">
        <f t="shared" ref="C33:H33" si="10">C5/$B$33</f>
        <v>1608.246104737922</v>
      </c>
      <c r="D33" s="6">
        <f t="shared" si="10"/>
        <v>535.23860986756199</v>
      </c>
      <c r="E33" s="6">
        <f t="shared" si="10"/>
        <v>663.75019212833422</v>
      </c>
      <c r="F33" s="6">
        <f t="shared" si="10"/>
        <v>2947.4221479201642</v>
      </c>
      <c r="G33" s="6">
        <f t="shared" si="10"/>
        <v>1457.3463150531618</v>
      </c>
      <c r="H33" s="6">
        <f t="shared" si="10"/>
        <v>7212.003369707144</v>
      </c>
      <c r="I33" s="6"/>
    </row>
    <row r="34" spans="1:9" x14ac:dyDescent="0.2">
      <c r="A34" s="1" t="s">
        <v>77</v>
      </c>
      <c r="B34" s="6">
        <f t="shared" si="8"/>
        <v>12158</v>
      </c>
      <c r="C34" s="6">
        <f t="shared" ref="C34:H34" si="11">C6/$B$34</f>
        <v>1571.1294119098536</v>
      </c>
      <c r="D34" s="6">
        <f t="shared" si="11"/>
        <v>771.40352854087837</v>
      </c>
      <c r="E34" s="6">
        <f t="shared" si="11"/>
        <v>721.11505181773327</v>
      </c>
      <c r="F34" s="6">
        <f t="shared" si="11"/>
        <v>2967.1745887481493</v>
      </c>
      <c r="G34" s="6">
        <f t="shared" si="11"/>
        <v>1842.3764763941438</v>
      </c>
      <c r="H34" s="6">
        <f t="shared" si="11"/>
        <v>7873.1990574107585</v>
      </c>
      <c r="I34" s="6"/>
    </row>
    <row r="35" spans="1:9" x14ac:dyDescent="0.2">
      <c r="A35" s="1" t="s">
        <v>78</v>
      </c>
      <c r="B35" s="6">
        <f t="shared" si="8"/>
        <v>13223</v>
      </c>
      <c r="C35" s="6">
        <f t="shared" ref="C35:H35" si="12">C7/$B$35</f>
        <v>1518.9596090145958</v>
      </c>
      <c r="D35" s="6">
        <f t="shared" si="12"/>
        <v>642.70341450502917</v>
      </c>
      <c r="E35" s="6">
        <f t="shared" si="12"/>
        <v>654.65727822733118</v>
      </c>
      <c r="F35" s="6">
        <f t="shared" si="12"/>
        <v>3015.5694486878924</v>
      </c>
      <c r="G35" s="6">
        <f t="shared" si="12"/>
        <v>1360.8168101036074</v>
      </c>
      <c r="H35" s="6">
        <f t="shared" si="12"/>
        <v>7192.7065605384551</v>
      </c>
      <c r="I35" s="6"/>
    </row>
    <row r="36" spans="1:9" x14ac:dyDescent="0.2">
      <c r="A36" s="1" t="s">
        <v>79</v>
      </c>
      <c r="B36" s="6">
        <f t="shared" si="8"/>
        <v>6800</v>
      </c>
      <c r="C36" s="6">
        <f t="shared" ref="C36:H36" si="13">C8/$B$36</f>
        <v>2053.2351735294119</v>
      </c>
      <c r="D36" s="6">
        <f t="shared" si="13"/>
        <v>959.89516176470579</v>
      </c>
      <c r="E36" s="6">
        <f t="shared" si="13"/>
        <v>787.50677647058819</v>
      </c>
      <c r="F36" s="6">
        <f t="shared" si="13"/>
        <v>3200.4050058823527</v>
      </c>
      <c r="G36" s="6">
        <f t="shared" si="13"/>
        <v>1746.1193176470588</v>
      </c>
      <c r="H36" s="6">
        <f t="shared" si="13"/>
        <v>8747.1614352941178</v>
      </c>
      <c r="I36" s="6"/>
    </row>
    <row r="37" spans="1:9" x14ac:dyDescent="0.2">
      <c r="A37" s="14" t="s">
        <v>80</v>
      </c>
      <c r="B37" s="6">
        <f t="shared" si="8"/>
        <v>1427</v>
      </c>
      <c r="C37" s="6">
        <f t="shared" ref="C37:H37" si="14">C9/$B$37</f>
        <v>2152.3115837421165</v>
      </c>
      <c r="D37" s="6">
        <f t="shared" si="14"/>
        <v>908.23276804484931</v>
      </c>
      <c r="E37" s="6">
        <f t="shared" si="14"/>
        <v>778.06058864751219</v>
      </c>
      <c r="F37" s="6">
        <f t="shared" si="14"/>
        <v>3146.798976874562</v>
      </c>
      <c r="G37" s="6">
        <f t="shared" si="14"/>
        <v>1588.8161177295026</v>
      </c>
      <c r="H37" s="6">
        <f t="shared" si="14"/>
        <v>8574.2200350385428</v>
      </c>
      <c r="I37" s="6"/>
    </row>
    <row r="38" spans="1:9" ht="13.5" thickBot="1" x14ac:dyDescent="0.25">
      <c r="A38" s="15" t="s">
        <v>171</v>
      </c>
      <c r="B38" s="8">
        <f>SUM(B32:B37)</f>
        <v>89288</v>
      </c>
      <c r="C38" s="8">
        <f t="shared" ref="C38:H38" si="15">C10/$B$38</f>
        <v>1707.6642351715798</v>
      </c>
      <c r="D38" s="8">
        <f t="shared" si="15"/>
        <v>601.50957441089508</v>
      </c>
      <c r="E38" s="8">
        <f t="shared" si="15"/>
        <v>680.84438771167447</v>
      </c>
      <c r="F38" s="8">
        <f t="shared" si="15"/>
        <v>2915.3911394588295</v>
      </c>
      <c r="G38" s="8">
        <f t="shared" si="15"/>
        <v>1264.8915910312694</v>
      </c>
      <c r="H38" s="8">
        <f t="shared" si="15"/>
        <v>7170.3009277842484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23004</v>
      </c>
      <c r="C41" s="6">
        <f t="shared" ref="C41:H41" si="16">C13/$B$41</f>
        <v>2119.8453886280645</v>
      </c>
      <c r="D41" s="6">
        <f t="shared" si="16"/>
        <v>746.95537471744046</v>
      </c>
      <c r="E41" s="6">
        <f t="shared" si="16"/>
        <v>710.9451638845419</v>
      </c>
      <c r="F41" s="6">
        <f t="shared" si="16"/>
        <v>3165.0365240827682</v>
      </c>
      <c r="G41" s="6">
        <f t="shared" si="16"/>
        <v>409.76815075639013</v>
      </c>
      <c r="H41" s="6">
        <f t="shared" si="16"/>
        <v>7152.5506020692046</v>
      </c>
      <c r="I41" s="6"/>
    </row>
    <row r="42" spans="1:9" x14ac:dyDescent="0.2">
      <c r="A42" s="1" t="s">
        <v>82</v>
      </c>
      <c r="B42" s="6">
        <f>B14</f>
        <v>9223</v>
      </c>
      <c r="C42" s="6">
        <f t="shared" ref="C42:H42" si="17">C14/$B$42</f>
        <v>1751.8281242545809</v>
      </c>
      <c r="D42" s="6">
        <f t="shared" si="17"/>
        <v>891.07365065596878</v>
      </c>
      <c r="E42" s="6">
        <f t="shared" si="17"/>
        <v>696.89114279518594</v>
      </c>
      <c r="F42" s="6">
        <f t="shared" si="17"/>
        <v>3490.6969782066571</v>
      </c>
      <c r="G42" s="6">
        <f t="shared" si="17"/>
        <v>642.0376504391196</v>
      </c>
      <c r="H42" s="6">
        <f t="shared" si="17"/>
        <v>7472.5275463515127</v>
      </c>
      <c r="I42" s="6"/>
    </row>
    <row r="43" spans="1:9" x14ac:dyDescent="0.2">
      <c r="A43" s="1" t="s">
        <v>83</v>
      </c>
      <c r="B43" s="6">
        <f>B15</f>
        <v>5092</v>
      </c>
      <c r="C43" s="6">
        <f t="shared" ref="C43:H43" si="18">C15/$B$43</f>
        <v>2098.2337058130397</v>
      </c>
      <c r="D43" s="6">
        <f t="shared" si="18"/>
        <v>1023.195673605656</v>
      </c>
      <c r="E43" s="6">
        <f t="shared" si="18"/>
        <v>791.11803613511393</v>
      </c>
      <c r="F43" s="6">
        <f t="shared" si="18"/>
        <v>3832.6836488609583</v>
      </c>
      <c r="G43" s="6">
        <f t="shared" si="18"/>
        <v>1137.824844854674</v>
      </c>
      <c r="H43" s="6">
        <f t="shared" si="18"/>
        <v>8883.0559092694421</v>
      </c>
      <c r="I43" s="6"/>
    </row>
    <row r="44" spans="1:9" x14ac:dyDescent="0.2">
      <c r="A44" s="1" t="s">
        <v>84</v>
      </c>
      <c r="B44" s="6">
        <f>B16</f>
        <v>4900</v>
      </c>
      <c r="C44" s="6">
        <f t="shared" ref="C44:H44" si="19">C16/$B$44</f>
        <v>2357.1189367346938</v>
      </c>
      <c r="D44" s="6">
        <f t="shared" si="19"/>
        <v>956.81432448979604</v>
      </c>
      <c r="E44" s="6">
        <f t="shared" si="19"/>
        <v>994.18166734693875</v>
      </c>
      <c r="F44" s="6">
        <f t="shared" si="19"/>
        <v>4403.2305571428569</v>
      </c>
      <c r="G44" s="6">
        <f t="shared" si="19"/>
        <v>2041.2186204081634</v>
      </c>
      <c r="H44" s="6">
        <f t="shared" si="19"/>
        <v>10752.564106122449</v>
      </c>
      <c r="I44" s="6"/>
    </row>
    <row r="45" spans="1:9" x14ac:dyDescent="0.2">
      <c r="A45" s="14" t="s">
        <v>85</v>
      </c>
      <c r="B45" s="6">
        <f>B17</f>
        <v>1532</v>
      </c>
      <c r="C45" s="6">
        <f t="shared" ref="C45:H45" si="20">C17/$B$45</f>
        <v>3976.109373368146</v>
      </c>
      <c r="D45" s="6">
        <f t="shared" si="20"/>
        <v>1543.7309725848565</v>
      </c>
      <c r="E45" s="6">
        <f t="shared" si="20"/>
        <v>1302.4777480417754</v>
      </c>
      <c r="F45" s="6">
        <f t="shared" si="20"/>
        <v>5994.9141644908614</v>
      </c>
      <c r="G45" s="6">
        <f t="shared" si="20"/>
        <v>1367.7407571801566</v>
      </c>
      <c r="H45" s="6">
        <f t="shared" si="20"/>
        <v>14184.973015665797</v>
      </c>
      <c r="I45" s="6"/>
    </row>
    <row r="46" spans="1:9" ht="13.5" thickBot="1" x14ac:dyDescent="0.25">
      <c r="A46" s="15" t="s">
        <v>172</v>
      </c>
      <c r="B46" s="8">
        <f>SUM(B41:B45)</f>
        <v>43751</v>
      </c>
      <c r="C46" s="8">
        <f t="shared" ref="C46:H46" si="21">C18/$B$46</f>
        <v>2131.3232266691048</v>
      </c>
      <c r="D46" s="8">
        <f t="shared" si="21"/>
        <v>860.89077118237299</v>
      </c>
      <c r="E46" s="8">
        <f t="shared" si="21"/>
        <v>769.74854700463993</v>
      </c>
      <c r="F46" s="8">
        <f t="shared" si="21"/>
        <v>3549.1591460766613</v>
      </c>
      <c r="G46" s="8">
        <f t="shared" si="21"/>
        <v>759.7306114145963</v>
      </c>
      <c r="H46" s="8">
        <f t="shared" si="21"/>
        <v>8070.8523023473745</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12215</v>
      </c>
      <c r="C49" s="6">
        <f t="shared" ref="C49:H49" si="22">C21/$B$49</f>
        <v>1336.2643970528038</v>
      </c>
      <c r="D49" s="6">
        <f t="shared" si="22"/>
        <v>746.97656242325013</v>
      </c>
      <c r="E49" s="6">
        <f t="shared" si="22"/>
        <v>655.5499189521081</v>
      </c>
      <c r="F49" s="6">
        <f t="shared" si="22"/>
        <v>3237.4035751125666</v>
      </c>
      <c r="G49" s="6">
        <f t="shared" si="22"/>
        <v>815.17981416291445</v>
      </c>
      <c r="H49" s="6">
        <f t="shared" si="22"/>
        <v>6791.3742677036435</v>
      </c>
      <c r="I49" s="6"/>
    </row>
    <row r="50" spans="1:9" x14ac:dyDescent="0.2">
      <c r="A50" s="14" t="s">
        <v>87</v>
      </c>
      <c r="B50" s="6">
        <f>B22</f>
        <v>6257</v>
      </c>
      <c r="C50" s="6">
        <f t="shared" ref="C50:H50" si="23">C22/$B$50</f>
        <v>2791.7702988652713</v>
      </c>
      <c r="D50" s="6">
        <f t="shared" si="23"/>
        <v>1441.4455745564969</v>
      </c>
      <c r="E50" s="6">
        <f t="shared" si="23"/>
        <v>942.52963400990893</v>
      </c>
      <c r="F50" s="6">
        <f t="shared" si="23"/>
        <v>3808.357923925204</v>
      </c>
      <c r="G50" s="6">
        <f t="shared" si="23"/>
        <v>1161.0655346012466</v>
      </c>
      <c r="H50" s="6">
        <f t="shared" si="23"/>
        <v>10145.168965958126</v>
      </c>
      <c r="I50" s="6"/>
    </row>
    <row r="51" spans="1:9" ht="13.5" thickBot="1" x14ac:dyDescent="0.25">
      <c r="A51" s="15" t="s">
        <v>173</v>
      </c>
      <c r="B51" s="8">
        <f>SUM(B49:B50)</f>
        <v>18472</v>
      </c>
      <c r="C51" s="8">
        <f t="shared" ref="C51:H51" si="24">C23/$B$51</f>
        <v>1829.2862911433524</v>
      </c>
      <c r="D51" s="8">
        <f t="shared" si="24"/>
        <v>982.21327793417072</v>
      </c>
      <c r="E51" s="8">
        <f t="shared" si="24"/>
        <v>752.75823841489819</v>
      </c>
      <c r="F51" s="8">
        <f t="shared" si="24"/>
        <v>3430.8023061931572</v>
      </c>
      <c r="G51" s="8">
        <f t="shared" si="24"/>
        <v>932.34129926375056</v>
      </c>
      <c r="H51" s="8">
        <f t="shared" si="24"/>
        <v>7927.4014129493289</v>
      </c>
      <c r="I51" s="6"/>
    </row>
    <row r="52" spans="1:9" ht="14.25" thickTop="1" thickBot="1" x14ac:dyDescent="0.25">
      <c r="A52" s="41"/>
      <c r="B52" s="42"/>
      <c r="C52" s="42"/>
      <c r="D52" s="42"/>
      <c r="E52" s="42"/>
      <c r="F52" s="42"/>
      <c r="G52" s="42"/>
      <c r="H52" s="42"/>
      <c r="I52" s="6"/>
    </row>
    <row r="53" spans="1:9" ht="13.5" thickBot="1" x14ac:dyDescent="0.25">
      <c r="A53" s="26" t="s">
        <v>174</v>
      </c>
      <c r="B53" s="27">
        <f>B51+B46+B38</f>
        <v>151511</v>
      </c>
      <c r="C53" s="27">
        <f t="shared" ref="C53:H53" si="25">C25/$B$53</f>
        <v>1844.8299007332803</v>
      </c>
      <c r="D53" s="27">
        <f t="shared" si="25"/>
        <v>722.8244990792748</v>
      </c>
      <c r="E53" s="27">
        <f t="shared" si="25"/>
        <v>715.28438562216593</v>
      </c>
      <c r="F53" s="27">
        <f t="shared" si="25"/>
        <v>3161.2390259453105</v>
      </c>
      <c r="G53" s="27">
        <f t="shared" si="25"/>
        <v>1078.474980958478</v>
      </c>
      <c r="H53" s="27">
        <f t="shared" si="25"/>
        <v>7522.6527923385102</v>
      </c>
      <c r="I53" s="6"/>
    </row>
    <row r="54" spans="1:9" ht="13.5" thickTop="1" x14ac:dyDescent="0.2">
      <c r="A54" s="1"/>
      <c r="B54" s="6"/>
      <c r="C54" s="6"/>
      <c r="D54" s="6"/>
      <c r="E54" s="6"/>
      <c r="F54" s="6"/>
      <c r="G54" s="6"/>
      <c r="H54" s="6"/>
      <c r="I54" s="6"/>
    </row>
    <row r="55" spans="1:9" x14ac:dyDescent="0.2">
      <c r="A55" s="1"/>
      <c r="B55" s="6"/>
      <c r="C55" s="6"/>
      <c r="D55" s="6"/>
      <c r="E55" s="6"/>
      <c r="F55" s="6"/>
      <c r="G55" s="6"/>
      <c r="H55" s="6"/>
      <c r="I55" s="6"/>
    </row>
    <row r="56" spans="1:9" x14ac:dyDescent="0.2">
      <c r="A56" s="36" t="s">
        <v>200</v>
      </c>
      <c r="B56" s="1"/>
      <c r="C56" s="1"/>
      <c r="D56" s="1"/>
      <c r="E56" s="1"/>
      <c r="F56" s="1"/>
      <c r="G56" s="1"/>
      <c r="H56" s="1"/>
      <c r="I56" s="6"/>
    </row>
    <row r="57" spans="1:9" x14ac:dyDescent="0.2">
      <c r="A57" s="36" t="s">
        <v>492</v>
      </c>
      <c r="B57" s="1"/>
      <c r="C57" s="1"/>
      <c r="D57" s="1"/>
      <c r="E57" s="1"/>
      <c r="F57" s="1"/>
      <c r="G57" s="1"/>
      <c r="H57" s="1"/>
      <c r="I57" s="6"/>
    </row>
    <row r="58" spans="1:9" ht="33.75" x14ac:dyDescent="0.2">
      <c r="A58" s="167" t="s">
        <v>245</v>
      </c>
      <c r="B58" s="168"/>
      <c r="C58" s="141" t="str">
        <f>C30</f>
        <v>03/Pupil Property Tax</v>
      </c>
      <c r="D58" s="141" t="str">
        <f>D30</f>
        <v>03/Pupil Non Levy Revenue</v>
      </c>
      <c r="E58" s="141" t="str">
        <f>E30</f>
        <v>03/Pupil County Revenue</v>
      </c>
      <c r="F58" s="141" t="str">
        <f>F30</f>
        <v>03/Pupil State Revenue</v>
      </c>
      <c r="G58" s="141" t="str">
        <f>G30</f>
        <v>03/Pupil Federal Revenue</v>
      </c>
      <c r="H58" s="17"/>
      <c r="I58" s="6"/>
    </row>
    <row r="59" spans="1:9" x14ac:dyDescent="0.2">
      <c r="A59" s="1" t="s">
        <v>102</v>
      </c>
      <c r="B59" s="1"/>
      <c r="C59" s="9">
        <f>C4/H4</f>
        <v>0.2769543131638646</v>
      </c>
      <c r="D59" s="9">
        <f t="shared" ref="D59:D64" si="26">D32/H32</f>
        <v>7.4116236469889171E-2</v>
      </c>
      <c r="E59" s="9">
        <f t="shared" ref="E59:E64" si="27">E32/H32</f>
        <v>0.10164373332321362</v>
      </c>
      <c r="F59" s="9">
        <f t="shared" ref="F59:F64" si="28">F32/H32</f>
        <v>0.42553089953675538</v>
      </c>
      <c r="G59" s="9">
        <f t="shared" ref="G59:G64" si="29">G32/H32</f>
        <v>0.12175481750627719</v>
      </c>
      <c r="H59" s="28">
        <f>SUM(C59:G59)</f>
        <v>0.99999999999999989</v>
      </c>
      <c r="I59" s="6"/>
    </row>
    <row r="60" spans="1:9" x14ac:dyDescent="0.2">
      <c r="A60" s="1" t="s">
        <v>76</v>
      </c>
      <c r="B60" s="1"/>
      <c r="C60" s="9">
        <f t="shared" ref="C60:C65" si="30">C33/H33</f>
        <v>0.22299575059727511</v>
      </c>
      <c r="D60" s="9">
        <f t="shared" si="26"/>
        <v>7.4214969465453293E-2</v>
      </c>
      <c r="E60" s="9">
        <f t="shared" si="27"/>
        <v>9.2034093455406543E-2</v>
      </c>
      <c r="F60" s="9">
        <f t="shared" si="28"/>
        <v>0.40868285784506636</v>
      </c>
      <c r="G60" s="9">
        <f t="shared" si="29"/>
        <v>0.20207232863679872</v>
      </c>
      <c r="H60" s="28">
        <f t="shared" ref="H60:H80" si="31">SUM(C60:G60)</f>
        <v>1</v>
      </c>
      <c r="I60" s="6"/>
    </row>
    <row r="61" spans="1:9" x14ac:dyDescent="0.2">
      <c r="A61" s="1" t="s">
        <v>77</v>
      </c>
      <c r="B61" s="1"/>
      <c r="C61" s="9">
        <f t="shared" si="30"/>
        <v>0.19955413300912367</v>
      </c>
      <c r="D61" s="9">
        <f t="shared" si="26"/>
        <v>9.7978410416891981E-2</v>
      </c>
      <c r="E61" s="9">
        <f t="shared" si="27"/>
        <v>9.1591111384256657E-2</v>
      </c>
      <c r="F61" s="9">
        <f t="shared" si="28"/>
        <v>0.37687026164482085</v>
      </c>
      <c r="G61" s="9">
        <f t="shared" si="29"/>
        <v>0.23400608354490685</v>
      </c>
      <c r="H61" s="28">
        <f t="shared" si="31"/>
        <v>1</v>
      </c>
      <c r="I61" s="6"/>
    </row>
    <row r="62" spans="1:9" x14ac:dyDescent="0.2">
      <c r="A62" s="1" t="s">
        <v>78</v>
      </c>
      <c r="B62" s="1"/>
      <c r="C62" s="9">
        <f t="shared" si="30"/>
        <v>0.2111805335349152</v>
      </c>
      <c r="D62" s="9">
        <f t="shared" si="26"/>
        <v>8.9354877624385612E-2</v>
      </c>
      <c r="E62" s="9">
        <f t="shared" si="27"/>
        <v>9.1016819985260553E-2</v>
      </c>
      <c r="F62" s="9">
        <f t="shared" si="28"/>
        <v>0.41925378483147002</v>
      </c>
      <c r="G62" s="9">
        <f t="shared" si="29"/>
        <v>0.1891939840239687</v>
      </c>
      <c r="H62" s="28">
        <f t="shared" si="31"/>
        <v>1</v>
      </c>
      <c r="I62" s="6"/>
    </row>
    <row r="63" spans="1:9" x14ac:dyDescent="0.2">
      <c r="A63" s="1" t="s">
        <v>79</v>
      </c>
      <c r="B63" s="1"/>
      <c r="C63" s="9">
        <f t="shared" si="30"/>
        <v>0.23473159706928093</v>
      </c>
      <c r="D63" s="9">
        <f t="shared" si="26"/>
        <v>0.10973790398924196</v>
      </c>
      <c r="E63" s="9">
        <f t="shared" si="27"/>
        <v>9.0029980845335658E-2</v>
      </c>
      <c r="F63" s="9">
        <f t="shared" si="28"/>
        <v>0.3658792660404056</v>
      </c>
      <c r="G63" s="9">
        <f t="shared" si="29"/>
        <v>0.1996212520557358</v>
      </c>
      <c r="H63" s="28">
        <f t="shared" si="31"/>
        <v>0.99999999999999989</v>
      </c>
      <c r="I63" s="6"/>
    </row>
    <row r="64" spans="1:9" x14ac:dyDescent="0.2">
      <c r="A64" s="14" t="s">
        <v>80</v>
      </c>
      <c r="B64" s="14"/>
      <c r="C64" s="9">
        <f t="shared" si="30"/>
        <v>0.25102126781756207</v>
      </c>
      <c r="D64" s="9">
        <f t="shared" si="26"/>
        <v>0.10592599260729919</v>
      </c>
      <c r="E64" s="9">
        <f t="shared" si="27"/>
        <v>9.0744182615791091E-2</v>
      </c>
      <c r="F64" s="9">
        <f t="shared" si="28"/>
        <v>0.3670070238476702</v>
      </c>
      <c r="G64" s="9">
        <f t="shared" si="29"/>
        <v>0.18530153311167744</v>
      </c>
      <c r="H64" s="28">
        <f t="shared" si="31"/>
        <v>1</v>
      </c>
      <c r="I64" s="6"/>
    </row>
    <row r="65" spans="1:9" ht="13.5" thickBot="1" x14ac:dyDescent="0.25">
      <c r="A65" s="15" t="s">
        <v>171</v>
      </c>
      <c r="B65" s="15"/>
      <c r="C65" s="11">
        <f t="shared" si="30"/>
        <v>0.23815795911082893</v>
      </c>
      <c r="D65" s="11">
        <f>D38/H38</f>
        <v>8.3889027876096728E-2</v>
      </c>
      <c r="E65" s="11">
        <f>E38/H38</f>
        <v>9.4953391017867303E-2</v>
      </c>
      <c r="F65" s="11">
        <f>F38/H38</f>
        <v>0.40659257802722898</v>
      </c>
      <c r="G65" s="11">
        <f>G38/H38</f>
        <v>0.17640704396797802</v>
      </c>
      <c r="H65" s="28">
        <f t="shared" si="31"/>
        <v>1</v>
      </c>
      <c r="I65" s="6"/>
    </row>
    <row r="66" spans="1:9" ht="13.5" thickTop="1" x14ac:dyDescent="0.2">
      <c r="A66" s="1"/>
      <c r="B66" s="1"/>
      <c r="C66" s="6"/>
      <c r="D66" s="6"/>
      <c r="E66" s="6"/>
      <c r="F66" s="6"/>
      <c r="G66" s="6"/>
      <c r="H66" s="28"/>
      <c r="I66" s="6"/>
    </row>
    <row r="67" spans="1:9" x14ac:dyDescent="0.2">
      <c r="A67" s="1"/>
      <c r="B67" s="1"/>
      <c r="C67" s="6"/>
      <c r="D67" s="6"/>
      <c r="E67" s="6"/>
      <c r="F67" s="6"/>
      <c r="G67" s="6"/>
      <c r="H67" s="28"/>
      <c r="I67" s="6"/>
    </row>
    <row r="68" spans="1:9" x14ac:dyDescent="0.2">
      <c r="A68" s="1" t="s">
        <v>81</v>
      </c>
      <c r="B68" s="1"/>
      <c r="C68" s="9">
        <f t="shared" ref="C68:C73" si="32">C41/H41</f>
        <v>0.29637614699500364</v>
      </c>
      <c r="D68" s="9">
        <f t="shared" ref="D68:D73" si="33">D41/H41</f>
        <v>0.10443202939401075</v>
      </c>
      <c r="E68" s="9">
        <f t="shared" ref="E68:E73" si="34">E41/H41</f>
        <v>9.939743225009387E-2</v>
      </c>
      <c r="F68" s="9">
        <f t="shared" ref="F68:F73" si="35">F41/H41</f>
        <v>0.44250459733442998</v>
      </c>
      <c r="G68" s="9">
        <f t="shared" ref="G68:G73" si="36">G41/H41</f>
        <v>5.728979402646181E-2</v>
      </c>
      <c r="H68" s="28">
        <f t="shared" si="31"/>
        <v>1</v>
      </c>
      <c r="I68" s="6"/>
    </row>
    <row r="69" spans="1:9" x14ac:dyDescent="0.2">
      <c r="A69" s="1" t="s">
        <v>82</v>
      </c>
      <c r="B69" s="1"/>
      <c r="C69" s="9">
        <f t="shared" si="32"/>
        <v>0.23443582019445575</v>
      </c>
      <c r="D69" s="9">
        <f t="shared" si="33"/>
        <v>0.11924661971852329</v>
      </c>
      <c r="E69" s="9">
        <f t="shared" si="34"/>
        <v>9.3260431423293377E-2</v>
      </c>
      <c r="F69" s="9">
        <f t="shared" si="35"/>
        <v>0.46713738511556269</v>
      </c>
      <c r="G69" s="9">
        <f t="shared" si="36"/>
        <v>8.5919743548164867E-2</v>
      </c>
      <c r="H69" s="28">
        <f t="shared" si="31"/>
        <v>1</v>
      </c>
      <c r="I69" s="6"/>
    </row>
    <row r="70" spans="1:9" x14ac:dyDescent="0.2">
      <c r="A70" s="1" t="s">
        <v>83</v>
      </c>
      <c r="B70" s="1"/>
      <c r="C70" s="9">
        <f t="shared" si="32"/>
        <v>0.23620629288435968</v>
      </c>
      <c r="D70" s="9">
        <f t="shared" si="33"/>
        <v>0.1151850989182624</v>
      </c>
      <c r="E70" s="9">
        <f t="shared" si="34"/>
        <v>8.9059220634825076E-2</v>
      </c>
      <c r="F70" s="9">
        <f t="shared" si="35"/>
        <v>0.43146003897842911</v>
      </c>
      <c r="G70" s="9">
        <f t="shared" si="36"/>
        <v>0.12808934858412377</v>
      </c>
      <c r="H70" s="28">
        <f t="shared" si="31"/>
        <v>1</v>
      </c>
      <c r="I70" s="6"/>
    </row>
    <row r="71" spans="1:9" x14ac:dyDescent="0.2">
      <c r="A71" s="1" t="s">
        <v>84</v>
      </c>
      <c r="B71" s="1"/>
      <c r="C71" s="9">
        <f t="shared" si="32"/>
        <v>0.21921459044290317</v>
      </c>
      <c r="D71" s="9">
        <f t="shared" si="33"/>
        <v>8.8984758895321661E-2</v>
      </c>
      <c r="E71" s="9">
        <f t="shared" si="34"/>
        <v>9.2459961878381861E-2</v>
      </c>
      <c r="F71" s="9">
        <f t="shared" si="35"/>
        <v>0.40950516673838594</v>
      </c>
      <c r="G71" s="9">
        <f t="shared" si="36"/>
        <v>0.18983552204500739</v>
      </c>
      <c r="H71" s="28">
        <f t="shared" si="31"/>
        <v>1</v>
      </c>
      <c r="I71" s="6"/>
    </row>
    <row r="72" spans="1:9" x14ac:dyDescent="0.2">
      <c r="A72" s="14" t="s">
        <v>85</v>
      </c>
      <c r="B72" s="1"/>
      <c r="C72" s="9">
        <f t="shared" si="32"/>
        <v>0.28030433113809627</v>
      </c>
      <c r="D72" s="9">
        <f t="shared" si="33"/>
        <v>0.10882861538615334</v>
      </c>
      <c r="E72" s="9">
        <f t="shared" si="34"/>
        <v>9.1820953526194724E-2</v>
      </c>
      <c r="F72" s="9">
        <f t="shared" si="35"/>
        <v>0.42262429106281096</v>
      </c>
      <c r="G72" s="9">
        <f t="shared" si="36"/>
        <v>9.6421808886744592E-2</v>
      </c>
      <c r="H72" s="28">
        <f t="shared" si="31"/>
        <v>0.99999999999999989</v>
      </c>
      <c r="I72" s="6"/>
    </row>
    <row r="73" spans="1:9" ht="13.5" thickBot="1" x14ac:dyDescent="0.25">
      <c r="A73" s="15" t="s">
        <v>172</v>
      </c>
      <c r="B73" s="15"/>
      <c r="C73" s="11">
        <f t="shared" si="32"/>
        <v>0.26407659895463803</v>
      </c>
      <c r="D73" s="11">
        <f t="shared" si="33"/>
        <v>0.10666664918796574</v>
      </c>
      <c r="E73" s="11">
        <f t="shared" si="34"/>
        <v>9.5373885950156931E-2</v>
      </c>
      <c r="F73" s="11">
        <f t="shared" si="35"/>
        <v>0.43975022873908903</v>
      </c>
      <c r="G73" s="11">
        <f t="shared" si="36"/>
        <v>9.4132637168150346E-2</v>
      </c>
      <c r="H73" s="28">
        <f t="shared" si="31"/>
        <v>1</v>
      </c>
      <c r="I73" s="6"/>
    </row>
    <row r="74" spans="1:9" ht="13.5" thickTop="1" x14ac:dyDescent="0.2">
      <c r="A74" s="1"/>
      <c r="B74" s="1"/>
      <c r="C74" s="6"/>
      <c r="D74" s="6"/>
      <c r="E74" s="6"/>
      <c r="F74" s="6"/>
      <c r="G74" s="6"/>
      <c r="H74" s="28"/>
      <c r="I74" s="6"/>
    </row>
    <row r="75" spans="1:9" x14ac:dyDescent="0.2">
      <c r="A75" s="1"/>
      <c r="B75" s="1"/>
      <c r="C75" s="6"/>
      <c r="D75" s="6"/>
      <c r="E75" s="6"/>
      <c r="F75" s="6"/>
      <c r="G75" s="6"/>
      <c r="H75" s="28"/>
      <c r="I75" s="6"/>
    </row>
    <row r="76" spans="1:9" x14ac:dyDescent="0.2">
      <c r="A76" s="1" t="s">
        <v>86</v>
      </c>
      <c r="B76" s="1"/>
      <c r="C76" s="9">
        <f>C49/H49</f>
        <v>0.19675905705968885</v>
      </c>
      <c r="D76" s="9">
        <f>D49/H49</f>
        <v>0.10998901444373263</v>
      </c>
      <c r="E76" s="9">
        <f>E49/H49</f>
        <v>9.6526843185417335E-2</v>
      </c>
      <c r="F76" s="9">
        <f>F49/H49</f>
        <v>0.4766934419308958</v>
      </c>
      <c r="G76" s="9">
        <f>G49/H49</f>
        <v>0.12003164338026534</v>
      </c>
      <c r="H76" s="28">
        <f t="shared" si="31"/>
        <v>1</v>
      </c>
      <c r="I76" s="6"/>
    </row>
    <row r="77" spans="1:9" x14ac:dyDescent="0.2">
      <c r="A77" s="14" t="s">
        <v>87</v>
      </c>
      <c r="B77" s="1"/>
      <c r="C77" s="9">
        <f>C50/H50</f>
        <v>0.27518223779544632</v>
      </c>
      <c r="D77" s="9">
        <f>D50/H50</f>
        <v>0.14208196821494382</v>
      </c>
      <c r="E77" s="9">
        <f>E50/H50</f>
        <v>9.2904281552386642E-2</v>
      </c>
      <c r="F77" s="9">
        <f>F50/H50</f>
        <v>0.3753863476009181</v>
      </c>
      <c r="G77" s="9">
        <f>G50/H50</f>
        <v>0.11444516483630528</v>
      </c>
      <c r="H77" s="28">
        <f t="shared" si="31"/>
        <v>1</v>
      </c>
      <c r="I77" s="6"/>
    </row>
    <row r="78" spans="1:9" ht="13.5" thickBot="1" x14ac:dyDescent="0.25">
      <c r="A78" s="15" t="s">
        <v>173</v>
      </c>
      <c r="B78" s="15"/>
      <c r="C78" s="11">
        <f>C51/H51</f>
        <v>0.23075484586351738</v>
      </c>
      <c r="D78" s="11">
        <f>D51/H51</f>
        <v>0.12390103979467161</v>
      </c>
      <c r="E78" s="11">
        <f>E51/H51</f>
        <v>9.4956493206623208E-2</v>
      </c>
      <c r="F78" s="11">
        <f>F51/H51</f>
        <v>0.4327776691853874</v>
      </c>
      <c r="G78" s="11">
        <f>G51/H51</f>
        <v>0.11760995194980042</v>
      </c>
      <c r="H78" s="28">
        <f t="shared" si="31"/>
        <v>1</v>
      </c>
      <c r="I78" s="6"/>
    </row>
    <row r="79" spans="1:9" ht="14.25" thickTop="1" thickBot="1" x14ac:dyDescent="0.25">
      <c r="A79" s="41"/>
      <c r="B79" s="41"/>
      <c r="C79" s="25"/>
      <c r="D79" s="25"/>
      <c r="E79" s="25"/>
      <c r="F79" s="25"/>
      <c r="G79" s="25"/>
      <c r="H79" s="6"/>
      <c r="I79" s="6"/>
    </row>
    <row r="80" spans="1:9" ht="13.5" thickBot="1" x14ac:dyDescent="0.25">
      <c r="A80" s="26" t="s">
        <v>208</v>
      </c>
      <c r="B80" s="26"/>
      <c r="C80" s="45">
        <f>C53/H53</f>
        <v>0.24523661421834569</v>
      </c>
      <c r="D80" s="45">
        <f>D53/H53</f>
        <v>9.6086383225800293E-2</v>
      </c>
      <c r="E80" s="45">
        <f>E53/H53</f>
        <v>9.508406214768432E-2</v>
      </c>
      <c r="F80" s="45">
        <f>F53/H53</f>
        <v>0.42022928788696629</v>
      </c>
      <c r="G80" s="45">
        <f>G53/H53</f>
        <v>0.14336365252120331</v>
      </c>
      <c r="H80" s="28">
        <f t="shared" si="31"/>
        <v>0.99999999999999989</v>
      </c>
      <c r="I80" s="6"/>
    </row>
    <row r="81" spans="1:9" ht="13.5" thickTop="1" x14ac:dyDescent="0.2">
      <c r="A81" s="1"/>
      <c r="B81" s="1"/>
      <c r="C81" s="1"/>
      <c r="D81" s="1"/>
      <c r="E81" s="1"/>
      <c r="F81" s="1"/>
      <c r="G81" s="1"/>
      <c r="H81" s="1"/>
      <c r="I81" s="6"/>
    </row>
    <row r="82" spans="1:9" x14ac:dyDescent="0.2">
      <c r="A82" s="1"/>
      <c r="B82" s="1"/>
      <c r="C82" s="1"/>
      <c r="D82" s="1"/>
      <c r="E82" s="1"/>
      <c r="F82" s="1"/>
      <c r="G82" s="1"/>
      <c r="H82" s="1"/>
      <c r="I82" s="6"/>
    </row>
    <row r="83" spans="1:9" x14ac:dyDescent="0.2">
      <c r="A83" s="1"/>
      <c r="B83" s="1"/>
      <c r="C83" s="1"/>
      <c r="D83" s="1"/>
      <c r="E83" s="1"/>
      <c r="F83" s="1"/>
      <c r="G83" s="1"/>
      <c r="H83" s="1"/>
      <c r="I83" s="6"/>
    </row>
    <row r="84" spans="1:9" x14ac:dyDescent="0.2">
      <c r="A84" s="1"/>
      <c r="B84" s="1"/>
      <c r="C84" s="1"/>
      <c r="D84" s="1"/>
      <c r="E84" s="1"/>
      <c r="F84" s="1"/>
      <c r="G84" s="1"/>
      <c r="H84" s="1"/>
      <c r="I84" s="6"/>
    </row>
  </sheetData>
  <phoneticPr fontId="7" type="noConversion"/>
  <pageMargins left="0.25" right="0.25" top="1" bottom="1" header="0.5" footer="0.5"/>
  <pageSetup orientation="landscape" r:id="rId1"/>
  <headerFooter alignWithMargins="0">
    <oddFooter>&amp;L&amp;Z&amp;F&amp;R&amp;D</oddFooter>
  </headerFooter>
  <rowBreaks count="2" manualBreakCount="2">
    <brk id="26" max="16383" man="1"/>
    <brk id="54"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I84"/>
  <sheetViews>
    <sheetView workbookViewId="0">
      <selection activeCell="C32" sqref="C32"/>
    </sheetView>
  </sheetViews>
  <sheetFormatPr defaultRowHeight="12.75" x14ac:dyDescent="0.2"/>
  <cols>
    <col min="1" max="1" width="20.28515625" customWidth="1"/>
    <col min="3" max="3" width="9.5703125" bestFit="1" customWidth="1"/>
    <col min="4" max="5" width="12" bestFit="1" customWidth="1"/>
    <col min="6" max="6" width="9.5703125" bestFit="1" customWidth="1"/>
    <col min="7" max="7" width="12" bestFit="1" customWidth="1"/>
    <col min="8" max="8" width="10.85546875" bestFit="1" customWidth="1"/>
    <col min="9" max="9" width="9.140625" style="122"/>
  </cols>
  <sheetData>
    <row r="1" spans="1:9" x14ac:dyDescent="0.2">
      <c r="A1" s="36" t="s">
        <v>200</v>
      </c>
      <c r="B1" s="1"/>
      <c r="C1" s="1"/>
      <c r="D1" s="1"/>
      <c r="E1" s="1"/>
      <c r="F1" s="1"/>
      <c r="G1" s="1"/>
      <c r="H1" s="1"/>
      <c r="I1" s="6"/>
    </row>
    <row r="2" spans="1:9" x14ac:dyDescent="0.2">
      <c r="A2" s="36" t="s">
        <v>418</v>
      </c>
      <c r="B2" s="1"/>
      <c r="C2" s="1"/>
      <c r="D2" s="1"/>
      <c r="E2" s="1"/>
      <c r="F2" s="1"/>
      <c r="G2" s="1"/>
      <c r="H2" s="1"/>
      <c r="I2" s="6"/>
    </row>
    <row r="3" spans="1:9" ht="33.75" x14ac:dyDescent="0.2">
      <c r="A3" s="167" t="s">
        <v>245</v>
      </c>
      <c r="B3" s="160" t="s">
        <v>408</v>
      </c>
      <c r="C3" s="141" t="s">
        <v>410</v>
      </c>
      <c r="D3" s="141" t="s">
        <v>411</v>
      </c>
      <c r="E3" s="141" t="s">
        <v>412</v>
      </c>
      <c r="F3" s="141" t="s">
        <v>413</v>
      </c>
      <c r="G3" s="141" t="s">
        <v>414</v>
      </c>
      <c r="H3" s="160" t="s">
        <v>415</v>
      </c>
      <c r="I3" s="141" t="s">
        <v>438</v>
      </c>
    </row>
    <row r="4" spans="1:9" x14ac:dyDescent="0.2">
      <c r="A4" s="1" t="s">
        <v>102</v>
      </c>
      <c r="B4" s="6">
        <v>34874</v>
      </c>
      <c r="C4" s="6">
        <v>59947690.189999998</v>
      </c>
      <c r="D4" s="6">
        <v>17650686.829999998</v>
      </c>
      <c r="E4" s="6">
        <v>20901693.739999998</v>
      </c>
      <c r="F4" s="6">
        <v>93083844.569999993</v>
      </c>
      <c r="G4" s="6">
        <v>21907660.120000001</v>
      </c>
      <c r="H4" s="6">
        <f t="shared" ref="H4:H9" si="0">SUM(C4:G4)</f>
        <v>213491575.44999999</v>
      </c>
      <c r="I4" s="6">
        <f>H4/B4</f>
        <v>6121.7977705453914</v>
      </c>
    </row>
    <row r="5" spans="1:9" x14ac:dyDescent="0.2">
      <c r="A5" s="1" t="s">
        <v>76</v>
      </c>
      <c r="B5" s="6">
        <v>22782</v>
      </c>
      <c r="C5" s="6">
        <v>34317141.060000002</v>
      </c>
      <c r="D5" s="6">
        <v>13117717.619999999</v>
      </c>
      <c r="E5" s="6">
        <v>13963719.93</v>
      </c>
      <c r="F5" s="6">
        <v>64543907.869999997</v>
      </c>
      <c r="G5" s="6">
        <v>29107084.879999999</v>
      </c>
      <c r="H5" s="6">
        <f t="shared" si="0"/>
        <v>155049571.35999998</v>
      </c>
      <c r="I5" s="6">
        <f t="shared" ref="I5:I10" si="1">H5/B5</f>
        <v>6805.7927907997537</v>
      </c>
    </row>
    <row r="6" spans="1:9" x14ac:dyDescent="0.2">
      <c r="A6" s="1" t="s">
        <v>77</v>
      </c>
      <c r="B6" s="6">
        <v>12060</v>
      </c>
      <c r="C6" s="6">
        <v>16455612.890000001</v>
      </c>
      <c r="D6" s="6">
        <v>9760324.4100000001</v>
      </c>
      <c r="E6" s="6">
        <v>7822055.5099999998</v>
      </c>
      <c r="F6" s="6">
        <v>34141998.469999999</v>
      </c>
      <c r="G6" s="6">
        <v>19265447.469999999</v>
      </c>
      <c r="H6" s="6">
        <f t="shared" si="0"/>
        <v>87445438.75</v>
      </c>
      <c r="I6" s="6">
        <f t="shared" si="1"/>
        <v>7250.8655679933663</v>
      </c>
    </row>
    <row r="7" spans="1:9" x14ac:dyDescent="0.2">
      <c r="A7" s="1" t="s">
        <v>78</v>
      </c>
      <c r="B7" s="6">
        <v>13847</v>
      </c>
      <c r="C7" s="6">
        <v>19167318.449999999</v>
      </c>
      <c r="D7" s="6">
        <v>9644249.2100000009</v>
      </c>
      <c r="E7" s="6">
        <v>8626803.8100000005</v>
      </c>
      <c r="F7" s="6">
        <v>40653851.509999998</v>
      </c>
      <c r="G7" s="6">
        <v>15456520.15</v>
      </c>
      <c r="H7" s="6">
        <f t="shared" si="0"/>
        <v>93548743.129999995</v>
      </c>
      <c r="I7" s="6">
        <f t="shared" si="1"/>
        <v>6755.8852552899543</v>
      </c>
    </row>
    <row r="8" spans="1:9" x14ac:dyDescent="0.2">
      <c r="A8" s="1" t="s">
        <v>79</v>
      </c>
      <c r="B8" s="6">
        <v>6286</v>
      </c>
      <c r="C8" s="6">
        <v>12086779.99</v>
      </c>
      <c r="D8" s="6">
        <v>6097098.0499999998</v>
      </c>
      <c r="E8" s="6">
        <v>4611593.0199999996</v>
      </c>
      <c r="F8" s="6">
        <v>19101018.649999999</v>
      </c>
      <c r="G8" s="6">
        <v>8945800.1400000006</v>
      </c>
      <c r="H8" s="6">
        <f t="shared" si="0"/>
        <v>50842289.849999994</v>
      </c>
      <c r="I8" s="6">
        <f t="shared" si="1"/>
        <v>8088.1784680241799</v>
      </c>
    </row>
    <row r="9" spans="1:9" x14ac:dyDescent="0.2">
      <c r="A9" s="14" t="s">
        <v>80</v>
      </c>
      <c r="B9" s="6">
        <v>1492</v>
      </c>
      <c r="C9" s="6">
        <v>2805139.02</v>
      </c>
      <c r="D9" s="6">
        <v>1498230.26</v>
      </c>
      <c r="E9" s="6">
        <v>982386.72</v>
      </c>
      <c r="F9" s="6">
        <v>4333384.7699999996</v>
      </c>
      <c r="G9" s="6">
        <v>782035.06</v>
      </c>
      <c r="H9" s="6">
        <f t="shared" si="0"/>
        <v>10401175.83</v>
      </c>
      <c r="I9" s="6">
        <f t="shared" si="1"/>
        <v>6971.2974731903487</v>
      </c>
    </row>
    <row r="10" spans="1:9" ht="13.5" thickBot="1" x14ac:dyDescent="0.25">
      <c r="A10" s="15" t="s">
        <v>171</v>
      </c>
      <c r="B10" s="8">
        <f t="shared" ref="B10:H10" si="2">SUM(B4:B9)</f>
        <v>91341</v>
      </c>
      <c r="C10" s="8">
        <f t="shared" si="2"/>
        <v>144779681.60000002</v>
      </c>
      <c r="D10" s="8">
        <f t="shared" si="2"/>
        <v>57768306.379999995</v>
      </c>
      <c r="E10" s="8">
        <f t="shared" si="2"/>
        <v>56908252.730000004</v>
      </c>
      <c r="F10" s="8">
        <f t="shared" si="2"/>
        <v>255858005.84</v>
      </c>
      <c r="G10" s="8">
        <f t="shared" si="2"/>
        <v>95464547.820000008</v>
      </c>
      <c r="H10" s="8">
        <f t="shared" si="2"/>
        <v>610778794.37</v>
      </c>
      <c r="I10" s="8">
        <f t="shared" si="1"/>
        <v>6686.7977619031981</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6">
        <v>22879</v>
      </c>
      <c r="C13" s="6">
        <v>46289590.539999999</v>
      </c>
      <c r="D13" s="6">
        <v>17195141.57</v>
      </c>
      <c r="E13" s="6">
        <v>14788939.93</v>
      </c>
      <c r="F13" s="6">
        <v>70608437.950000003</v>
      </c>
      <c r="G13" s="6">
        <v>10193170.85</v>
      </c>
      <c r="H13" s="6">
        <f>SUM(C13:G13)</f>
        <v>159075280.84</v>
      </c>
      <c r="I13" s="6">
        <f t="shared" ref="I13:I18" si="3">H13/B13</f>
        <v>6952.8948310677915</v>
      </c>
    </row>
    <row r="14" spans="1:9" x14ac:dyDescent="0.2">
      <c r="A14" s="1" t="s">
        <v>82</v>
      </c>
      <c r="B14" s="6">
        <v>9866</v>
      </c>
      <c r="C14" s="6">
        <v>15178234.390000001</v>
      </c>
      <c r="D14" s="6">
        <v>8645568.0099999998</v>
      </c>
      <c r="E14" s="6">
        <v>6160555.4400000004</v>
      </c>
      <c r="F14" s="6">
        <v>33749177.170000002</v>
      </c>
      <c r="G14" s="6">
        <v>6302476.7800000003</v>
      </c>
      <c r="H14" s="6">
        <f>SUM(C14:G14)</f>
        <v>70036011.790000007</v>
      </c>
      <c r="I14" s="6">
        <f t="shared" si="3"/>
        <v>7098.7240816947096</v>
      </c>
    </row>
    <row r="15" spans="1:9" x14ac:dyDescent="0.2">
      <c r="A15" s="1" t="s">
        <v>83</v>
      </c>
      <c r="B15" s="6">
        <v>4940</v>
      </c>
      <c r="C15" s="6">
        <v>9488362.6899999995</v>
      </c>
      <c r="D15" s="6">
        <v>4941733.42</v>
      </c>
      <c r="E15" s="6">
        <v>3817742.72</v>
      </c>
      <c r="F15" s="6">
        <v>17819993.75</v>
      </c>
      <c r="G15" s="6">
        <v>4977060.96</v>
      </c>
      <c r="H15" s="6">
        <f>SUM(C15:G15)</f>
        <v>41044893.539999999</v>
      </c>
      <c r="I15" s="6">
        <f t="shared" si="3"/>
        <v>8308.6829028340071</v>
      </c>
    </row>
    <row r="16" spans="1:9" x14ac:dyDescent="0.2">
      <c r="A16" s="1" t="s">
        <v>84</v>
      </c>
      <c r="B16" s="6">
        <v>5024</v>
      </c>
      <c r="C16" s="6">
        <v>10272914.6</v>
      </c>
      <c r="D16" s="6">
        <v>5157982.5999999996</v>
      </c>
      <c r="E16" s="6">
        <v>4667520.67</v>
      </c>
      <c r="F16" s="6">
        <v>21396202.190000001</v>
      </c>
      <c r="G16" s="6">
        <v>8663412.1199999992</v>
      </c>
      <c r="H16" s="6">
        <f>SUM(C16:G16)</f>
        <v>50158032.18</v>
      </c>
      <c r="I16" s="6">
        <f t="shared" si="3"/>
        <v>9983.6847492038214</v>
      </c>
    </row>
    <row r="17" spans="1:9" x14ac:dyDescent="0.2">
      <c r="A17" s="14" t="s">
        <v>85</v>
      </c>
      <c r="B17" s="6">
        <v>1460</v>
      </c>
      <c r="C17" s="6">
        <v>4933059.2300000004</v>
      </c>
      <c r="D17" s="6">
        <v>2303049.0699999998</v>
      </c>
      <c r="E17" s="6">
        <v>1851728.06</v>
      </c>
      <c r="F17" s="6">
        <v>8217334.7000000002</v>
      </c>
      <c r="G17" s="6">
        <v>1715791.39</v>
      </c>
      <c r="H17" s="6">
        <f>SUM(C17:G17)</f>
        <v>19020962.450000003</v>
      </c>
      <c r="I17" s="6">
        <f t="shared" si="3"/>
        <v>13028.056472602742</v>
      </c>
    </row>
    <row r="18" spans="1:9" ht="13.5" thickBot="1" x14ac:dyDescent="0.25">
      <c r="A18" s="15" t="s">
        <v>172</v>
      </c>
      <c r="B18" s="8">
        <f>SUM(B13:B17)</f>
        <v>44169</v>
      </c>
      <c r="C18" s="8">
        <f t="shared" ref="C18:H18" si="4">SUM(C13:C17)</f>
        <v>86162161.450000003</v>
      </c>
      <c r="D18" s="8">
        <f t="shared" si="4"/>
        <v>38243474.670000002</v>
      </c>
      <c r="E18" s="8">
        <f t="shared" si="4"/>
        <v>31286486.819999997</v>
      </c>
      <c r="F18" s="8">
        <f t="shared" si="4"/>
        <v>151791145.75999999</v>
      </c>
      <c r="G18" s="8">
        <f t="shared" si="4"/>
        <v>31851912.100000001</v>
      </c>
      <c r="H18" s="8">
        <f t="shared" si="4"/>
        <v>339335180.80000001</v>
      </c>
      <c r="I18" s="8">
        <f t="shared" si="3"/>
        <v>7682.6548212547268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12059</v>
      </c>
      <c r="C21" s="6">
        <v>15053644.210000001</v>
      </c>
      <c r="D21" s="6">
        <v>16313710.09</v>
      </c>
      <c r="E21" s="6">
        <v>7557265.5599999996</v>
      </c>
      <c r="F21" s="6">
        <v>37540399.890000001</v>
      </c>
      <c r="G21" s="6">
        <v>8003910.1399999997</v>
      </c>
      <c r="H21" s="6">
        <f>SUM(C21:G21)</f>
        <v>84468929.890000001</v>
      </c>
      <c r="I21" s="6">
        <f>H21/B21</f>
        <v>7004.6380205655523</v>
      </c>
    </row>
    <row r="22" spans="1:9" x14ac:dyDescent="0.2">
      <c r="A22" s="14" t="s">
        <v>87</v>
      </c>
      <c r="B22" s="6">
        <v>6890</v>
      </c>
      <c r="C22" s="6">
        <v>18229311.43</v>
      </c>
      <c r="D22" s="6">
        <v>11632529.02</v>
      </c>
      <c r="E22" s="6">
        <v>6253153.3899999997</v>
      </c>
      <c r="F22" s="6">
        <v>25046916.550000001</v>
      </c>
      <c r="G22" s="6">
        <v>8350770.1399999997</v>
      </c>
      <c r="H22" s="6">
        <f>SUM(C22:G22)</f>
        <v>69512680.530000001</v>
      </c>
      <c r="I22" s="6">
        <f>H22/B22</f>
        <v>10088.923153846154</v>
      </c>
    </row>
    <row r="23" spans="1:9" ht="13.5" thickBot="1" x14ac:dyDescent="0.25">
      <c r="A23" s="15" t="s">
        <v>173</v>
      </c>
      <c r="B23" s="8">
        <f>SUM(B21:B22)</f>
        <v>18949</v>
      </c>
      <c r="C23" s="8">
        <f t="shared" ref="C23:H23" si="5">SUM(C21:C22)</f>
        <v>33282955.640000001</v>
      </c>
      <c r="D23" s="8">
        <f t="shared" si="5"/>
        <v>27946239.109999999</v>
      </c>
      <c r="E23" s="8">
        <f t="shared" si="5"/>
        <v>13810418.949999999</v>
      </c>
      <c r="F23" s="8">
        <f t="shared" si="5"/>
        <v>62587316.439999998</v>
      </c>
      <c r="G23" s="8">
        <f t="shared" si="5"/>
        <v>16354680.279999999</v>
      </c>
      <c r="H23" s="8">
        <f t="shared" si="5"/>
        <v>153981610.42000002</v>
      </c>
      <c r="I23" s="8">
        <f>H23/B23</f>
        <v>8126.1074684679943</v>
      </c>
    </row>
    <row r="24" spans="1:9" ht="13.5" thickTop="1" x14ac:dyDescent="0.2">
      <c r="A24" s="177"/>
      <c r="B24" s="178"/>
      <c r="C24" s="178"/>
      <c r="D24" s="178"/>
      <c r="E24" s="178"/>
      <c r="F24" s="178"/>
      <c r="G24" s="178"/>
      <c r="H24" s="178"/>
      <c r="I24" s="6"/>
    </row>
    <row r="25" spans="1:9" ht="13.5" thickBot="1" x14ac:dyDescent="0.25">
      <c r="A25" s="15" t="s">
        <v>174</v>
      </c>
      <c r="B25" s="8">
        <f>B23+B18+B10</f>
        <v>154459</v>
      </c>
      <c r="C25" s="8">
        <f t="shared" ref="C25:H25" si="6">C23+C18+C10</f>
        <v>264224798.69000003</v>
      </c>
      <c r="D25" s="8">
        <f t="shared" si="6"/>
        <v>123958020.16</v>
      </c>
      <c r="E25" s="8">
        <f t="shared" si="6"/>
        <v>102005158.5</v>
      </c>
      <c r="F25" s="8">
        <f t="shared" si="6"/>
        <v>470236468.03999996</v>
      </c>
      <c r="G25" s="8">
        <f t="shared" si="6"/>
        <v>143671140.20000002</v>
      </c>
      <c r="H25" s="8">
        <f t="shared" si="6"/>
        <v>1104095585.5900002</v>
      </c>
      <c r="I25" s="8">
        <f>H25/B25</f>
        <v>7148.1466640985645</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417</v>
      </c>
      <c r="B29" s="6"/>
      <c r="C29" s="1"/>
      <c r="D29" s="1"/>
      <c r="E29" s="1"/>
      <c r="F29" s="1"/>
      <c r="G29" s="1"/>
      <c r="H29" s="1"/>
      <c r="I29" s="6"/>
    </row>
    <row r="30" spans="1:9" ht="33.75" x14ac:dyDescent="0.2">
      <c r="A30" s="167" t="s">
        <v>245</v>
      </c>
      <c r="B30" s="160" t="s">
        <v>408</v>
      </c>
      <c r="C30" s="141" t="s">
        <v>410</v>
      </c>
      <c r="D30" s="141" t="s">
        <v>411</v>
      </c>
      <c r="E30" s="141" t="s">
        <v>412</v>
      </c>
      <c r="F30" s="141" t="s">
        <v>413</v>
      </c>
      <c r="G30" s="141" t="s">
        <v>414</v>
      </c>
      <c r="H30" s="160" t="s">
        <v>415</v>
      </c>
      <c r="I30" s="6"/>
    </row>
    <row r="31" spans="1:9" x14ac:dyDescent="0.2">
      <c r="A31" s="20"/>
      <c r="B31" s="16"/>
      <c r="C31" s="16"/>
      <c r="D31" s="16"/>
      <c r="E31" s="16"/>
      <c r="F31" s="16"/>
      <c r="G31" s="16"/>
      <c r="H31" s="17"/>
      <c r="I31" s="6"/>
    </row>
    <row r="32" spans="1:9" x14ac:dyDescent="0.2">
      <c r="A32" s="1" t="s">
        <v>102</v>
      </c>
      <c r="B32" s="6">
        <f t="shared" ref="B32:B37" si="7">B4</f>
        <v>34874</v>
      </c>
      <c r="C32" s="6">
        <f t="shared" ref="C32:H32" si="8">C4/$B$32</f>
        <v>1718.9794743935308</v>
      </c>
      <c r="D32" s="6">
        <f t="shared" si="8"/>
        <v>506.12739662786026</v>
      </c>
      <c r="E32" s="6">
        <f t="shared" si="8"/>
        <v>599.34890577507599</v>
      </c>
      <c r="F32" s="6">
        <f t="shared" si="8"/>
        <v>2669.1473467339565</v>
      </c>
      <c r="G32" s="6">
        <f t="shared" si="8"/>
        <v>628.19464701496815</v>
      </c>
      <c r="H32" s="6">
        <f t="shared" si="8"/>
        <v>6121.7977705453914</v>
      </c>
      <c r="I32" s="6"/>
    </row>
    <row r="33" spans="1:9" x14ac:dyDescent="0.2">
      <c r="A33" s="1" t="s">
        <v>76</v>
      </c>
      <c r="B33" s="6">
        <f t="shared" si="7"/>
        <v>22782</v>
      </c>
      <c r="C33" s="6">
        <f t="shared" ref="C33:H33" si="9">C5/$B$33</f>
        <v>1506.3269712931262</v>
      </c>
      <c r="D33" s="6">
        <f t="shared" si="9"/>
        <v>575.79306557808798</v>
      </c>
      <c r="E33" s="6">
        <f t="shared" si="9"/>
        <v>612.92774690545161</v>
      </c>
      <c r="F33" s="6">
        <f t="shared" si="9"/>
        <v>2833.1098178386446</v>
      </c>
      <c r="G33" s="6">
        <f t="shared" si="9"/>
        <v>1277.6351891844438</v>
      </c>
      <c r="H33" s="6">
        <f t="shared" si="9"/>
        <v>6805.7927907997537</v>
      </c>
      <c r="I33" s="6"/>
    </row>
    <row r="34" spans="1:9" x14ac:dyDescent="0.2">
      <c r="A34" s="1" t="s">
        <v>77</v>
      </c>
      <c r="B34" s="6">
        <f t="shared" si="7"/>
        <v>12060</v>
      </c>
      <c r="C34" s="6">
        <f t="shared" ref="C34:H34" si="10">C6/$B$34</f>
        <v>1364.4786807628525</v>
      </c>
      <c r="D34" s="6">
        <f t="shared" si="10"/>
        <v>809.31379850746271</v>
      </c>
      <c r="E34" s="6">
        <f t="shared" si="10"/>
        <v>648.59498424543949</v>
      </c>
      <c r="F34" s="6">
        <f t="shared" si="10"/>
        <v>2831.0114817578774</v>
      </c>
      <c r="G34" s="6">
        <f t="shared" si="10"/>
        <v>1597.4666227197345</v>
      </c>
      <c r="H34" s="6">
        <f t="shared" si="10"/>
        <v>7250.8655679933663</v>
      </c>
      <c r="I34" s="6"/>
    </row>
    <row r="35" spans="1:9" x14ac:dyDescent="0.2">
      <c r="A35" s="1" t="s">
        <v>78</v>
      </c>
      <c r="B35" s="6">
        <f t="shared" si="7"/>
        <v>13847</v>
      </c>
      <c r="C35" s="6">
        <f t="shared" ref="C35:H35" si="11">C7/$B$35</f>
        <v>1384.2217411713727</v>
      </c>
      <c r="D35" s="6">
        <f t="shared" si="11"/>
        <v>696.48654654437792</v>
      </c>
      <c r="E35" s="6">
        <f t="shared" si="11"/>
        <v>623.00886906911251</v>
      </c>
      <c r="F35" s="6">
        <f t="shared" si="11"/>
        <v>2935.9320798728963</v>
      </c>
      <c r="G35" s="6">
        <f t="shared" si="11"/>
        <v>1116.2360186321948</v>
      </c>
      <c r="H35" s="6">
        <f t="shared" si="11"/>
        <v>6755.8852552899543</v>
      </c>
      <c r="I35" s="6"/>
    </row>
    <row r="36" spans="1:9" x14ac:dyDescent="0.2">
      <c r="A36" s="1" t="s">
        <v>79</v>
      </c>
      <c r="B36" s="6">
        <f t="shared" si="7"/>
        <v>6286</v>
      </c>
      <c r="C36" s="6">
        <f t="shared" ref="C36:H36" si="12">C8/$B$36</f>
        <v>1922.8094161629017</v>
      </c>
      <c r="D36" s="6">
        <f t="shared" si="12"/>
        <v>969.94878300986318</v>
      </c>
      <c r="E36" s="6">
        <f t="shared" si="12"/>
        <v>733.62917912822138</v>
      </c>
      <c r="F36" s="6">
        <f t="shared" si="12"/>
        <v>3038.6603006681512</v>
      </c>
      <c r="G36" s="6">
        <f t="shared" si="12"/>
        <v>1423.1307890550431</v>
      </c>
      <c r="H36" s="6">
        <f t="shared" si="12"/>
        <v>8088.1784680241799</v>
      </c>
      <c r="I36" s="6"/>
    </row>
    <row r="37" spans="1:9" x14ac:dyDescent="0.2">
      <c r="A37" s="14" t="s">
        <v>80</v>
      </c>
      <c r="B37" s="6">
        <f t="shared" si="7"/>
        <v>1492</v>
      </c>
      <c r="C37" s="6">
        <f t="shared" ref="C37:H37" si="13">C9/$B$37</f>
        <v>1880.1199865951742</v>
      </c>
      <c r="D37" s="6">
        <f t="shared" si="13"/>
        <v>1004.1757774798928</v>
      </c>
      <c r="E37" s="6">
        <f t="shared" si="13"/>
        <v>658.43613941018759</v>
      </c>
      <c r="F37" s="6">
        <f t="shared" si="13"/>
        <v>2904.4133847184985</v>
      </c>
      <c r="G37" s="6">
        <f t="shared" si="13"/>
        <v>524.15218498659522</v>
      </c>
      <c r="H37" s="6">
        <f t="shared" si="13"/>
        <v>6971.2974731903487</v>
      </c>
      <c r="I37" s="6"/>
    </row>
    <row r="38" spans="1:9" ht="13.5" thickBot="1" x14ac:dyDescent="0.25">
      <c r="A38" s="15" t="s">
        <v>171</v>
      </c>
      <c r="B38" s="8">
        <f>SUM(B32:B37)</f>
        <v>91341</v>
      </c>
      <c r="C38" s="8">
        <f t="shared" ref="C38:H38" si="14">C10/$B$38</f>
        <v>1585.0459443185428</v>
      </c>
      <c r="D38" s="8">
        <f t="shared" si="14"/>
        <v>632.44661630593043</v>
      </c>
      <c r="E38" s="8">
        <f t="shared" si="14"/>
        <v>623.03076088503519</v>
      </c>
      <c r="F38" s="8">
        <f t="shared" si="14"/>
        <v>2801.1298961036118</v>
      </c>
      <c r="G38" s="8">
        <f t="shared" si="14"/>
        <v>1045.1445442900779</v>
      </c>
      <c r="H38" s="8">
        <f t="shared" si="14"/>
        <v>6686.7977619031981</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22879</v>
      </c>
      <c r="C41" s="6">
        <f t="shared" ref="C41:H41" si="15">C13/$B$41</f>
        <v>2023.2348677826828</v>
      </c>
      <c r="D41" s="6">
        <f t="shared" si="15"/>
        <v>751.56875606451331</v>
      </c>
      <c r="E41" s="6">
        <f t="shared" si="15"/>
        <v>646.3980038463219</v>
      </c>
      <c r="F41" s="6">
        <f t="shared" si="15"/>
        <v>3086.1680121508807</v>
      </c>
      <c r="G41" s="6">
        <f t="shared" si="15"/>
        <v>445.5251912233926</v>
      </c>
      <c r="H41" s="6">
        <f t="shared" si="15"/>
        <v>6952.8948310677915</v>
      </c>
      <c r="I41" s="6"/>
    </row>
    <row r="42" spans="1:9" x14ac:dyDescent="0.2">
      <c r="A42" s="1" t="s">
        <v>82</v>
      </c>
      <c r="B42" s="6">
        <f>B14</f>
        <v>9866</v>
      </c>
      <c r="C42" s="6">
        <f t="shared" ref="C42:H42" si="16">C14/$B$42</f>
        <v>1538.4385151023719</v>
      </c>
      <c r="D42" s="6">
        <f t="shared" si="16"/>
        <v>876.29921041962291</v>
      </c>
      <c r="E42" s="6">
        <f t="shared" si="16"/>
        <v>624.42280964930069</v>
      </c>
      <c r="F42" s="6">
        <f t="shared" si="16"/>
        <v>3420.7558453273873</v>
      </c>
      <c r="G42" s="6">
        <f t="shared" si="16"/>
        <v>638.80770119602676</v>
      </c>
      <c r="H42" s="6">
        <f t="shared" si="16"/>
        <v>7098.7240816947096</v>
      </c>
      <c r="I42" s="6"/>
    </row>
    <row r="43" spans="1:9" x14ac:dyDescent="0.2">
      <c r="A43" s="1" t="s">
        <v>83</v>
      </c>
      <c r="B43" s="6">
        <f>B15</f>
        <v>4940</v>
      </c>
      <c r="C43" s="6">
        <f t="shared" ref="C43:H43" si="17">C15/$B$43</f>
        <v>1920.7211923076923</v>
      </c>
      <c r="D43" s="6">
        <f t="shared" si="17"/>
        <v>1000.3508947368421</v>
      </c>
      <c r="E43" s="6">
        <f t="shared" si="17"/>
        <v>772.82241295546567</v>
      </c>
      <c r="F43" s="6">
        <f t="shared" si="17"/>
        <v>3607.2861842105262</v>
      </c>
      <c r="G43" s="6">
        <f t="shared" si="17"/>
        <v>1007.5022186234818</v>
      </c>
      <c r="H43" s="6">
        <f t="shared" si="17"/>
        <v>8308.6829028340071</v>
      </c>
      <c r="I43" s="6"/>
    </row>
    <row r="44" spans="1:9" x14ac:dyDescent="0.2">
      <c r="A44" s="1" t="s">
        <v>84</v>
      </c>
      <c r="B44" s="6">
        <f>B16</f>
        <v>5024</v>
      </c>
      <c r="C44" s="6">
        <f t="shared" ref="C44:H44" si="18">C16/$B$44</f>
        <v>2044.7680334394904</v>
      </c>
      <c r="D44" s="6">
        <f t="shared" si="18"/>
        <v>1026.6685111464967</v>
      </c>
      <c r="E44" s="6">
        <f t="shared" si="18"/>
        <v>929.04471934713376</v>
      </c>
      <c r="F44" s="6">
        <f t="shared" si="18"/>
        <v>4258.7982066082805</v>
      </c>
      <c r="G44" s="6">
        <f t="shared" si="18"/>
        <v>1724.4052786624202</v>
      </c>
      <c r="H44" s="6">
        <f t="shared" si="18"/>
        <v>9983.6847492038214</v>
      </c>
      <c r="I44" s="6"/>
    </row>
    <row r="45" spans="1:9" x14ac:dyDescent="0.2">
      <c r="A45" s="14" t="s">
        <v>85</v>
      </c>
      <c r="B45" s="6">
        <f>B17</f>
        <v>1460</v>
      </c>
      <c r="C45" s="6">
        <f t="shared" ref="C45:H45" si="19">C17/$B$45</f>
        <v>3378.8076917808221</v>
      </c>
      <c r="D45" s="6">
        <f t="shared" si="19"/>
        <v>1577.4308698630136</v>
      </c>
      <c r="E45" s="6">
        <f t="shared" si="19"/>
        <v>1268.3068904109589</v>
      </c>
      <c r="F45" s="6">
        <f t="shared" si="19"/>
        <v>5628.3114383561642</v>
      </c>
      <c r="G45" s="6">
        <f t="shared" si="19"/>
        <v>1175.1995821917808</v>
      </c>
      <c r="H45" s="6">
        <f t="shared" si="19"/>
        <v>13028.056472602742</v>
      </c>
      <c r="I45" s="6"/>
    </row>
    <row r="46" spans="1:9" ht="13.5" thickBot="1" x14ac:dyDescent="0.25">
      <c r="A46" s="15" t="s">
        <v>172</v>
      </c>
      <c r="B46" s="8">
        <f>SUM(B41:B45)</f>
        <v>44169</v>
      </c>
      <c r="C46" s="8">
        <f t="shared" ref="C46:H46" si="20">C18/$B$46</f>
        <v>1950.7383334465351</v>
      </c>
      <c r="D46" s="8">
        <f t="shared" si="20"/>
        <v>865.8442498132174</v>
      </c>
      <c r="E46" s="8">
        <f t="shared" si="20"/>
        <v>708.33586497317117</v>
      </c>
      <c r="F46" s="8">
        <f t="shared" si="20"/>
        <v>3436.599102537979</v>
      </c>
      <c r="G46" s="8">
        <f t="shared" si="20"/>
        <v>721.1372704838235</v>
      </c>
      <c r="H46" s="8">
        <f t="shared" si="20"/>
        <v>7682.6548212547268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12059</v>
      </c>
      <c r="C49" s="6">
        <f t="shared" ref="C49:H49" si="21">C21/$B$49</f>
        <v>1248.3327149846589</v>
      </c>
      <c r="D49" s="6">
        <f t="shared" si="21"/>
        <v>1352.8244539348204</v>
      </c>
      <c r="E49" s="6">
        <f t="shared" si="21"/>
        <v>626.69089974293058</v>
      </c>
      <c r="F49" s="6">
        <f t="shared" si="21"/>
        <v>3113.0607753545069</v>
      </c>
      <c r="G49" s="6">
        <f t="shared" si="21"/>
        <v>663.72917654863579</v>
      </c>
      <c r="H49" s="6">
        <f t="shared" si="21"/>
        <v>7004.6380205655523</v>
      </c>
      <c r="I49" s="6"/>
    </row>
    <row r="50" spans="1:9" x14ac:dyDescent="0.2">
      <c r="A50" s="14" t="s">
        <v>87</v>
      </c>
      <c r="B50" s="6">
        <f>B22</f>
        <v>6890</v>
      </c>
      <c r="C50" s="6">
        <f t="shared" ref="C50:H50" si="22">C22/$B$50</f>
        <v>2645.7636328011608</v>
      </c>
      <c r="D50" s="6">
        <f t="shared" si="22"/>
        <v>1688.3206124818578</v>
      </c>
      <c r="E50" s="6">
        <f t="shared" si="22"/>
        <v>907.56943251088535</v>
      </c>
      <c r="F50" s="6">
        <f t="shared" si="22"/>
        <v>3635.2563933236574</v>
      </c>
      <c r="G50" s="6">
        <f t="shared" si="22"/>
        <v>1212.0130827285921</v>
      </c>
      <c r="H50" s="6">
        <f t="shared" si="22"/>
        <v>10088.923153846154</v>
      </c>
      <c r="I50" s="6"/>
    </row>
    <row r="51" spans="1:9" ht="13.5" thickBot="1" x14ac:dyDescent="0.25">
      <c r="A51" s="15" t="s">
        <v>173</v>
      </c>
      <c r="B51" s="8">
        <f>SUM(B49:B50)</f>
        <v>18949</v>
      </c>
      <c r="C51" s="8">
        <f t="shared" ref="C51:H51" si="23">C23/$B$51</f>
        <v>1756.4491867644731</v>
      </c>
      <c r="D51" s="8">
        <f t="shared" si="23"/>
        <v>1474.8133996516967</v>
      </c>
      <c r="E51" s="8">
        <f t="shared" si="23"/>
        <v>728.82046282125702</v>
      </c>
      <c r="F51" s="8">
        <f t="shared" si="23"/>
        <v>3302.9350593698873</v>
      </c>
      <c r="G51" s="8">
        <f t="shared" si="23"/>
        <v>863.08935986067866</v>
      </c>
      <c r="H51" s="8">
        <f t="shared" si="23"/>
        <v>8126.1074684679943</v>
      </c>
      <c r="I51" s="6"/>
    </row>
    <row r="52" spans="1:9" ht="14.25" thickTop="1" thickBot="1" x14ac:dyDescent="0.25">
      <c r="A52" s="41"/>
      <c r="B52" s="42"/>
      <c r="C52" s="42"/>
      <c r="D52" s="42"/>
      <c r="E52" s="42"/>
      <c r="F52" s="42"/>
      <c r="G52" s="42"/>
      <c r="H52" s="42"/>
      <c r="I52" s="6"/>
    </row>
    <row r="53" spans="1:9" ht="13.5" thickBot="1" x14ac:dyDescent="0.25">
      <c r="A53" s="26" t="s">
        <v>174</v>
      </c>
      <c r="B53" s="27">
        <f>B51+B46+B38</f>
        <v>154459</v>
      </c>
      <c r="C53" s="27">
        <f t="shared" ref="C53:H53" si="24">C25/$B$53</f>
        <v>1710.646829838339</v>
      </c>
      <c r="D53" s="27">
        <f t="shared" si="24"/>
        <v>802.53025178202631</v>
      </c>
      <c r="E53" s="27">
        <f t="shared" si="24"/>
        <v>660.40281563392227</v>
      </c>
      <c r="F53" s="27">
        <f t="shared" si="24"/>
        <v>3044.409636473109</v>
      </c>
      <c r="G53" s="27">
        <f t="shared" si="24"/>
        <v>930.15713037116655</v>
      </c>
      <c r="H53" s="27">
        <f t="shared" si="24"/>
        <v>7148.1466640985645</v>
      </c>
      <c r="I53" s="6"/>
    </row>
    <row r="54" spans="1:9" ht="13.5" thickTop="1" x14ac:dyDescent="0.2">
      <c r="A54" s="1"/>
      <c r="B54" s="6"/>
      <c r="C54" s="6"/>
      <c r="D54" s="6"/>
      <c r="E54" s="6"/>
      <c r="F54" s="6"/>
      <c r="G54" s="6"/>
      <c r="H54" s="6"/>
      <c r="I54" s="6"/>
    </row>
    <row r="55" spans="1:9" x14ac:dyDescent="0.2">
      <c r="A55" s="1"/>
      <c r="B55" s="6"/>
      <c r="C55" s="6"/>
      <c r="D55" s="6"/>
      <c r="E55" s="6"/>
      <c r="F55" s="6"/>
      <c r="G55" s="6"/>
      <c r="H55" s="6"/>
      <c r="I55" s="6"/>
    </row>
    <row r="56" spans="1:9" x14ac:dyDescent="0.2">
      <c r="A56" s="36" t="s">
        <v>200</v>
      </c>
      <c r="B56" s="1"/>
      <c r="C56" s="1"/>
      <c r="D56" s="1"/>
      <c r="E56" s="1"/>
      <c r="F56" s="1"/>
      <c r="G56" s="1"/>
      <c r="H56" s="1"/>
      <c r="I56" s="6"/>
    </row>
    <row r="57" spans="1:9" x14ac:dyDescent="0.2">
      <c r="A57" s="36" t="s">
        <v>416</v>
      </c>
      <c r="B57" s="1"/>
      <c r="C57" s="1"/>
      <c r="D57" s="1"/>
      <c r="E57" s="1"/>
      <c r="F57" s="1"/>
      <c r="G57" s="1"/>
      <c r="H57" s="1"/>
      <c r="I57" s="6"/>
    </row>
    <row r="58" spans="1:9" ht="33.75" x14ac:dyDescent="0.2">
      <c r="A58" s="167" t="s">
        <v>245</v>
      </c>
      <c r="B58" s="168"/>
      <c r="C58" s="141" t="s">
        <v>410</v>
      </c>
      <c r="D58" s="141" t="s">
        <v>411</v>
      </c>
      <c r="E58" s="141" t="s">
        <v>412</v>
      </c>
      <c r="F58" s="141" t="s">
        <v>413</v>
      </c>
      <c r="G58" s="141" t="s">
        <v>414</v>
      </c>
      <c r="H58" s="17"/>
      <c r="I58" s="6"/>
    </row>
    <row r="59" spans="1:9" x14ac:dyDescent="0.2">
      <c r="A59" s="1" t="s">
        <v>102</v>
      </c>
      <c r="B59" s="1"/>
      <c r="C59" s="9">
        <f>C4/H4</f>
        <v>0.28079651416521506</v>
      </c>
      <c r="D59" s="9">
        <f t="shared" ref="D59:D64" si="25">D32/H32</f>
        <v>8.2676268573107295E-2</v>
      </c>
      <c r="E59" s="9">
        <f t="shared" ref="E59:E64" si="26">E32/H32</f>
        <v>9.7904068092350582E-2</v>
      </c>
      <c r="F59" s="9">
        <f t="shared" ref="F59:F64" si="27">F32/H32</f>
        <v>0.43600710882289762</v>
      </c>
      <c r="G59" s="9">
        <f t="shared" ref="G59:G64" si="28">G32/H32</f>
        <v>0.10261604034642952</v>
      </c>
      <c r="H59" s="28">
        <f>SUM(C59:G59)</f>
        <v>1</v>
      </c>
      <c r="I59" s="6"/>
    </row>
    <row r="60" spans="1:9" x14ac:dyDescent="0.2">
      <c r="A60" s="1" t="s">
        <v>76</v>
      </c>
      <c r="B60" s="1"/>
      <c r="C60" s="9">
        <f t="shared" ref="C60:C65" si="29">C33/H33</f>
        <v>0.221330125320509</v>
      </c>
      <c r="D60" s="9">
        <f t="shared" si="25"/>
        <v>8.4603378809366622E-2</v>
      </c>
      <c r="E60" s="9">
        <f t="shared" si="26"/>
        <v>9.0059713209903067E-2</v>
      </c>
      <c r="F60" s="9">
        <f t="shared" si="27"/>
        <v>0.41627917641990447</v>
      </c>
      <c r="G60" s="9">
        <f t="shared" si="28"/>
        <v>0.18772760624031692</v>
      </c>
      <c r="H60" s="28">
        <f t="shared" ref="H60:H80" si="30">SUM(C60:G60)</f>
        <v>1</v>
      </c>
      <c r="I60" s="6"/>
    </row>
    <row r="61" spans="1:9" x14ac:dyDescent="0.2">
      <c r="A61" s="1" t="s">
        <v>77</v>
      </c>
      <c r="B61" s="1"/>
      <c r="C61" s="9">
        <f t="shared" si="29"/>
        <v>0.18818148922604613</v>
      </c>
      <c r="D61" s="9">
        <f t="shared" si="25"/>
        <v>0.11161616374187384</v>
      </c>
      <c r="E61" s="9">
        <f t="shared" si="26"/>
        <v>8.9450697735792423E-2</v>
      </c>
      <c r="F61" s="9">
        <f t="shared" si="27"/>
        <v>0.39043772846299546</v>
      </c>
      <c r="G61" s="9">
        <f t="shared" si="28"/>
        <v>0.22031392083329215</v>
      </c>
      <c r="H61" s="28">
        <f t="shared" si="30"/>
        <v>1</v>
      </c>
      <c r="I61" s="6"/>
    </row>
    <row r="62" spans="1:9" x14ac:dyDescent="0.2">
      <c r="A62" s="1" t="s">
        <v>78</v>
      </c>
      <c r="B62" s="1"/>
      <c r="C62" s="9">
        <f t="shared" si="29"/>
        <v>0.20489124502040756</v>
      </c>
      <c r="D62" s="9">
        <f t="shared" si="25"/>
        <v>0.10309330609175445</v>
      </c>
      <c r="E62" s="9">
        <f t="shared" si="26"/>
        <v>9.2217207002041321E-2</v>
      </c>
      <c r="F62" s="9">
        <f t="shared" si="27"/>
        <v>0.43457400013921488</v>
      </c>
      <c r="G62" s="9">
        <f t="shared" si="28"/>
        <v>0.16522424174658179</v>
      </c>
      <c r="H62" s="28">
        <f t="shared" si="30"/>
        <v>1</v>
      </c>
      <c r="I62" s="6"/>
    </row>
    <row r="63" spans="1:9" x14ac:dyDescent="0.2">
      <c r="A63" s="1" t="s">
        <v>79</v>
      </c>
      <c r="B63" s="1"/>
      <c r="C63" s="9">
        <f t="shared" si="29"/>
        <v>0.23773083442267504</v>
      </c>
      <c r="D63" s="9">
        <f t="shared" si="25"/>
        <v>0.11992178298790766</v>
      </c>
      <c r="E63" s="9">
        <f t="shared" si="26"/>
        <v>9.0703881229692487E-2</v>
      </c>
      <c r="F63" s="9">
        <f t="shared" si="27"/>
        <v>0.37569154942379135</v>
      </c>
      <c r="G63" s="9">
        <f t="shared" si="28"/>
        <v>0.17595195193593355</v>
      </c>
      <c r="H63" s="28">
        <f t="shared" si="30"/>
        <v>1</v>
      </c>
      <c r="I63" s="6"/>
    </row>
    <row r="64" spans="1:9" x14ac:dyDescent="0.2">
      <c r="A64" s="14" t="s">
        <v>80</v>
      </c>
      <c r="B64" s="14"/>
      <c r="C64" s="9">
        <f t="shared" si="29"/>
        <v>0.26969441396319516</v>
      </c>
      <c r="D64" s="9">
        <f t="shared" si="25"/>
        <v>0.14404431618958605</v>
      </c>
      <c r="E64" s="9">
        <f t="shared" si="26"/>
        <v>9.4449583014115809E-2</v>
      </c>
      <c r="F64" s="9">
        <f t="shared" si="27"/>
        <v>0.41662450869268686</v>
      </c>
      <c r="G64" s="9">
        <f t="shared" si="28"/>
        <v>7.5187178140416075E-2</v>
      </c>
      <c r="H64" s="28">
        <f t="shared" si="30"/>
        <v>0.99999999999999989</v>
      </c>
      <c r="I64" s="6"/>
    </row>
    <row r="65" spans="1:9" ht="13.5" thickBot="1" x14ac:dyDescent="0.25">
      <c r="A65" s="15" t="s">
        <v>171</v>
      </c>
      <c r="B65" s="15"/>
      <c r="C65" s="11">
        <f t="shared" si="29"/>
        <v>0.2370411070825337</v>
      </c>
      <c r="D65" s="11">
        <f>D38/H38</f>
        <v>9.4581388405251141E-2</v>
      </c>
      <c r="E65" s="11">
        <f>E38/H38</f>
        <v>9.3173262160647141E-2</v>
      </c>
      <c r="F65" s="11">
        <f>F38/H38</f>
        <v>0.41890453335713768</v>
      </c>
      <c r="G65" s="11">
        <f>G38/H38</f>
        <v>0.15629970899443033</v>
      </c>
      <c r="H65" s="28">
        <f t="shared" si="30"/>
        <v>1</v>
      </c>
      <c r="I65" s="6"/>
    </row>
    <row r="66" spans="1:9" ht="13.5" thickTop="1" x14ac:dyDescent="0.2">
      <c r="A66" s="1"/>
      <c r="B66" s="1"/>
      <c r="C66" s="6"/>
      <c r="D66" s="6"/>
      <c r="E66" s="6"/>
      <c r="F66" s="6"/>
      <c r="G66" s="6"/>
      <c r="H66" s="28"/>
      <c r="I66" s="6"/>
    </row>
    <row r="67" spans="1:9" x14ac:dyDescent="0.2">
      <c r="A67" s="1"/>
      <c r="B67" s="1"/>
      <c r="C67" s="6"/>
      <c r="D67" s="6"/>
      <c r="E67" s="6"/>
      <c r="F67" s="6"/>
      <c r="G67" s="6"/>
      <c r="H67" s="28"/>
      <c r="I67" s="6"/>
    </row>
    <row r="68" spans="1:9" x14ac:dyDescent="0.2">
      <c r="A68" s="1" t="s">
        <v>81</v>
      </c>
      <c r="B68" s="1"/>
      <c r="C68" s="9">
        <f t="shared" ref="C68:C73" si="31">C41/H41</f>
        <v>0.29099172602787154</v>
      </c>
      <c r="D68" s="9">
        <f t="shared" ref="D68:D73" si="32">D41/H41</f>
        <v>0.10809436563116992</v>
      </c>
      <c r="E68" s="9">
        <f t="shared" ref="E68:E73" si="33">E41/H41</f>
        <v>9.2968183692065318E-2</v>
      </c>
      <c r="F68" s="9">
        <f t="shared" ref="F68:F73" si="34">F41/H41</f>
        <v>0.44386807036989545</v>
      </c>
      <c r="G68" s="9">
        <f t="shared" ref="G68:G73" si="35">G41/H41</f>
        <v>6.4077654278997781E-2</v>
      </c>
      <c r="H68" s="28">
        <f t="shared" si="30"/>
        <v>1</v>
      </c>
      <c r="I68" s="6"/>
    </row>
    <row r="69" spans="1:9" x14ac:dyDescent="0.2">
      <c r="A69" s="1" t="s">
        <v>82</v>
      </c>
      <c r="B69" s="1"/>
      <c r="C69" s="9">
        <f t="shared" si="31"/>
        <v>0.21672042713556119</v>
      </c>
      <c r="D69" s="9">
        <f t="shared" si="32"/>
        <v>0.12344460783865545</v>
      </c>
      <c r="E69" s="9">
        <f t="shared" si="33"/>
        <v>8.7962682090924352E-2</v>
      </c>
      <c r="F69" s="9">
        <f t="shared" si="34"/>
        <v>0.48188319562221033</v>
      </c>
      <c r="G69" s="9">
        <f t="shared" si="35"/>
        <v>8.9989087312648638E-2</v>
      </c>
      <c r="H69" s="28">
        <f t="shared" si="30"/>
        <v>0.99999999999999989</v>
      </c>
      <c r="I69" s="6"/>
    </row>
    <row r="70" spans="1:9" x14ac:dyDescent="0.2">
      <c r="A70" s="1" t="s">
        <v>83</v>
      </c>
      <c r="B70" s="1"/>
      <c r="C70" s="9">
        <f t="shared" si="31"/>
        <v>0.2311703569349787</v>
      </c>
      <c r="D70" s="9">
        <f t="shared" si="32"/>
        <v>0.1203982516164665</v>
      </c>
      <c r="E70" s="9">
        <f t="shared" si="33"/>
        <v>9.3013829266713713E-2</v>
      </c>
      <c r="F70" s="9">
        <f t="shared" si="34"/>
        <v>0.43415860568949111</v>
      </c>
      <c r="G70" s="9">
        <f t="shared" si="35"/>
        <v>0.12125895649235008</v>
      </c>
      <c r="H70" s="28">
        <f t="shared" si="30"/>
        <v>1</v>
      </c>
      <c r="I70" s="6"/>
    </row>
    <row r="71" spans="1:9" x14ac:dyDescent="0.2">
      <c r="A71" s="1" t="s">
        <v>84</v>
      </c>
      <c r="B71" s="1"/>
      <c r="C71" s="9">
        <f t="shared" si="31"/>
        <v>0.20481095755778511</v>
      </c>
      <c r="D71" s="9">
        <f t="shared" si="32"/>
        <v>0.10283462838992101</v>
      </c>
      <c r="E71" s="9">
        <f t="shared" si="33"/>
        <v>9.3056295614825299E-2</v>
      </c>
      <c r="F71" s="9">
        <f t="shared" si="34"/>
        <v>0.42657578976017957</v>
      </c>
      <c r="G71" s="9">
        <f t="shared" si="35"/>
        <v>0.17272232867728901</v>
      </c>
      <c r="H71" s="28">
        <f t="shared" si="30"/>
        <v>1</v>
      </c>
      <c r="I71" s="6"/>
    </row>
    <row r="72" spans="1:9" x14ac:dyDescent="0.2">
      <c r="A72" s="14" t="s">
        <v>85</v>
      </c>
      <c r="B72" s="1"/>
      <c r="C72" s="9">
        <f t="shared" si="31"/>
        <v>0.25934856046151333</v>
      </c>
      <c r="D72" s="9">
        <f t="shared" si="32"/>
        <v>0.12107952350223999</v>
      </c>
      <c r="E72" s="9">
        <f t="shared" si="33"/>
        <v>9.7351964437530317E-2</v>
      </c>
      <c r="F72" s="9">
        <f t="shared" si="34"/>
        <v>0.43201466390571619</v>
      </c>
      <c r="G72" s="9">
        <f t="shared" si="35"/>
        <v>9.0205287692999972E-2</v>
      </c>
      <c r="H72" s="28">
        <f t="shared" si="30"/>
        <v>0.99999999999999978</v>
      </c>
      <c r="I72" s="6"/>
    </row>
    <row r="73" spans="1:9" ht="13.5" thickBot="1" x14ac:dyDescent="0.25">
      <c r="A73" s="15" t="s">
        <v>172</v>
      </c>
      <c r="B73" s="15"/>
      <c r="C73" s="11">
        <f t="shared" si="31"/>
        <v>0.2539146140016143</v>
      </c>
      <c r="D73" s="11">
        <f t="shared" si="32"/>
        <v>0.11270117816796671</v>
      </c>
      <c r="E73" s="11">
        <f t="shared" si="33"/>
        <v>9.2199360957035181E-2</v>
      </c>
      <c r="F73" s="11">
        <f t="shared" si="34"/>
        <v>0.44731921223771909</v>
      </c>
      <c r="G73" s="11">
        <f t="shared" si="35"/>
        <v>9.3865634635664622E-2</v>
      </c>
      <c r="H73" s="28">
        <f t="shared" si="30"/>
        <v>0.99999999999999989</v>
      </c>
      <c r="I73" s="6"/>
    </row>
    <row r="74" spans="1:9" ht="13.5" thickTop="1" x14ac:dyDescent="0.2">
      <c r="A74" s="1"/>
      <c r="B74" s="1"/>
      <c r="C74" s="6"/>
      <c r="D74" s="6"/>
      <c r="E74" s="6"/>
      <c r="F74" s="6"/>
      <c r="G74" s="6"/>
      <c r="H74" s="28"/>
      <c r="I74" s="6"/>
    </row>
    <row r="75" spans="1:9" x14ac:dyDescent="0.2">
      <c r="A75" s="1"/>
      <c r="B75" s="1"/>
      <c r="C75" s="6"/>
      <c r="D75" s="6"/>
      <c r="E75" s="6"/>
      <c r="F75" s="6"/>
      <c r="G75" s="6"/>
      <c r="H75" s="28"/>
      <c r="I75" s="6"/>
    </row>
    <row r="76" spans="1:9" x14ac:dyDescent="0.2">
      <c r="A76" s="1" t="s">
        <v>86</v>
      </c>
      <c r="B76" s="1"/>
      <c r="C76" s="9">
        <f>C49/H49</f>
        <v>0.1782151641982877</v>
      </c>
      <c r="D76" s="9">
        <f>D49/H49</f>
        <v>0.19313267151891939</v>
      </c>
      <c r="E76" s="9">
        <f>E49/H49</f>
        <v>8.9467992193596857E-2</v>
      </c>
      <c r="F76" s="9">
        <f>F49/H49</f>
        <v>0.44442850097529513</v>
      </c>
      <c r="G76" s="9">
        <f>G49/H49</f>
        <v>9.4755671113900972E-2</v>
      </c>
      <c r="H76" s="28">
        <f t="shared" si="30"/>
        <v>1</v>
      </c>
      <c r="I76" s="6"/>
    </row>
    <row r="77" spans="1:9" x14ac:dyDescent="0.2">
      <c r="A77" s="14" t="s">
        <v>87</v>
      </c>
      <c r="B77" s="1"/>
      <c r="C77" s="9">
        <f>C50/H50</f>
        <v>0.2622444033377862</v>
      </c>
      <c r="D77" s="9">
        <f>D50/H50</f>
        <v>0.16734398574918544</v>
      </c>
      <c r="E77" s="9">
        <f>E50/H50</f>
        <v>8.9957017084117338E-2</v>
      </c>
      <c r="F77" s="9">
        <f>F50/H50</f>
        <v>0.36032154650100645</v>
      </c>
      <c r="G77" s="9">
        <f>G50/H50</f>
        <v>0.12013304732790456</v>
      </c>
      <c r="H77" s="28">
        <f t="shared" si="30"/>
        <v>0.99999999999999989</v>
      </c>
      <c r="I77" s="6"/>
    </row>
    <row r="78" spans="1:9" ht="13.5" thickBot="1" x14ac:dyDescent="0.25">
      <c r="A78" s="15" t="s">
        <v>173</v>
      </c>
      <c r="B78" s="15"/>
      <c r="C78" s="11">
        <f>C51/H51</f>
        <v>0.21614889952908958</v>
      </c>
      <c r="D78" s="11">
        <f>D51/H51</f>
        <v>0.1814907574597634</v>
      </c>
      <c r="E78" s="11">
        <f>E51/H51</f>
        <v>8.9688755120372624E-2</v>
      </c>
      <c r="F78" s="11">
        <f>F51/H51</f>
        <v>0.40645968222625362</v>
      </c>
      <c r="G78" s="11">
        <f>G51/H51</f>
        <v>0.10621190566452057</v>
      </c>
      <c r="H78" s="28">
        <f t="shared" si="30"/>
        <v>0.99999999999999978</v>
      </c>
      <c r="I78" s="6"/>
    </row>
    <row r="79" spans="1:9" ht="14.25" thickTop="1" thickBot="1" x14ac:dyDescent="0.25">
      <c r="A79" s="41"/>
      <c r="B79" s="41"/>
      <c r="C79" s="25"/>
      <c r="D79" s="25"/>
      <c r="E79" s="25"/>
      <c r="F79" s="25"/>
      <c r="G79" s="25"/>
      <c r="H79" s="6"/>
      <c r="I79" s="6"/>
    </row>
    <row r="80" spans="1:9" ht="13.5" thickBot="1" x14ac:dyDescent="0.25">
      <c r="A80" s="26" t="s">
        <v>208</v>
      </c>
      <c r="B80" s="26"/>
      <c r="C80" s="45">
        <f>C53/H53</f>
        <v>0.23931333676042649</v>
      </c>
      <c r="D80" s="45">
        <f>D53/H53</f>
        <v>0.11227109480177845</v>
      </c>
      <c r="E80" s="45">
        <f>E53/H53</f>
        <v>9.2387977844772443E-2</v>
      </c>
      <c r="F80" s="45">
        <f>F53/H53</f>
        <v>0.4259019546652002</v>
      </c>
      <c r="G80" s="45">
        <f>G53/H53</f>
        <v>0.1301256359278222</v>
      </c>
      <c r="H80" s="28">
        <f t="shared" si="30"/>
        <v>0.99999999999999978</v>
      </c>
      <c r="I80" s="6"/>
    </row>
    <row r="81" spans="1:9" ht="13.5" thickTop="1" x14ac:dyDescent="0.2">
      <c r="A81" s="1"/>
      <c r="B81" s="1"/>
      <c r="C81" s="1"/>
      <c r="D81" s="1"/>
      <c r="E81" s="1"/>
      <c r="F81" s="1"/>
      <c r="G81" s="1"/>
      <c r="H81" s="1"/>
      <c r="I81" s="6"/>
    </row>
    <row r="82" spans="1:9" x14ac:dyDescent="0.2">
      <c r="A82" s="1"/>
      <c r="B82" s="1"/>
      <c r="C82" s="1"/>
      <c r="D82" s="1"/>
      <c r="E82" s="1"/>
      <c r="F82" s="1"/>
      <c r="G82" s="1"/>
      <c r="H82" s="1"/>
      <c r="I82" s="6"/>
    </row>
    <row r="83" spans="1:9" x14ac:dyDescent="0.2">
      <c r="A83" s="1"/>
      <c r="B83" s="1"/>
      <c r="C83" s="1"/>
      <c r="D83" s="1"/>
      <c r="E83" s="1"/>
      <c r="F83" s="1"/>
      <c r="G83" s="1"/>
      <c r="H83" s="1"/>
      <c r="I83" s="6"/>
    </row>
    <row r="84" spans="1:9" x14ac:dyDescent="0.2">
      <c r="A84" s="1"/>
      <c r="B84" s="1"/>
      <c r="C84" s="1"/>
      <c r="D84" s="1"/>
      <c r="E84" s="1"/>
      <c r="F84" s="1"/>
      <c r="G84" s="1"/>
      <c r="H84" s="1"/>
      <c r="I84" s="6"/>
    </row>
  </sheetData>
  <phoneticPr fontId="7"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I84"/>
  <sheetViews>
    <sheetView workbookViewId="0">
      <selection activeCell="C32" sqref="C32"/>
    </sheetView>
  </sheetViews>
  <sheetFormatPr defaultRowHeight="12.75" x14ac:dyDescent="0.2"/>
  <cols>
    <col min="1" max="1" width="21.140625" customWidth="1"/>
    <col min="2" max="2" width="9.28515625" bestFit="1" customWidth="1"/>
    <col min="3" max="3" width="11.7109375" customWidth="1"/>
    <col min="4" max="4" width="11.85546875" customWidth="1"/>
    <col min="5" max="5" width="10.140625" bestFit="1" customWidth="1"/>
    <col min="6" max="6" width="12.42578125" customWidth="1"/>
    <col min="7" max="7" width="11.28515625" customWidth="1"/>
    <col min="8" max="8" width="12.85546875" customWidth="1"/>
    <col min="9" max="9" width="9.140625" style="122"/>
  </cols>
  <sheetData>
    <row r="1" spans="1:9" x14ac:dyDescent="0.2">
      <c r="A1" s="36" t="s">
        <v>200</v>
      </c>
      <c r="I1" s="6"/>
    </row>
    <row r="2" spans="1:9" x14ac:dyDescent="0.2">
      <c r="A2" s="36" t="s">
        <v>299</v>
      </c>
      <c r="I2" s="6"/>
    </row>
    <row r="3" spans="1:9" ht="33.75" x14ac:dyDescent="0.2">
      <c r="A3" s="167" t="s">
        <v>245</v>
      </c>
      <c r="B3" s="160" t="s">
        <v>235</v>
      </c>
      <c r="C3" s="141" t="s">
        <v>300</v>
      </c>
      <c r="D3" s="141" t="s">
        <v>301</v>
      </c>
      <c r="E3" s="141" t="s">
        <v>302</v>
      </c>
      <c r="F3" s="141" t="s">
        <v>303</v>
      </c>
      <c r="G3" s="141" t="s">
        <v>304</v>
      </c>
      <c r="H3" s="160" t="s">
        <v>305</v>
      </c>
      <c r="I3" s="141" t="s">
        <v>439</v>
      </c>
    </row>
    <row r="4" spans="1:9" x14ac:dyDescent="0.2">
      <c r="A4" s="1" t="s">
        <v>102</v>
      </c>
      <c r="B4" s="6">
        <v>35570</v>
      </c>
      <c r="C4" s="6">
        <v>55093029.57</v>
      </c>
      <c r="D4" s="6">
        <v>19250186.699999999</v>
      </c>
      <c r="E4" s="6">
        <v>21194301.359999999</v>
      </c>
      <c r="F4" s="6">
        <v>95212329.969999999</v>
      </c>
      <c r="G4" s="6">
        <v>19060528.07</v>
      </c>
      <c r="H4" s="6">
        <f t="shared" ref="H4:H9" si="0">SUM(C4:G4)</f>
        <v>209810375.66999999</v>
      </c>
      <c r="I4" s="6">
        <f>H4/B4</f>
        <v>5898.5205417486641</v>
      </c>
    </row>
    <row r="5" spans="1:9" x14ac:dyDescent="0.2">
      <c r="A5" s="1" t="s">
        <v>76</v>
      </c>
      <c r="B5" s="6">
        <v>24009</v>
      </c>
      <c r="C5" s="6">
        <v>31510298.760000002</v>
      </c>
      <c r="D5" s="6">
        <v>15160541.49</v>
      </c>
      <c r="E5" s="6">
        <v>14326037.029999999</v>
      </c>
      <c r="F5" s="6">
        <v>67944550.700000003</v>
      </c>
      <c r="G5" s="6">
        <v>25394096.329999998</v>
      </c>
      <c r="H5" s="6">
        <f t="shared" si="0"/>
        <v>154335524.31</v>
      </c>
      <c r="I5" s="6">
        <f t="shared" ref="I5:I10" si="1">H5/B5</f>
        <v>6428.2362576533797</v>
      </c>
    </row>
    <row r="6" spans="1:9" x14ac:dyDescent="0.2">
      <c r="A6" s="1" t="s">
        <v>77</v>
      </c>
      <c r="B6" s="6">
        <v>12224</v>
      </c>
      <c r="C6" s="6">
        <v>13655621.970000001</v>
      </c>
      <c r="D6" s="6">
        <v>9871837.25</v>
      </c>
      <c r="E6" s="6">
        <v>7865954.5499999998</v>
      </c>
      <c r="F6" s="6">
        <v>35523603.75</v>
      </c>
      <c r="G6" s="6">
        <v>20270286.109999999</v>
      </c>
      <c r="H6" s="6">
        <f t="shared" si="0"/>
        <v>87187303.629999995</v>
      </c>
      <c r="I6" s="6">
        <f t="shared" si="1"/>
        <v>7132.4692105693712</v>
      </c>
    </row>
    <row r="7" spans="1:9" x14ac:dyDescent="0.2">
      <c r="A7" s="1" t="s">
        <v>78</v>
      </c>
      <c r="B7" s="6">
        <v>13555</v>
      </c>
      <c r="C7" s="6">
        <v>17786874.57</v>
      </c>
      <c r="D7" s="6">
        <v>10768580.369999999</v>
      </c>
      <c r="E7" s="6">
        <v>8003778.0599999996</v>
      </c>
      <c r="F7" s="6">
        <v>39469907.740000002</v>
      </c>
      <c r="G7" s="6">
        <v>10825998.76</v>
      </c>
      <c r="H7" s="6">
        <f t="shared" si="0"/>
        <v>86855139.500000015</v>
      </c>
      <c r="I7" s="6">
        <f t="shared" si="1"/>
        <v>6407.608963482111</v>
      </c>
    </row>
    <row r="8" spans="1:9" x14ac:dyDescent="0.2">
      <c r="A8" s="1" t="s">
        <v>79</v>
      </c>
      <c r="B8" s="6">
        <v>6320</v>
      </c>
      <c r="C8" s="6">
        <v>10908696.34</v>
      </c>
      <c r="D8" s="6">
        <v>6268075.5899999999</v>
      </c>
      <c r="E8" s="6">
        <v>4364588.9400000004</v>
      </c>
      <c r="F8" s="6">
        <v>18835438.190000001</v>
      </c>
      <c r="G8" s="6">
        <v>7070071.75</v>
      </c>
      <c r="H8" s="6">
        <f t="shared" si="0"/>
        <v>47446870.810000002</v>
      </c>
      <c r="I8" s="6">
        <f t="shared" si="1"/>
        <v>7507.416267405064</v>
      </c>
    </row>
    <row r="9" spans="1:9" x14ac:dyDescent="0.2">
      <c r="A9" s="14" t="s">
        <v>80</v>
      </c>
      <c r="B9" s="6">
        <v>1638</v>
      </c>
      <c r="C9" s="6">
        <v>2776948.52</v>
      </c>
      <c r="D9" s="6">
        <v>1693870.46</v>
      </c>
      <c r="E9" s="6">
        <v>966744.18</v>
      </c>
      <c r="F9" s="6">
        <v>4752359.91</v>
      </c>
      <c r="G9" s="6">
        <v>791389.44</v>
      </c>
      <c r="H9" s="6">
        <f t="shared" si="0"/>
        <v>10981312.51</v>
      </c>
      <c r="I9" s="6">
        <f t="shared" si="1"/>
        <v>6704.0979914529917</v>
      </c>
    </row>
    <row r="10" spans="1:9" ht="13.5" thickBot="1" x14ac:dyDescent="0.25">
      <c r="A10" s="15" t="s">
        <v>171</v>
      </c>
      <c r="B10" s="8">
        <f t="shared" ref="B10:H10" si="2">SUM(B4:B9)</f>
        <v>93316</v>
      </c>
      <c r="C10" s="8">
        <f t="shared" si="2"/>
        <v>131731469.73</v>
      </c>
      <c r="D10" s="8">
        <f t="shared" si="2"/>
        <v>63013091.859999992</v>
      </c>
      <c r="E10" s="8">
        <f t="shared" si="2"/>
        <v>56721404.119999997</v>
      </c>
      <c r="F10" s="8">
        <f t="shared" si="2"/>
        <v>261738190.26000002</v>
      </c>
      <c r="G10" s="8">
        <f t="shared" si="2"/>
        <v>83412370.459999993</v>
      </c>
      <c r="H10" s="8">
        <f t="shared" si="2"/>
        <v>596616526.43000007</v>
      </c>
      <c r="I10" s="8">
        <f t="shared" si="1"/>
        <v>6393.507291675598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22945</v>
      </c>
      <c r="C13" s="6">
        <v>40822033.090000004</v>
      </c>
      <c r="D13" s="6">
        <v>18618782.829999998</v>
      </c>
      <c r="E13" s="6">
        <v>14966905.09</v>
      </c>
      <c r="F13" s="6">
        <v>70603039.939999998</v>
      </c>
      <c r="G13" s="6">
        <v>9620901.8200000003</v>
      </c>
      <c r="H13" s="6">
        <f>SUM(C13:G13)</f>
        <v>154631662.76999998</v>
      </c>
      <c r="I13" s="6">
        <f t="shared" ref="I13:I18" si="3">H13/B13</f>
        <v>6739.2313257790356</v>
      </c>
    </row>
    <row r="14" spans="1:9" x14ac:dyDescent="0.2">
      <c r="A14" s="1" t="s">
        <v>82</v>
      </c>
      <c r="B14" s="6">
        <v>10221</v>
      </c>
      <c r="C14" s="6">
        <v>13741312.16</v>
      </c>
      <c r="D14" s="6">
        <v>8536260.9900000002</v>
      </c>
      <c r="E14" s="6">
        <v>6169158.2199999997</v>
      </c>
      <c r="F14" s="6">
        <v>35118012.100000001</v>
      </c>
      <c r="G14" s="6">
        <v>5641887.6699999999</v>
      </c>
      <c r="H14" s="6">
        <f>SUM(C14:G14)</f>
        <v>69206631.140000001</v>
      </c>
      <c r="I14" s="6">
        <f t="shared" si="3"/>
        <v>6771.0234947656782</v>
      </c>
    </row>
    <row r="15" spans="1:9" x14ac:dyDescent="0.2">
      <c r="A15" s="1" t="s">
        <v>83</v>
      </c>
      <c r="B15" s="6">
        <v>4767</v>
      </c>
      <c r="C15" s="6">
        <v>8248986.21</v>
      </c>
      <c r="D15" s="6">
        <v>5561293.1200000001</v>
      </c>
      <c r="E15" s="6">
        <v>3493703.74</v>
      </c>
      <c r="F15" s="6">
        <v>17039424.690000001</v>
      </c>
      <c r="G15" s="6">
        <v>2768797.23</v>
      </c>
      <c r="H15" s="6">
        <f>SUM(C15:G15)</f>
        <v>37112204.990000002</v>
      </c>
      <c r="I15" s="6">
        <f t="shared" si="3"/>
        <v>7785.2328487518362</v>
      </c>
    </row>
    <row r="16" spans="1:9" x14ac:dyDescent="0.2">
      <c r="A16" s="1" t="s">
        <v>84</v>
      </c>
      <c r="B16" s="6">
        <v>5471</v>
      </c>
      <c r="C16" s="6">
        <v>10016791.779999999</v>
      </c>
      <c r="D16" s="6">
        <v>7724139.5199999996</v>
      </c>
      <c r="E16" s="6">
        <v>5043609.25</v>
      </c>
      <c r="F16" s="6">
        <v>23497237.98</v>
      </c>
      <c r="G16" s="6">
        <v>8149778.5099999998</v>
      </c>
      <c r="H16" s="6">
        <f>SUM(C16:G16)</f>
        <v>54431557.039999999</v>
      </c>
      <c r="I16" s="6">
        <f t="shared" si="3"/>
        <v>9949.1056552732589</v>
      </c>
    </row>
    <row r="17" spans="1:9" x14ac:dyDescent="0.2">
      <c r="A17" s="14" t="s">
        <v>85</v>
      </c>
      <c r="B17" s="6">
        <v>1316</v>
      </c>
      <c r="C17" s="6">
        <v>4113216.91</v>
      </c>
      <c r="D17" s="6">
        <v>2154477.0699999998</v>
      </c>
      <c r="E17" s="6">
        <v>1577880.57</v>
      </c>
      <c r="F17" s="6">
        <v>7655895.2800000003</v>
      </c>
      <c r="G17" s="6">
        <v>1502147.84</v>
      </c>
      <c r="H17" s="6">
        <f>SUM(C17:G17)</f>
        <v>17003617.670000002</v>
      </c>
      <c r="I17" s="6">
        <f t="shared" si="3"/>
        <v>12920.682120060792</v>
      </c>
    </row>
    <row r="18" spans="1:9" ht="13.5" thickBot="1" x14ac:dyDescent="0.25">
      <c r="A18" s="15" t="s">
        <v>172</v>
      </c>
      <c r="B18" s="8">
        <f>SUM(B13:B17)</f>
        <v>44720</v>
      </c>
      <c r="C18" s="8">
        <f t="shared" ref="C18:H18" si="4">SUM(C13:C17)</f>
        <v>76942340.149999991</v>
      </c>
      <c r="D18" s="8">
        <f t="shared" si="4"/>
        <v>42594953.530000001</v>
      </c>
      <c r="E18" s="8">
        <f t="shared" si="4"/>
        <v>31251256.869999997</v>
      </c>
      <c r="F18" s="8">
        <f t="shared" si="4"/>
        <v>153913609.98999998</v>
      </c>
      <c r="G18" s="8">
        <f t="shared" si="4"/>
        <v>27683513.069999997</v>
      </c>
      <c r="H18" s="8">
        <f t="shared" si="4"/>
        <v>332385673.61000001</v>
      </c>
      <c r="I18" s="8">
        <f t="shared" si="3"/>
        <v>7432.5955637298748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12246</v>
      </c>
      <c r="C21" s="6">
        <v>15055892.67</v>
      </c>
      <c r="D21" s="6">
        <v>13951422.810000001</v>
      </c>
      <c r="E21" s="6">
        <v>7632926.8899999997</v>
      </c>
      <c r="F21" s="6">
        <v>38331894.289999999</v>
      </c>
      <c r="G21" s="6">
        <v>6178884.46</v>
      </c>
      <c r="H21" s="6">
        <f>SUM(C21:G21)</f>
        <v>81151021.11999999</v>
      </c>
      <c r="I21" s="6">
        <f>H21/B21</f>
        <v>6626.7369851380035</v>
      </c>
    </row>
    <row r="22" spans="1:9" x14ac:dyDescent="0.2">
      <c r="A22" s="14" t="s">
        <v>87</v>
      </c>
      <c r="B22" s="6">
        <v>7215</v>
      </c>
      <c r="C22" s="6">
        <v>16872795.059999999</v>
      </c>
      <c r="D22" s="6">
        <v>12320034.9</v>
      </c>
      <c r="E22" s="6">
        <v>5929703.0999999996</v>
      </c>
      <c r="F22" s="6">
        <v>26247818.129999999</v>
      </c>
      <c r="G22" s="6">
        <v>6302558.8799999999</v>
      </c>
      <c r="H22" s="6">
        <f>SUM(C22:G22)</f>
        <v>67672910.069999993</v>
      </c>
      <c r="I22" s="6">
        <f>H22/B22</f>
        <v>9379.4747151767133</v>
      </c>
    </row>
    <row r="23" spans="1:9" ht="13.5" thickBot="1" x14ac:dyDescent="0.25">
      <c r="A23" s="15" t="s">
        <v>173</v>
      </c>
      <c r="B23" s="8">
        <f>SUM(B21:B22)</f>
        <v>19461</v>
      </c>
      <c r="C23" s="8">
        <f t="shared" ref="C23:H23" si="5">SUM(C21:C22)</f>
        <v>31928687.729999997</v>
      </c>
      <c r="D23" s="8">
        <f t="shared" si="5"/>
        <v>26271457.710000001</v>
      </c>
      <c r="E23" s="8">
        <f t="shared" si="5"/>
        <v>13562629.989999998</v>
      </c>
      <c r="F23" s="8">
        <f t="shared" si="5"/>
        <v>64579712.420000002</v>
      </c>
      <c r="G23" s="8">
        <f t="shared" si="5"/>
        <v>12481443.34</v>
      </c>
      <c r="H23" s="8">
        <f t="shared" si="5"/>
        <v>148823931.19</v>
      </c>
      <c r="I23" s="8">
        <f>H23/B23</f>
        <v>7647.2910533888289</v>
      </c>
    </row>
    <row r="24" spans="1:9" ht="13.5" thickTop="1" x14ac:dyDescent="0.2">
      <c r="A24" s="177"/>
      <c r="B24" s="178"/>
      <c r="C24" s="178"/>
      <c r="D24" s="178"/>
      <c r="E24" s="178"/>
      <c r="F24" s="178"/>
      <c r="G24" s="178"/>
      <c r="H24" s="178"/>
      <c r="I24" s="6"/>
    </row>
    <row r="25" spans="1:9" ht="13.5" thickBot="1" x14ac:dyDescent="0.25">
      <c r="A25" s="15" t="s">
        <v>174</v>
      </c>
      <c r="B25" s="8">
        <f>B23+B18+B10</f>
        <v>157497</v>
      </c>
      <c r="C25" s="8">
        <f t="shared" ref="C25:H25" si="6">C23+C18+C10</f>
        <v>240602497.61000001</v>
      </c>
      <c r="D25" s="8">
        <f t="shared" si="6"/>
        <v>131879503.09999999</v>
      </c>
      <c r="E25" s="8">
        <f t="shared" si="6"/>
        <v>101535290.97999999</v>
      </c>
      <c r="F25" s="8">
        <f t="shared" si="6"/>
        <v>480231512.66999996</v>
      </c>
      <c r="G25" s="8">
        <f t="shared" si="6"/>
        <v>123577326.86999999</v>
      </c>
      <c r="H25" s="8">
        <f t="shared" si="6"/>
        <v>1077826131.23</v>
      </c>
      <c r="I25" s="8">
        <f>H25/B25</f>
        <v>6843.4708675720813</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309</v>
      </c>
      <c r="B29" s="6"/>
      <c r="C29" s="1"/>
      <c r="D29" s="1"/>
      <c r="E29" s="1"/>
      <c r="F29" s="1"/>
      <c r="G29" s="1"/>
      <c r="H29" s="1"/>
      <c r="I29" s="6"/>
    </row>
    <row r="30" spans="1:9" ht="33.75" x14ac:dyDescent="0.2">
      <c r="A30" s="167" t="s">
        <v>245</v>
      </c>
      <c r="B30" s="141" t="s">
        <v>235</v>
      </c>
      <c r="C30" s="141" t="s">
        <v>300</v>
      </c>
      <c r="D30" s="141" t="s">
        <v>301</v>
      </c>
      <c r="E30" s="141" t="s">
        <v>302</v>
      </c>
      <c r="F30" s="141" t="s">
        <v>303</v>
      </c>
      <c r="G30" s="141" t="s">
        <v>304</v>
      </c>
      <c r="H30" s="160" t="s">
        <v>305</v>
      </c>
      <c r="I30" s="6"/>
    </row>
    <row r="31" spans="1:9" x14ac:dyDescent="0.2">
      <c r="A31" s="20"/>
      <c r="B31" s="16"/>
      <c r="C31" s="16"/>
      <c r="D31" s="16"/>
      <c r="E31" s="16"/>
      <c r="F31" s="16"/>
      <c r="G31" s="16"/>
      <c r="H31" s="17"/>
      <c r="I31" s="6"/>
    </row>
    <row r="32" spans="1:9" x14ac:dyDescent="0.2">
      <c r="A32" s="1" t="s">
        <v>102</v>
      </c>
      <c r="B32" s="6">
        <v>35570</v>
      </c>
      <c r="C32" s="6">
        <f t="shared" ref="C32:H32" si="7">C4/$B$32</f>
        <v>1548.8622313747539</v>
      </c>
      <c r="D32" s="6">
        <f t="shared" si="7"/>
        <v>541.19164183300529</v>
      </c>
      <c r="E32" s="6">
        <f t="shared" si="7"/>
        <v>595.84766263705365</v>
      </c>
      <c r="F32" s="6">
        <f t="shared" si="7"/>
        <v>2676.7593469215631</v>
      </c>
      <c r="G32" s="6">
        <f t="shared" si="7"/>
        <v>535.85965898228847</v>
      </c>
      <c r="H32" s="6">
        <f t="shared" si="7"/>
        <v>5898.5205417486641</v>
      </c>
      <c r="I32" s="6"/>
    </row>
    <row r="33" spans="1:9" x14ac:dyDescent="0.2">
      <c r="A33" s="1" t="s">
        <v>76</v>
      </c>
      <c r="B33" s="6">
        <v>24009</v>
      </c>
      <c r="C33" s="6">
        <f t="shared" ref="C33:H33" si="8">C5/$B$33</f>
        <v>1312.4369511433213</v>
      </c>
      <c r="D33" s="6">
        <f t="shared" si="8"/>
        <v>631.45243408721728</v>
      </c>
      <c r="E33" s="6">
        <f t="shared" si="8"/>
        <v>596.69444916489647</v>
      </c>
      <c r="F33" s="6">
        <f t="shared" si="8"/>
        <v>2829.9617101920117</v>
      </c>
      <c r="G33" s="6">
        <f t="shared" si="8"/>
        <v>1057.6907130659336</v>
      </c>
      <c r="H33" s="6">
        <f t="shared" si="8"/>
        <v>6428.2362576533797</v>
      </c>
      <c r="I33" s="6"/>
    </row>
    <row r="34" spans="1:9" x14ac:dyDescent="0.2">
      <c r="A34" s="1" t="s">
        <v>77</v>
      </c>
      <c r="B34" s="6">
        <v>12224</v>
      </c>
      <c r="C34" s="6">
        <f t="shared" ref="C34:H34" si="9">C6/$B$34</f>
        <v>1117.1156716295811</v>
      </c>
      <c r="D34" s="6">
        <f t="shared" si="9"/>
        <v>807.57830906413608</v>
      </c>
      <c r="E34" s="6">
        <f t="shared" si="9"/>
        <v>643.48450179973815</v>
      </c>
      <c r="F34" s="6">
        <f t="shared" si="9"/>
        <v>2906.0539716950261</v>
      </c>
      <c r="G34" s="6">
        <f t="shared" si="9"/>
        <v>1658.23675638089</v>
      </c>
      <c r="H34" s="6">
        <f t="shared" si="9"/>
        <v>7132.4692105693712</v>
      </c>
      <c r="I34" s="6"/>
    </row>
    <row r="35" spans="1:9" x14ac:dyDescent="0.2">
      <c r="A35" s="1" t="s">
        <v>78</v>
      </c>
      <c r="B35" s="6">
        <v>13555</v>
      </c>
      <c r="C35" s="6">
        <f t="shared" ref="C35:H35" si="10">C7/$B$35</f>
        <v>1312.2002633714496</v>
      </c>
      <c r="D35" s="6">
        <f t="shared" si="10"/>
        <v>794.43602877167086</v>
      </c>
      <c r="E35" s="6">
        <f t="shared" si="10"/>
        <v>590.46684323128</v>
      </c>
      <c r="F35" s="6">
        <f t="shared" si="10"/>
        <v>2911.8338428624124</v>
      </c>
      <c r="G35" s="6">
        <f t="shared" si="10"/>
        <v>798.67198524529692</v>
      </c>
      <c r="H35" s="6">
        <f t="shared" si="10"/>
        <v>6407.608963482111</v>
      </c>
      <c r="I35" s="6"/>
    </row>
    <row r="36" spans="1:9" x14ac:dyDescent="0.2">
      <c r="A36" s="1" t="s">
        <v>79</v>
      </c>
      <c r="B36" s="6">
        <v>6320</v>
      </c>
      <c r="C36" s="6">
        <f t="shared" ref="C36:H36" si="11">C8/$B$36</f>
        <v>1726.0595474683544</v>
      </c>
      <c r="D36" s="6">
        <f t="shared" si="11"/>
        <v>991.78411234177213</v>
      </c>
      <c r="E36" s="6">
        <f t="shared" si="11"/>
        <v>690.59951582278484</v>
      </c>
      <c r="F36" s="6">
        <f t="shared" si="11"/>
        <v>2980.2908528481016</v>
      </c>
      <c r="G36" s="6">
        <f t="shared" si="11"/>
        <v>1118.6822389240506</v>
      </c>
      <c r="H36" s="6">
        <f t="shared" si="11"/>
        <v>7507.416267405064</v>
      </c>
      <c r="I36" s="6"/>
    </row>
    <row r="37" spans="1:9" x14ac:dyDescent="0.2">
      <c r="A37" s="14" t="s">
        <v>80</v>
      </c>
      <c r="B37" s="6">
        <v>1638</v>
      </c>
      <c r="C37" s="6">
        <f t="shared" ref="C37:H37" si="12">C9/$B$37</f>
        <v>1695.3287667887669</v>
      </c>
      <c r="D37" s="6">
        <f t="shared" si="12"/>
        <v>1034.10894993895</v>
      </c>
      <c r="E37" s="6">
        <f t="shared" si="12"/>
        <v>590.19791208791207</v>
      </c>
      <c r="F37" s="6">
        <f t="shared" si="12"/>
        <v>2901.3186263736266</v>
      </c>
      <c r="G37" s="6">
        <f t="shared" si="12"/>
        <v>483.14373626373623</v>
      </c>
      <c r="H37" s="6">
        <f t="shared" si="12"/>
        <v>6704.0979914529917</v>
      </c>
      <c r="I37" s="6"/>
    </row>
    <row r="38" spans="1:9" ht="13.5" thickBot="1" x14ac:dyDescent="0.25">
      <c r="A38" s="15" t="s">
        <v>171</v>
      </c>
      <c r="B38" s="8">
        <f>SUM(B32:B37)</f>
        <v>93316</v>
      </c>
      <c r="C38" s="8">
        <f t="shared" ref="C38:H38" si="13">C10/$B$38</f>
        <v>1411.6707716790261</v>
      </c>
      <c r="D38" s="8">
        <f t="shared" si="13"/>
        <v>675.2656764113334</v>
      </c>
      <c r="E38" s="8">
        <f t="shared" si="13"/>
        <v>607.84221483989882</v>
      </c>
      <c r="F38" s="8">
        <f t="shared" si="13"/>
        <v>2804.8586551073772</v>
      </c>
      <c r="G38" s="8">
        <f t="shared" si="13"/>
        <v>893.86997363796127</v>
      </c>
      <c r="H38" s="8">
        <f t="shared" si="13"/>
        <v>6393.507291675598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v>22945</v>
      </c>
      <c r="C41" s="6">
        <f t="shared" ref="C41:H41" si="14">C13/$B$41</f>
        <v>1779.1254342994118</v>
      </c>
      <c r="D41" s="6">
        <f t="shared" si="14"/>
        <v>811.4527273915885</v>
      </c>
      <c r="E41" s="6">
        <f t="shared" si="14"/>
        <v>652.29483939856175</v>
      </c>
      <c r="F41" s="6">
        <f t="shared" si="14"/>
        <v>3077.0555650468509</v>
      </c>
      <c r="G41" s="6">
        <f t="shared" si="14"/>
        <v>419.3027596426237</v>
      </c>
      <c r="H41" s="6">
        <f t="shared" si="14"/>
        <v>6739.2313257790356</v>
      </c>
      <c r="I41" s="6"/>
    </row>
    <row r="42" spans="1:9" x14ac:dyDescent="0.2">
      <c r="A42" s="1" t="s">
        <v>82</v>
      </c>
      <c r="B42" s="6">
        <v>10221</v>
      </c>
      <c r="C42" s="6">
        <f t="shared" ref="C42:H42" si="15">C14/$B$42</f>
        <v>1344.4195440759222</v>
      </c>
      <c r="D42" s="6">
        <f t="shared" si="15"/>
        <v>835.16886703845023</v>
      </c>
      <c r="E42" s="6">
        <f t="shared" si="15"/>
        <v>603.57677526660791</v>
      </c>
      <c r="F42" s="6">
        <f t="shared" si="15"/>
        <v>3435.8685158008025</v>
      </c>
      <c r="G42" s="6">
        <f t="shared" si="15"/>
        <v>551.98979258389591</v>
      </c>
      <c r="H42" s="6">
        <f t="shared" si="15"/>
        <v>6771.0234947656782</v>
      </c>
      <c r="I42" s="6"/>
    </row>
    <row r="43" spans="1:9" x14ac:dyDescent="0.2">
      <c r="A43" s="1" t="s">
        <v>83</v>
      </c>
      <c r="B43" s="6">
        <v>4767</v>
      </c>
      <c r="C43" s="6">
        <f t="shared" ref="C43:H43" si="16">C15/$B$43</f>
        <v>1730.4355380742604</v>
      </c>
      <c r="D43" s="6">
        <f t="shared" si="16"/>
        <v>1166.6232683029159</v>
      </c>
      <c r="E43" s="6">
        <f t="shared" si="16"/>
        <v>732.89358925949239</v>
      </c>
      <c r="F43" s="6">
        <f t="shared" si="16"/>
        <v>3574.4545185651355</v>
      </c>
      <c r="G43" s="6">
        <f t="shared" si="16"/>
        <v>580.82593455003143</v>
      </c>
      <c r="H43" s="6">
        <f t="shared" si="16"/>
        <v>7785.2328487518362</v>
      </c>
      <c r="I43" s="6"/>
    </row>
    <row r="44" spans="1:9" x14ac:dyDescent="0.2">
      <c r="A44" s="1" t="s">
        <v>84</v>
      </c>
      <c r="B44" s="6">
        <v>5471</v>
      </c>
      <c r="C44" s="6">
        <f t="shared" ref="C44:H44" si="17">C16/$B$44</f>
        <v>1830.888645585816</v>
      </c>
      <c r="D44" s="6">
        <f t="shared" si="17"/>
        <v>1411.8332151343448</v>
      </c>
      <c r="E44" s="6">
        <f t="shared" si="17"/>
        <v>921.88068908791809</v>
      </c>
      <c r="F44" s="6">
        <f t="shared" si="17"/>
        <v>4294.870769511972</v>
      </c>
      <c r="G44" s="6">
        <f t="shared" si="17"/>
        <v>1489.6323359532078</v>
      </c>
      <c r="H44" s="6">
        <f t="shared" si="17"/>
        <v>9949.1056552732589</v>
      </c>
      <c r="I44" s="6"/>
    </row>
    <row r="45" spans="1:9" x14ac:dyDescent="0.2">
      <c r="A45" s="14" t="s">
        <v>85</v>
      </c>
      <c r="B45" s="6">
        <v>1316</v>
      </c>
      <c r="C45" s="6">
        <f t="shared" ref="C45:H45" si="18">C17/$B$45</f>
        <v>3125.54476443769</v>
      </c>
      <c r="D45" s="6">
        <f t="shared" si="18"/>
        <v>1637.140630699088</v>
      </c>
      <c r="E45" s="6">
        <f t="shared" si="18"/>
        <v>1198.9973936170213</v>
      </c>
      <c r="F45" s="6">
        <f t="shared" si="18"/>
        <v>5817.5496048632222</v>
      </c>
      <c r="G45" s="6">
        <f t="shared" si="18"/>
        <v>1141.4497264437691</v>
      </c>
      <c r="H45" s="6">
        <f t="shared" si="18"/>
        <v>12920.682120060792</v>
      </c>
      <c r="I45" s="6"/>
    </row>
    <row r="46" spans="1:9" ht="13.5" thickBot="1" x14ac:dyDescent="0.25">
      <c r="A46" s="15" t="s">
        <v>172</v>
      </c>
      <c r="B46" s="8">
        <f>SUM(B41:B45)</f>
        <v>44720</v>
      </c>
      <c r="C46" s="8">
        <f t="shared" ref="C46:H46" si="19">C18/$B$46</f>
        <v>1720.5353343023253</v>
      </c>
      <c r="D46" s="8">
        <f t="shared" si="19"/>
        <v>952.48107177996428</v>
      </c>
      <c r="E46" s="8">
        <f t="shared" si="19"/>
        <v>698.82059190518783</v>
      </c>
      <c r="F46" s="8">
        <f t="shared" si="19"/>
        <v>3441.7175758050084</v>
      </c>
      <c r="G46" s="8">
        <f t="shared" si="19"/>
        <v>619.04098993738808</v>
      </c>
      <c r="H46" s="8">
        <f t="shared" si="19"/>
        <v>7432.5955637298748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v>12246</v>
      </c>
      <c r="C49" s="6">
        <f t="shared" ref="C49:H49" si="20">C21/$B$49</f>
        <v>1229.4539171974523</v>
      </c>
      <c r="D49" s="6">
        <f t="shared" si="20"/>
        <v>1139.2636624203822</v>
      </c>
      <c r="E49" s="6">
        <f t="shared" si="20"/>
        <v>623.29959905275189</v>
      </c>
      <c r="F49" s="6">
        <f t="shared" si="20"/>
        <v>3130.156319614568</v>
      </c>
      <c r="G49" s="6">
        <f t="shared" si="20"/>
        <v>504.56348685284991</v>
      </c>
      <c r="H49" s="6">
        <f t="shared" si="20"/>
        <v>6626.7369851380035</v>
      </c>
      <c r="I49" s="6"/>
    </row>
    <row r="50" spans="1:9" x14ac:dyDescent="0.2">
      <c r="A50" s="14" t="s">
        <v>87</v>
      </c>
      <c r="B50" s="6">
        <v>7215</v>
      </c>
      <c r="C50" s="6">
        <f t="shared" ref="C50:H50" si="21">C22/$B$50</f>
        <v>2338.5717338877339</v>
      </c>
      <c r="D50" s="6">
        <f t="shared" si="21"/>
        <v>1707.5585446985447</v>
      </c>
      <c r="E50" s="6">
        <f t="shared" si="21"/>
        <v>821.85767151767152</v>
      </c>
      <c r="F50" s="6">
        <f t="shared" si="21"/>
        <v>3637.9512307692307</v>
      </c>
      <c r="G50" s="6">
        <f t="shared" si="21"/>
        <v>873.53553430353429</v>
      </c>
      <c r="H50" s="6">
        <f t="shared" si="21"/>
        <v>9379.4747151767133</v>
      </c>
      <c r="I50" s="6"/>
    </row>
    <row r="51" spans="1:9" ht="13.5" thickBot="1" x14ac:dyDescent="0.25">
      <c r="A51" s="15" t="s">
        <v>173</v>
      </c>
      <c r="B51" s="8">
        <f>SUM(B49:B50)</f>
        <v>19461</v>
      </c>
      <c r="C51" s="8">
        <f t="shared" ref="C51:H51" si="22">C23/$B$51</f>
        <v>1640.6499013411437</v>
      </c>
      <c r="D51" s="8">
        <f t="shared" si="22"/>
        <v>1349.9541498381379</v>
      </c>
      <c r="E51" s="8">
        <f t="shared" si="22"/>
        <v>696.91331329325305</v>
      </c>
      <c r="F51" s="8">
        <f t="shared" si="22"/>
        <v>3318.4169580186012</v>
      </c>
      <c r="G51" s="8">
        <f t="shared" si="22"/>
        <v>641.35673089769284</v>
      </c>
      <c r="H51" s="8">
        <f t="shared" si="22"/>
        <v>7647.2910533888289</v>
      </c>
      <c r="I51" s="6"/>
    </row>
    <row r="52" spans="1:9" ht="14.25" thickTop="1" thickBot="1" x14ac:dyDescent="0.25">
      <c r="A52" s="41"/>
      <c r="B52" s="42"/>
      <c r="C52" s="42"/>
      <c r="D52" s="42"/>
      <c r="E52" s="42"/>
      <c r="F52" s="42"/>
      <c r="G52" s="42"/>
      <c r="H52" s="42"/>
      <c r="I52" s="6"/>
    </row>
    <row r="53" spans="1:9" ht="13.5" thickBot="1" x14ac:dyDescent="0.25">
      <c r="A53" s="26" t="s">
        <v>174</v>
      </c>
      <c r="B53" s="27">
        <f>B51+B46+B38</f>
        <v>157497</v>
      </c>
      <c r="C53" s="27">
        <f t="shared" ref="C53:H53" si="23">C25/$B$53</f>
        <v>1527.6640038222952</v>
      </c>
      <c r="D53" s="27">
        <f t="shared" si="23"/>
        <v>837.34612786275295</v>
      </c>
      <c r="E53" s="27">
        <f t="shared" si="23"/>
        <v>644.68079379289759</v>
      </c>
      <c r="F53" s="27">
        <f t="shared" si="23"/>
        <v>3049.1470483247299</v>
      </c>
      <c r="G53" s="27">
        <f t="shared" si="23"/>
        <v>784.63289376940509</v>
      </c>
      <c r="H53" s="27">
        <f t="shared" si="23"/>
        <v>6843.4708675720813</v>
      </c>
      <c r="I53" s="6"/>
    </row>
    <row r="54" spans="1:9" ht="13.5" thickTop="1" x14ac:dyDescent="0.2">
      <c r="A54" s="1"/>
      <c r="B54" s="6"/>
      <c r="C54" s="6"/>
      <c r="D54" s="6"/>
      <c r="E54" s="6"/>
      <c r="F54" s="6"/>
      <c r="G54" s="6"/>
      <c r="H54" s="6"/>
      <c r="I54" s="6"/>
    </row>
    <row r="55" spans="1:9" x14ac:dyDescent="0.2">
      <c r="A55" s="1"/>
      <c r="B55" s="6"/>
      <c r="C55" s="6"/>
      <c r="D55" s="6"/>
      <c r="E55" s="6"/>
      <c r="F55" s="6"/>
      <c r="G55" s="6"/>
      <c r="H55" s="6"/>
      <c r="I55" s="6"/>
    </row>
    <row r="56" spans="1:9" x14ac:dyDescent="0.2">
      <c r="A56" s="36" t="s">
        <v>200</v>
      </c>
      <c r="B56" s="1"/>
      <c r="C56" s="1"/>
      <c r="D56" s="1"/>
      <c r="E56" s="1"/>
      <c r="F56" s="1"/>
      <c r="G56" s="1"/>
      <c r="H56" s="1"/>
      <c r="I56" s="6"/>
    </row>
    <row r="57" spans="1:9" x14ac:dyDescent="0.2">
      <c r="A57" s="36" t="s">
        <v>308</v>
      </c>
      <c r="B57" s="1"/>
      <c r="C57" s="1"/>
      <c r="D57" s="1"/>
      <c r="E57" s="1"/>
      <c r="F57" s="1"/>
      <c r="G57" s="1"/>
      <c r="H57" s="1"/>
      <c r="I57" s="6"/>
    </row>
    <row r="58" spans="1:9" ht="33.75" x14ac:dyDescent="0.2">
      <c r="A58" s="167" t="s">
        <v>245</v>
      </c>
      <c r="B58" s="168"/>
      <c r="C58" s="141" t="s">
        <v>300</v>
      </c>
      <c r="D58" s="141" t="s">
        <v>301</v>
      </c>
      <c r="E58" s="141" t="s">
        <v>302</v>
      </c>
      <c r="F58" s="141" t="s">
        <v>303</v>
      </c>
      <c r="G58" s="141" t="s">
        <v>304</v>
      </c>
      <c r="H58" s="17"/>
      <c r="I58" s="6"/>
    </row>
    <row r="59" spans="1:9" x14ac:dyDescent="0.2">
      <c r="A59" s="1" t="s">
        <v>102</v>
      </c>
      <c r="B59" s="1"/>
      <c r="C59" s="9">
        <f>C4/H4</f>
        <v>0.26258486690216415</v>
      </c>
      <c r="D59" s="9">
        <f t="shared" ref="D59:D64" si="24">D32/H32</f>
        <v>9.1750403851702897E-2</v>
      </c>
      <c r="E59" s="9">
        <f t="shared" ref="E59:E64" si="25">E32/H32</f>
        <v>0.10101645970709967</v>
      </c>
      <c r="F59" s="9">
        <f t="shared" ref="F59:F64" si="26">F32/H32</f>
        <v>0.45380181826543509</v>
      </c>
      <c r="G59" s="9">
        <f t="shared" ref="G59:G64" si="27">G32/H32</f>
        <v>9.0846451273598264E-2</v>
      </c>
      <c r="H59" s="28">
        <f>SUM(C59:G59)</f>
        <v>1</v>
      </c>
      <c r="I59" s="6"/>
    </row>
    <row r="60" spans="1:9" x14ac:dyDescent="0.2">
      <c r="A60" s="1" t="s">
        <v>76</v>
      </c>
      <c r="B60" s="1"/>
      <c r="C60" s="9">
        <f t="shared" ref="C60:C65" si="28">C33/H33</f>
        <v>0.20416750389047225</v>
      </c>
      <c r="D60" s="9">
        <f t="shared" si="24"/>
        <v>9.8231055732498587E-2</v>
      </c>
      <c r="E60" s="9">
        <f t="shared" si="25"/>
        <v>9.2823976165231845E-2</v>
      </c>
      <c r="F60" s="9">
        <f t="shared" si="26"/>
        <v>0.44023921908948099</v>
      </c>
      <c r="G60" s="9">
        <f t="shared" si="27"/>
        <v>0.16453824512231638</v>
      </c>
      <c r="H60" s="28">
        <f t="shared" ref="H60:H80" si="29">SUM(C60:G60)</f>
        <v>1</v>
      </c>
      <c r="I60" s="6"/>
    </row>
    <row r="61" spans="1:9" x14ac:dyDescent="0.2">
      <c r="A61" s="1" t="s">
        <v>77</v>
      </c>
      <c r="B61" s="1"/>
      <c r="C61" s="9">
        <f t="shared" si="28"/>
        <v>0.15662397392114419</v>
      </c>
      <c r="D61" s="9">
        <f t="shared" si="24"/>
        <v>0.11322562849166069</v>
      </c>
      <c r="E61" s="9">
        <f t="shared" si="25"/>
        <v>9.0219036746233647E-2</v>
      </c>
      <c r="F61" s="9">
        <f t="shared" si="26"/>
        <v>0.40744010046179246</v>
      </c>
      <c r="G61" s="9">
        <f t="shared" si="27"/>
        <v>0.23249126037916906</v>
      </c>
      <c r="H61" s="28">
        <f t="shared" si="29"/>
        <v>1</v>
      </c>
      <c r="I61" s="6"/>
    </row>
    <row r="62" spans="1:9" x14ac:dyDescent="0.2">
      <c r="A62" s="1" t="s">
        <v>78</v>
      </c>
      <c r="B62" s="1"/>
      <c r="C62" s="9">
        <f t="shared" si="28"/>
        <v>0.20478781880259367</v>
      </c>
      <c r="D62" s="9">
        <f t="shared" si="24"/>
        <v>0.12398322577099766</v>
      </c>
      <c r="E62" s="9">
        <f t="shared" si="25"/>
        <v>9.2150886016365202E-2</v>
      </c>
      <c r="F62" s="9">
        <f t="shared" si="26"/>
        <v>0.45443376140107394</v>
      </c>
      <c r="G62" s="9">
        <f t="shared" si="27"/>
        <v>0.12464430800896932</v>
      </c>
      <c r="H62" s="28">
        <f t="shared" si="29"/>
        <v>0.99999999999999978</v>
      </c>
      <c r="I62" s="6"/>
    </row>
    <row r="63" spans="1:9" x14ac:dyDescent="0.2">
      <c r="A63" s="1" t="s">
        <v>79</v>
      </c>
      <c r="B63" s="1"/>
      <c r="C63" s="9">
        <f t="shared" si="28"/>
        <v>0.22991392590848919</v>
      </c>
      <c r="D63" s="9">
        <f t="shared" si="24"/>
        <v>0.13210724928732132</v>
      </c>
      <c r="E63" s="9">
        <f t="shared" si="25"/>
        <v>9.1988973466298862E-2</v>
      </c>
      <c r="F63" s="9">
        <f t="shared" si="26"/>
        <v>0.39697956616414426</v>
      </c>
      <c r="G63" s="9">
        <f t="shared" si="27"/>
        <v>0.14901028517374629</v>
      </c>
      <c r="H63" s="28">
        <f t="shared" si="29"/>
        <v>0.99999999999999989</v>
      </c>
      <c r="I63" s="6"/>
    </row>
    <row r="64" spans="1:9" x14ac:dyDescent="0.2">
      <c r="A64" s="14" t="s">
        <v>80</v>
      </c>
      <c r="B64" s="14"/>
      <c r="C64" s="9">
        <f t="shared" si="28"/>
        <v>0.25287947296565921</v>
      </c>
      <c r="D64" s="9">
        <f t="shared" si="24"/>
        <v>0.1542502736769851</v>
      </c>
      <c r="E64" s="9">
        <f t="shared" si="25"/>
        <v>8.8035394596014463E-2</v>
      </c>
      <c r="F64" s="9">
        <f t="shared" si="26"/>
        <v>0.43276793240082373</v>
      </c>
      <c r="G64" s="9">
        <f t="shared" si="27"/>
        <v>7.2066926360517536E-2</v>
      </c>
      <c r="H64" s="28">
        <f t="shared" si="29"/>
        <v>1</v>
      </c>
      <c r="I64" s="6"/>
    </row>
    <row r="65" spans="1:9" ht="13.5" thickBot="1" x14ac:dyDescent="0.25">
      <c r="A65" s="15" t="s">
        <v>171</v>
      </c>
      <c r="B65" s="15"/>
      <c r="C65" s="11">
        <f t="shared" si="28"/>
        <v>0.2207975540306388</v>
      </c>
      <c r="D65" s="11">
        <f>D38/H38</f>
        <v>0.10561740928809688</v>
      </c>
      <c r="E65" s="11">
        <f>E38/H38</f>
        <v>9.5071795042967214E-2</v>
      </c>
      <c r="F65" s="11">
        <f>F38/H38</f>
        <v>0.43870422401165127</v>
      </c>
      <c r="G65" s="11">
        <f>G38/H38</f>
        <v>0.13980901762664566</v>
      </c>
      <c r="H65" s="28">
        <f t="shared" si="29"/>
        <v>0.99999999999999978</v>
      </c>
      <c r="I65" s="6"/>
    </row>
    <row r="66" spans="1:9" ht="13.5" thickTop="1" x14ac:dyDescent="0.2">
      <c r="A66" s="1"/>
      <c r="B66" s="1"/>
      <c r="C66" s="6"/>
      <c r="D66" s="6"/>
      <c r="E66" s="6"/>
      <c r="F66" s="6"/>
      <c r="G66" s="6"/>
      <c r="H66" s="28"/>
      <c r="I66" s="6"/>
    </row>
    <row r="67" spans="1:9" x14ac:dyDescent="0.2">
      <c r="A67" s="1"/>
      <c r="B67" s="1"/>
      <c r="C67" s="6"/>
      <c r="D67" s="6"/>
      <c r="E67" s="6"/>
      <c r="F67" s="6"/>
      <c r="G67" s="6"/>
      <c r="H67" s="28"/>
      <c r="I67" s="6"/>
    </row>
    <row r="68" spans="1:9" x14ac:dyDescent="0.2">
      <c r="A68" s="1" t="s">
        <v>81</v>
      </c>
      <c r="B68" s="1"/>
      <c r="C68" s="9">
        <f t="shared" ref="C68:C73" si="30">C41/H41</f>
        <v>0.26399530573967206</v>
      </c>
      <c r="D68" s="9">
        <f t="shared" ref="D68:D73" si="31">D41/H41</f>
        <v>0.12040731177866</v>
      </c>
      <c r="E68" s="9">
        <f t="shared" ref="E68:E73" si="32">E41/H41</f>
        <v>9.6790688413289971E-2</v>
      </c>
      <c r="F68" s="9">
        <f t="shared" ref="F68:F73" si="33">F41/H41</f>
        <v>0.45658850635924003</v>
      </c>
      <c r="G68" s="9">
        <f t="shared" ref="G68:G73" si="34">G41/H41</f>
        <v>6.2218187709138104E-2</v>
      </c>
      <c r="H68" s="28">
        <f t="shared" si="29"/>
        <v>1.0000000000000002</v>
      </c>
      <c r="I68" s="6"/>
    </row>
    <row r="69" spans="1:9" x14ac:dyDescent="0.2">
      <c r="A69" s="1" t="s">
        <v>82</v>
      </c>
      <c r="B69" s="1"/>
      <c r="C69" s="9">
        <f t="shared" si="30"/>
        <v>0.19855484848268834</v>
      </c>
      <c r="D69" s="9">
        <f t="shared" si="31"/>
        <v>0.12334455310693801</v>
      </c>
      <c r="E69" s="9">
        <f t="shared" si="32"/>
        <v>8.9141143245655752E-2</v>
      </c>
      <c r="F69" s="9">
        <f t="shared" si="33"/>
        <v>0.50743709846183394</v>
      </c>
      <c r="G69" s="9">
        <f t="shared" si="34"/>
        <v>8.1522356702884005E-2</v>
      </c>
      <c r="H69" s="28">
        <f t="shared" si="29"/>
        <v>1</v>
      </c>
      <c r="I69" s="6"/>
    </row>
    <row r="70" spans="1:9" x14ac:dyDescent="0.2">
      <c r="A70" s="1" t="s">
        <v>83</v>
      </c>
      <c r="B70" s="1"/>
      <c r="C70" s="9">
        <f t="shared" si="30"/>
        <v>0.22227151990087127</v>
      </c>
      <c r="D70" s="9">
        <f t="shared" si="31"/>
        <v>0.1498507868637422</v>
      </c>
      <c r="E70" s="9">
        <f t="shared" si="32"/>
        <v>9.4138942726291502E-2</v>
      </c>
      <c r="F70" s="9">
        <f t="shared" si="33"/>
        <v>0.45913264098943529</v>
      </c>
      <c r="G70" s="9">
        <f t="shared" si="34"/>
        <v>7.4606109519659652E-2</v>
      </c>
      <c r="H70" s="28">
        <f t="shared" si="29"/>
        <v>0.99999999999999989</v>
      </c>
      <c r="I70" s="6"/>
    </row>
    <row r="71" spans="1:9" x14ac:dyDescent="0.2">
      <c r="A71" s="1" t="s">
        <v>84</v>
      </c>
      <c r="B71" s="1"/>
      <c r="C71" s="9">
        <f t="shared" si="30"/>
        <v>0.18402545002780246</v>
      </c>
      <c r="D71" s="9">
        <f t="shared" si="31"/>
        <v>0.14190554046292997</v>
      </c>
      <c r="E71" s="9">
        <f t="shared" si="32"/>
        <v>9.2659654146832762E-2</v>
      </c>
      <c r="F71" s="9">
        <f t="shared" si="33"/>
        <v>0.43168410491606246</v>
      </c>
      <c r="G71" s="9">
        <f t="shared" si="34"/>
        <v>0.1497252504463723</v>
      </c>
      <c r="H71" s="28">
        <f t="shared" si="29"/>
        <v>0.99999999999999989</v>
      </c>
      <c r="I71" s="6"/>
    </row>
    <row r="72" spans="1:9" x14ac:dyDescent="0.2">
      <c r="A72" s="14" t="s">
        <v>85</v>
      </c>
      <c r="B72" s="1"/>
      <c r="C72" s="9">
        <f t="shared" si="30"/>
        <v>0.24190245804321237</v>
      </c>
      <c r="D72" s="9">
        <f t="shared" si="31"/>
        <v>0.12670698152671411</v>
      </c>
      <c r="E72" s="9">
        <f t="shared" si="32"/>
        <v>9.2796756585741311E-2</v>
      </c>
      <c r="F72" s="9">
        <f t="shared" si="33"/>
        <v>0.45025096591694885</v>
      </c>
      <c r="G72" s="9">
        <f t="shared" si="34"/>
        <v>8.8342837927383247E-2</v>
      </c>
      <c r="H72" s="28">
        <f t="shared" si="29"/>
        <v>0.99999999999999989</v>
      </c>
      <c r="I72" s="6"/>
    </row>
    <row r="73" spans="1:9" ht="13.5" thickBot="1" x14ac:dyDescent="0.25">
      <c r="A73" s="15" t="s">
        <v>172</v>
      </c>
      <c r="B73" s="15"/>
      <c r="C73" s="11">
        <f t="shared" si="30"/>
        <v>0.23148512784663272</v>
      </c>
      <c r="D73" s="11">
        <f t="shared" si="31"/>
        <v>0.12814918605661141</v>
      </c>
      <c r="E73" s="11">
        <f t="shared" si="32"/>
        <v>9.402107055512933E-2</v>
      </c>
      <c r="F73" s="11">
        <f t="shared" si="33"/>
        <v>0.46305729220625891</v>
      </c>
      <c r="G73" s="11">
        <f t="shared" si="34"/>
        <v>8.3287323335367494E-2</v>
      </c>
      <c r="H73" s="28">
        <f t="shared" si="29"/>
        <v>0.99999999999999978</v>
      </c>
      <c r="I73" s="6"/>
    </row>
    <row r="74" spans="1:9" ht="13.5" thickTop="1" x14ac:dyDescent="0.2">
      <c r="A74" s="1"/>
      <c r="B74" s="1"/>
      <c r="C74" s="6"/>
      <c r="D74" s="6"/>
      <c r="E74" s="6"/>
      <c r="F74" s="6"/>
      <c r="G74" s="6"/>
      <c r="H74" s="28"/>
      <c r="I74" s="6"/>
    </row>
    <row r="75" spans="1:9" x14ac:dyDescent="0.2">
      <c r="A75" s="1"/>
      <c r="B75" s="1"/>
      <c r="C75" s="6"/>
      <c r="D75" s="6"/>
      <c r="E75" s="6"/>
      <c r="F75" s="6"/>
      <c r="G75" s="6"/>
      <c r="H75" s="28"/>
      <c r="I75" s="6"/>
    </row>
    <row r="76" spans="1:9" x14ac:dyDescent="0.2">
      <c r="A76" s="1" t="s">
        <v>86</v>
      </c>
      <c r="B76" s="1"/>
      <c r="C76" s="9">
        <f>C49/H49</f>
        <v>0.18552930649802279</v>
      </c>
      <c r="D76" s="9">
        <f>D49/H49</f>
        <v>0.17191925150725695</v>
      </c>
      <c r="E76" s="9">
        <f>E49/H49</f>
        <v>9.405829753778458E-2</v>
      </c>
      <c r="F76" s="9">
        <f>F49/H49</f>
        <v>0.47235258116244394</v>
      </c>
      <c r="G76" s="9">
        <f>G49/H49</f>
        <v>7.61405632944918E-2</v>
      </c>
      <c r="H76" s="28">
        <f t="shared" si="29"/>
        <v>1</v>
      </c>
      <c r="I76" s="6"/>
    </row>
    <row r="77" spans="1:9" x14ac:dyDescent="0.2">
      <c r="A77" s="14" t="s">
        <v>87</v>
      </c>
      <c r="B77" s="1"/>
      <c r="C77" s="9">
        <f>C50/H50</f>
        <v>0.24932864631574139</v>
      </c>
      <c r="D77" s="9">
        <f>D50/H50</f>
        <v>0.18205268381773909</v>
      </c>
      <c r="E77" s="9">
        <f>E50/H50</f>
        <v>8.7622995580748514E-2</v>
      </c>
      <c r="F77" s="9">
        <f>F50/H50</f>
        <v>0.38786300312561695</v>
      </c>
      <c r="G77" s="9">
        <f>G50/H50</f>
        <v>9.3132671160154251E-2</v>
      </c>
      <c r="H77" s="28">
        <f t="shared" si="29"/>
        <v>1.0000000000000002</v>
      </c>
      <c r="I77" s="6"/>
    </row>
    <row r="78" spans="1:9" ht="13.5" thickBot="1" x14ac:dyDescent="0.25">
      <c r="A78" s="15" t="s">
        <v>173</v>
      </c>
      <c r="B78" s="15"/>
      <c r="C78" s="11">
        <f>C51/H51</f>
        <v>0.21454001029738554</v>
      </c>
      <c r="D78" s="11">
        <f>D51/H51</f>
        <v>0.17652710488113538</v>
      </c>
      <c r="E78" s="11">
        <f>E51/H51</f>
        <v>9.1132050346693957E-2</v>
      </c>
      <c r="F78" s="11">
        <f>F51/H51</f>
        <v>0.43393365504874754</v>
      </c>
      <c r="G78" s="11">
        <f>G51/H51</f>
        <v>8.386717942603758E-2</v>
      </c>
      <c r="H78" s="28">
        <f t="shared" si="29"/>
        <v>1</v>
      </c>
      <c r="I78" s="6"/>
    </row>
    <row r="79" spans="1:9" ht="14.25" thickTop="1" thickBot="1" x14ac:dyDescent="0.25">
      <c r="A79" s="41"/>
      <c r="B79" s="41"/>
      <c r="C79" s="25"/>
      <c r="D79" s="25"/>
      <c r="E79" s="25"/>
      <c r="F79" s="25"/>
      <c r="G79" s="25"/>
      <c r="H79" s="6"/>
      <c r="I79" s="6"/>
    </row>
    <row r="80" spans="1:9" ht="13.5" thickBot="1" x14ac:dyDescent="0.25">
      <c r="A80" s="26" t="s">
        <v>208</v>
      </c>
      <c r="B80" s="26"/>
      <c r="C80" s="45">
        <f>C53/H53</f>
        <v>0.22322941580144084</v>
      </c>
      <c r="D80" s="45">
        <f>D53/H53</f>
        <v>0.1223569361317126</v>
      </c>
      <c r="E80" s="45">
        <f>E53/H53</f>
        <v>9.4203775579396409E-2</v>
      </c>
      <c r="F80" s="45">
        <f>F53/H53</f>
        <v>0.44555564089169608</v>
      </c>
      <c r="G80" s="45">
        <f>G53/H53</f>
        <v>0.11465423159575402</v>
      </c>
      <c r="H80" s="28">
        <f t="shared" si="29"/>
        <v>1</v>
      </c>
      <c r="I80" s="6"/>
    </row>
    <row r="81" spans="1:9" ht="13.5" thickTop="1" x14ac:dyDescent="0.2">
      <c r="A81" s="1"/>
      <c r="B81" s="1"/>
      <c r="C81" s="1"/>
      <c r="D81" s="1"/>
      <c r="E81" s="1"/>
      <c r="F81" s="1"/>
      <c r="G81" s="1"/>
      <c r="H81" s="1"/>
      <c r="I81" s="6"/>
    </row>
    <row r="82" spans="1:9" x14ac:dyDescent="0.2">
      <c r="A82" s="1"/>
      <c r="B82" s="1"/>
      <c r="C82" s="1"/>
      <c r="D82" s="1"/>
      <c r="E82" s="1"/>
      <c r="F82" s="1"/>
      <c r="G82" s="1"/>
      <c r="H82" s="1"/>
      <c r="I82" s="6"/>
    </row>
    <row r="83" spans="1:9" x14ac:dyDescent="0.2">
      <c r="A83" s="1"/>
      <c r="B83" s="1"/>
      <c r="C83" s="1"/>
      <c r="D83" s="1"/>
      <c r="E83" s="1"/>
      <c r="F83" s="1"/>
      <c r="G83" s="1"/>
      <c r="H83" s="1"/>
      <c r="I83" s="6"/>
    </row>
    <row r="84" spans="1:9" x14ac:dyDescent="0.2">
      <c r="A84" s="1"/>
      <c r="B84" s="1"/>
      <c r="C84" s="1"/>
      <c r="D84" s="1"/>
      <c r="E84" s="1"/>
      <c r="F84" s="1"/>
      <c r="G84" s="1"/>
      <c r="H84" s="1"/>
      <c r="I84" s="6"/>
    </row>
  </sheetData>
  <phoneticPr fontId="7"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I80"/>
  <sheetViews>
    <sheetView workbookViewId="0">
      <selection activeCell="C32" sqref="C32"/>
    </sheetView>
  </sheetViews>
  <sheetFormatPr defaultColWidth="9.140625" defaultRowHeight="11.25" x14ac:dyDescent="0.2"/>
  <cols>
    <col min="1" max="1" width="19.7109375" style="1" bestFit="1" customWidth="1"/>
    <col min="2" max="2" width="7.140625" style="1" customWidth="1"/>
    <col min="3" max="3" width="10.140625" style="1" customWidth="1"/>
    <col min="4" max="4" width="9.5703125" style="1" bestFit="1" customWidth="1"/>
    <col min="5" max="5" width="9.85546875" style="1" customWidth="1"/>
    <col min="6" max="7" width="10.42578125" style="1" customWidth="1"/>
    <col min="8" max="8" width="11.42578125" style="1" customWidth="1"/>
    <col min="9" max="16384" width="9.140625" style="1"/>
  </cols>
  <sheetData>
    <row r="1" spans="1:9" ht="12.75" x14ac:dyDescent="0.2">
      <c r="A1" s="36" t="s">
        <v>200</v>
      </c>
      <c r="B1"/>
      <c r="C1"/>
      <c r="D1"/>
      <c r="E1"/>
      <c r="F1"/>
      <c r="G1"/>
      <c r="H1"/>
    </row>
    <row r="2" spans="1:9" ht="12.75" x14ac:dyDescent="0.2">
      <c r="A2" s="36" t="s">
        <v>295</v>
      </c>
      <c r="B2"/>
      <c r="C2"/>
      <c r="D2"/>
      <c r="E2"/>
      <c r="F2"/>
      <c r="G2"/>
      <c r="H2"/>
    </row>
    <row r="4" spans="1:9" ht="33.75" x14ac:dyDescent="0.2">
      <c r="A4" s="167" t="s">
        <v>245</v>
      </c>
      <c r="B4" s="160" t="s">
        <v>201</v>
      </c>
      <c r="C4" s="141" t="s">
        <v>202</v>
      </c>
      <c r="D4" s="141" t="s">
        <v>203</v>
      </c>
      <c r="E4" s="141" t="s">
        <v>204</v>
      </c>
      <c r="F4" s="141" t="s">
        <v>205</v>
      </c>
      <c r="G4" s="141" t="s">
        <v>206</v>
      </c>
      <c r="H4" s="160" t="s">
        <v>207</v>
      </c>
      <c r="I4" s="141" t="s">
        <v>449</v>
      </c>
    </row>
    <row r="5" spans="1:9" x14ac:dyDescent="0.2">
      <c r="A5" s="1" t="s">
        <v>102</v>
      </c>
      <c r="B5" s="1">
        <v>35959</v>
      </c>
      <c r="C5" s="6">
        <v>56037274.009999998</v>
      </c>
      <c r="D5" s="6">
        <v>21264142.25</v>
      </c>
      <c r="E5" s="6">
        <v>20574573.07</v>
      </c>
      <c r="F5" s="6">
        <v>90180446.379999995</v>
      </c>
      <c r="G5" s="6">
        <v>18475114.670000002</v>
      </c>
      <c r="H5" s="136">
        <f t="shared" ref="H5:H10" si="0">SUM(C5:G5)</f>
        <v>206531550.38</v>
      </c>
      <c r="I5" s="6">
        <f>H5/B5</f>
        <v>5743.5287516338049</v>
      </c>
    </row>
    <row r="6" spans="1:9" x14ac:dyDescent="0.2">
      <c r="A6" s="1" t="s">
        <v>76</v>
      </c>
      <c r="B6" s="1">
        <v>24474</v>
      </c>
      <c r="C6" s="6">
        <v>33094141.09</v>
      </c>
      <c r="D6" s="6">
        <v>12247602.65</v>
      </c>
      <c r="E6" s="6">
        <v>13870816.800000001</v>
      </c>
      <c r="F6" s="6">
        <v>65070756.979999997</v>
      </c>
      <c r="G6" s="6">
        <v>26391198.800000001</v>
      </c>
      <c r="H6" s="6">
        <f t="shared" si="0"/>
        <v>150674516.32000002</v>
      </c>
      <c r="I6" s="6">
        <f t="shared" ref="I6:I11" si="1">H6/B6</f>
        <v>6156.5137010705248</v>
      </c>
    </row>
    <row r="7" spans="1:9" x14ac:dyDescent="0.2">
      <c r="A7" s="1" t="s">
        <v>77</v>
      </c>
      <c r="B7" s="1">
        <v>12843</v>
      </c>
      <c r="C7" s="6">
        <v>15982613.220000001</v>
      </c>
      <c r="D7" s="6">
        <v>7530797.96</v>
      </c>
      <c r="E7" s="6">
        <v>7670639.1200000001</v>
      </c>
      <c r="F7" s="6">
        <v>34361536.729999997</v>
      </c>
      <c r="G7" s="6">
        <v>20868227.25</v>
      </c>
      <c r="H7" s="6">
        <f t="shared" si="0"/>
        <v>86413814.280000001</v>
      </c>
      <c r="I7" s="6">
        <f t="shared" si="1"/>
        <v>6728.475767344079</v>
      </c>
    </row>
    <row r="8" spans="1:9" x14ac:dyDescent="0.2">
      <c r="A8" s="1" t="s">
        <v>78</v>
      </c>
      <c r="B8" s="1">
        <v>14333</v>
      </c>
      <c r="C8" s="6">
        <v>20691457.190000001</v>
      </c>
      <c r="D8" s="6">
        <v>8369685.4900000002</v>
      </c>
      <c r="E8" s="6">
        <v>8041413.21</v>
      </c>
      <c r="F8" s="6">
        <v>38440486.450000003</v>
      </c>
      <c r="G8" s="6">
        <v>11609437.59</v>
      </c>
      <c r="H8" s="6">
        <f t="shared" si="0"/>
        <v>87152479.930000007</v>
      </c>
      <c r="I8" s="6">
        <f t="shared" si="1"/>
        <v>6080.5469845810376</v>
      </c>
    </row>
    <row r="9" spans="1:9" x14ac:dyDescent="0.2">
      <c r="A9" s="1" t="s">
        <v>79</v>
      </c>
      <c r="B9" s="1">
        <v>5735</v>
      </c>
      <c r="C9" s="6">
        <v>10705658.609999999</v>
      </c>
      <c r="D9" s="6">
        <v>4445921.74</v>
      </c>
      <c r="E9" s="6">
        <v>3755814.76</v>
      </c>
      <c r="F9" s="6">
        <v>16165279.08</v>
      </c>
      <c r="G9" s="6">
        <v>5608461.5700000003</v>
      </c>
      <c r="H9" s="6">
        <f t="shared" si="0"/>
        <v>40681135.759999998</v>
      </c>
      <c r="I9" s="6">
        <f t="shared" si="1"/>
        <v>7093.4848753269398</v>
      </c>
    </row>
    <row r="10" spans="1:9" x14ac:dyDescent="0.2">
      <c r="A10" s="14" t="s">
        <v>80</v>
      </c>
      <c r="B10" s="14">
        <v>1522</v>
      </c>
      <c r="C10" s="7">
        <v>2961249.28</v>
      </c>
      <c r="D10" s="7">
        <v>1447241.03</v>
      </c>
      <c r="E10" s="7">
        <v>962702.88</v>
      </c>
      <c r="F10" s="7">
        <v>4119981.22</v>
      </c>
      <c r="G10" s="7">
        <v>1062945.6599999999</v>
      </c>
      <c r="H10" s="6">
        <f t="shared" si="0"/>
        <v>10554120.07</v>
      </c>
      <c r="I10" s="6">
        <f t="shared" si="1"/>
        <v>6934.3758672798949</v>
      </c>
    </row>
    <row r="11" spans="1:9" ht="12" thickBot="1" x14ac:dyDescent="0.25">
      <c r="A11" s="15" t="s">
        <v>171</v>
      </c>
      <c r="B11" s="15">
        <f t="shared" ref="B11:H11" si="2">SUM(B4:B10)</f>
        <v>94866</v>
      </c>
      <c r="C11" s="8">
        <f t="shared" si="2"/>
        <v>139472393.40000001</v>
      </c>
      <c r="D11" s="8">
        <f t="shared" si="2"/>
        <v>55305391.120000005</v>
      </c>
      <c r="E11" s="8">
        <f t="shared" si="2"/>
        <v>54875959.840000004</v>
      </c>
      <c r="F11" s="8">
        <f t="shared" si="2"/>
        <v>248338486.83999997</v>
      </c>
      <c r="G11" s="8">
        <f t="shared" si="2"/>
        <v>84015385.539999992</v>
      </c>
      <c r="H11" s="8">
        <f t="shared" si="2"/>
        <v>582007616.74000013</v>
      </c>
      <c r="I11" s="8">
        <f t="shared" si="1"/>
        <v>6135.0496146142996</v>
      </c>
    </row>
    <row r="12" spans="1:9" ht="12" thickTop="1" x14ac:dyDescent="0.2">
      <c r="C12" s="6"/>
      <c r="D12" s="6"/>
      <c r="E12" s="6"/>
      <c r="F12" s="6"/>
      <c r="G12" s="6"/>
      <c r="H12" s="6"/>
      <c r="I12" s="6"/>
    </row>
    <row r="13" spans="1:9" x14ac:dyDescent="0.2">
      <c r="C13" s="6"/>
      <c r="D13" s="6"/>
      <c r="E13" s="6"/>
      <c r="F13" s="6"/>
      <c r="G13" s="6"/>
      <c r="H13" s="6"/>
      <c r="I13" s="6"/>
    </row>
    <row r="14" spans="1:9" x14ac:dyDescent="0.2">
      <c r="A14" s="1" t="s">
        <v>81</v>
      </c>
      <c r="B14" s="1">
        <v>22915</v>
      </c>
      <c r="C14" s="6">
        <v>41855519.159999996</v>
      </c>
      <c r="D14" s="6">
        <v>17180848.219999999</v>
      </c>
      <c r="E14" s="6">
        <v>14298793.539999999</v>
      </c>
      <c r="F14" s="6">
        <v>66559403.829999998</v>
      </c>
      <c r="G14" s="6">
        <v>9282365.0500000007</v>
      </c>
      <c r="H14" s="6">
        <f>SUM(C14:G14)</f>
        <v>149176929.80000001</v>
      </c>
      <c r="I14" s="6">
        <f t="shared" ref="I14:I19" si="3">H14/B14</f>
        <v>6510.0122103425711</v>
      </c>
    </row>
    <row r="15" spans="1:9" x14ac:dyDescent="0.2">
      <c r="A15" s="1" t="s">
        <v>82</v>
      </c>
      <c r="B15" s="1">
        <v>10365</v>
      </c>
      <c r="C15" s="6">
        <v>15035337.51</v>
      </c>
      <c r="D15" s="6">
        <v>7050296.1699999999</v>
      </c>
      <c r="E15" s="6">
        <v>5726637.5099999998</v>
      </c>
      <c r="F15" s="6">
        <v>33874493.170000002</v>
      </c>
      <c r="G15" s="6">
        <v>6266809.1699999999</v>
      </c>
      <c r="H15" s="6">
        <f>SUM(C15:G15)</f>
        <v>67953573.530000001</v>
      </c>
      <c r="I15" s="6">
        <f t="shared" si="3"/>
        <v>6556.0611220453447</v>
      </c>
    </row>
    <row r="16" spans="1:9" x14ac:dyDescent="0.2">
      <c r="A16" s="1" t="s">
        <v>83</v>
      </c>
      <c r="B16" s="1">
        <v>4844</v>
      </c>
      <c r="C16" s="6">
        <v>9578577.5800000001</v>
      </c>
      <c r="D16" s="6">
        <v>4129955.06</v>
      </c>
      <c r="E16" s="6">
        <v>3158588.35</v>
      </c>
      <c r="F16" s="6">
        <v>16273214.060000001</v>
      </c>
      <c r="G16" s="6">
        <v>2992851.73</v>
      </c>
      <c r="H16" s="6">
        <f>SUM(C16:G16)</f>
        <v>36133186.780000001</v>
      </c>
      <c r="I16" s="6">
        <f t="shared" si="3"/>
        <v>7459.3696903385635</v>
      </c>
    </row>
    <row r="17" spans="1:9" x14ac:dyDescent="0.2">
      <c r="A17" s="1" t="s">
        <v>84</v>
      </c>
      <c r="B17" s="1">
        <v>5489</v>
      </c>
      <c r="C17" s="6">
        <v>10806301.199999999</v>
      </c>
      <c r="D17" s="6">
        <v>4535261.26</v>
      </c>
      <c r="E17" s="6">
        <v>4532623.3899999997</v>
      </c>
      <c r="F17" s="6">
        <v>21872566.75</v>
      </c>
      <c r="G17" s="6">
        <v>8326615.8300000001</v>
      </c>
      <c r="H17" s="6">
        <f>SUM(C17:G17)</f>
        <v>50073368.429999992</v>
      </c>
      <c r="I17" s="6">
        <f t="shared" si="3"/>
        <v>9122.493793040625</v>
      </c>
    </row>
    <row r="18" spans="1:9" x14ac:dyDescent="0.2">
      <c r="A18" s="14" t="s">
        <v>85</v>
      </c>
      <c r="B18" s="14">
        <v>1447</v>
      </c>
      <c r="C18" s="7">
        <v>4654507.05</v>
      </c>
      <c r="D18" s="7">
        <v>1656797.79</v>
      </c>
      <c r="E18" s="7">
        <v>1694385.1</v>
      </c>
      <c r="F18" s="7">
        <v>7822574.1500000004</v>
      </c>
      <c r="G18" s="7">
        <v>2276162.44</v>
      </c>
      <c r="H18" s="6">
        <f>SUM(C18:G18)</f>
        <v>18104426.530000001</v>
      </c>
      <c r="I18" s="6">
        <f t="shared" si="3"/>
        <v>12511.697671043539</v>
      </c>
    </row>
    <row r="19" spans="1:9" ht="12" thickBot="1" x14ac:dyDescent="0.25">
      <c r="A19" s="15" t="s">
        <v>172</v>
      </c>
      <c r="B19" s="15">
        <f>SUM(B14:B18)</f>
        <v>45060</v>
      </c>
      <c r="C19" s="8">
        <f t="shared" ref="C19:H19" si="4">SUM(C14:C18)</f>
        <v>81930242.499999985</v>
      </c>
      <c r="D19" s="8">
        <f t="shared" si="4"/>
        <v>34553158.5</v>
      </c>
      <c r="E19" s="8">
        <f t="shared" si="4"/>
        <v>29411027.890000001</v>
      </c>
      <c r="F19" s="8">
        <f t="shared" si="4"/>
        <v>146402251.96000001</v>
      </c>
      <c r="G19" s="8">
        <f t="shared" si="4"/>
        <v>29144804.220000003</v>
      </c>
      <c r="H19" s="8">
        <f t="shared" si="4"/>
        <v>321441485.07000005</v>
      </c>
      <c r="I19" s="8">
        <f t="shared" si="3"/>
        <v>7133.6326025299613</v>
      </c>
    </row>
    <row r="20" spans="1:9" ht="12" thickTop="1" x14ac:dyDescent="0.2">
      <c r="C20" s="6"/>
      <c r="D20" s="6"/>
      <c r="E20" s="6"/>
      <c r="F20" s="6"/>
      <c r="G20" s="6"/>
      <c r="H20" s="6"/>
      <c r="I20" s="6"/>
    </row>
    <row r="21" spans="1:9" x14ac:dyDescent="0.2">
      <c r="C21" s="6"/>
      <c r="D21" s="6"/>
      <c r="E21" s="6"/>
      <c r="F21" s="6"/>
      <c r="G21" s="6"/>
      <c r="H21" s="6"/>
      <c r="I21" s="6"/>
    </row>
    <row r="22" spans="1:9" x14ac:dyDescent="0.2">
      <c r="A22" s="1" t="s">
        <v>86</v>
      </c>
      <c r="B22" s="1">
        <v>12332</v>
      </c>
      <c r="C22" s="6">
        <v>16603994.630000001</v>
      </c>
      <c r="D22" s="6">
        <v>7674334.6299999999</v>
      </c>
      <c r="E22" s="6">
        <v>7173912.5999999996</v>
      </c>
      <c r="F22" s="6">
        <v>36040270.960000001</v>
      </c>
      <c r="G22" s="6">
        <v>5938910.8799999999</v>
      </c>
      <c r="H22" s="6">
        <f>SUM(C22:G22)</f>
        <v>73431423.699999988</v>
      </c>
      <c r="I22" s="6">
        <f>H22/B22</f>
        <v>5954.5429532922471</v>
      </c>
    </row>
    <row r="23" spans="1:9" x14ac:dyDescent="0.2">
      <c r="A23" s="14" t="s">
        <v>87</v>
      </c>
      <c r="B23" s="14">
        <v>7484</v>
      </c>
      <c r="C23" s="7">
        <v>19089500.66</v>
      </c>
      <c r="D23" s="7">
        <v>8642467.2100000009</v>
      </c>
      <c r="E23" s="7">
        <v>6172995.9800000004</v>
      </c>
      <c r="F23" s="7">
        <v>25087092.809999999</v>
      </c>
      <c r="G23" s="7">
        <v>5679283.5199999996</v>
      </c>
      <c r="H23" s="6">
        <f>SUM(C23:G23)</f>
        <v>64671340.179999992</v>
      </c>
      <c r="I23" s="6">
        <f>H23/B23</f>
        <v>8641.280088188134</v>
      </c>
    </row>
    <row r="24" spans="1:9" ht="12" thickBot="1" x14ac:dyDescent="0.25">
      <c r="A24" s="15" t="s">
        <v>173</v>
      </c>
      <c r="B24" s="15">
        <f>SUM(B22:B23)</f>
        <v>19816</v>
      </c>
      <c r="C24" s="8">
        <f t="shared" ref="C24:H24" si="5">SUM(C22:C23)</f>
        <v>35693495.289999999</v>
      </c>
      <c r="D24" s="8">
        <f t="shared" si="5"/>
        <v>16316801.84</v>
      </c>
      <c r="E24" s="8">
        <f t="shared" si="5"/>
        <v>13346908.58</v>
      </c>
      <c r="F24" s="8">
        <f t="shared" si="5"/>
        <v>61127363.769999996</v>
      </c>
      <c r="G24" s="8">
        <f t="shared" si="5"/>
        <v>11618194.399999999</v>
      </c>
      <c r="H24" s="8">
        <f t="shared" si="5"/>
        <v>138102763.88</v>
      </c>
      <c r="I24" s="8">
        <f>H24/B24</f>
        <v>6969.255343157045</v>
      </c>
    </row>
    <row r="25" spans="1:9" ht="12" thickTop="1" x14ac:dyDescent="0.2">
      <c r="A25" s="177"/>
      <c r="B25" s="177"/>
      <c r="C25" s="178"/>
      <c r="D25" s="178"/>
      <c r="E25" s="178"/>
      <c r="F25" s="178"/>
      <c r="G25" s="178"/>
      <c r="H25" s="178"/>
      <c r="I25" s="6"/>
    </row>
    <row r="26" spans="1:9" ht="12" thickBot="1" x14ac:dyDescent="0.25">
      <c r="A26" s="15" t="s">
        <v>174</v>
      </c>
      <c r="B26" s="15">
        <f>B24+B19+B11</f>
        <v>159742</v>
      </c>
      <c r="C26" s="8">
        <f t="shared" ref="C26:H26" si="6">C24+C19+C11</f>
        <v>257096131.19</v>
      </c>
      <c r="D26" s="8">
        <f t="shared" si="6"/>
        <v>106175351.46000001</v>
      </c>
      <c r="E26" s="8">
        <f t="shared" si="6"/>
        <v>97633896.310000002</v>
      </c>
      <c r="F26" s="8">
        <f t="shared" si="6"/>
        <v>455868102.56999999</v>
      </c>
      <c r="G26" s="8">
        <f t="shared" si="6"/>
        <v>124778384.16</v>
      </c>
      <c r="H26" s="8">
        <f t="shared" si="6"/>
        <v>1041551865.6900002</v>
      </c>
      <c r="I26" s="8">
        <f>H26/B26</f>
        <v>6520.2130040315024</v>
      </c>
    </row>
    <row r="27" spans="1:9" ht="12" thickTop="1" x14ac:dyDescent="0.2">
      <c r="H27" s="6"/>
      <c r="I27" s="6"/>
    </row>
    <row r="28" spans="1:9" x14ac:dyDescent="0.2">
      <c r="A28" s="36" t="s">
        <v>200</v>
      </c>
      <c r="I28" s="6"/>
    </row>
    <row r="29" spans="1:9" x14ac:dyDescent="0.2">
      <c r="A29" s="36" t="s">
        <v>306</v>
      </c>
      <c r="I29" s="6"/>
    </row>
    <row r="30" spans="1:9" s="124" customFormat="1" ht="33.75" x14ac:dyDescent="0.2">
      <c r="A30" s="167" t="s">
        <v>245</v>
      </c>
      <c r="B30" s="160" t="s">
        <v>201</v>
      </c>
      <c r="C30" s="141" t="s">
        <v>202</v>
      </c>
      <c r="D30" s="141" t="s">
        <v>203</v>
      </c>
      <c r="E30" s="141" t="s">
        <v>204</v>
      </c>
      <c r="F30" s="141" t="s">
        <v>205</v>
      </c>
      <c r="G30" s="141" t="s">
        <v>206</v>
      </c>
      <c r="H30" s="160" t="s">
        <v>207</v>
      </c>
      <c r="I30" s="6"/>
    </row>
    <row r="31" spans="1:9" x14ac:dyDescent="0.2">
      <c r="A31" s="1" t="s">
        <v>102</v>
      </c>
      <c r="B31" s="1">
        <v>35959</v>
      </c>
      <c r="C31" s="6">
        <v>1558.37</v>
      </c>
      <c r="D31" s="6">
        <v>591.34</v>
      </c>
      <c r="E31" s="6">
        <v>572.16999999999996</v>
      </c>
      <c r="F31" s="6">
        <v>2507.87</v>
      </c>
      <c r="G31" s="6">
        <v>513.78</v>
      </c>
      <c r="H31" s="6">
        <v>5743.5287516338049</v>
      </c>
      <c r="I31" s="6"/>
    </row>
    <row r="32" spans="1:9" x14ac:dyDescent="0.2">
      <c r="A32" s="1" t="s">
        <v>76</v>
      </c>
      <c r="B32" s="1">
        <v>24474</v>
      </c>
      <c r="C32" s="6">
        <v>1352.22</v>
      </c>
      <c r="D32" s="6">
        <v>500.43</v>
      </c>
      <c r="E32" s="6">
        <v>566.76</v>
      </c>
      <c r="F32" s="6">
        <v>2658.77</v>
      </c>
      <c r="G32" s="6">
        <v>1078.3399999999999</v>
      </c>
      <c r="H32" s="6">
        <v>6156.5137010705248</v>
      </c>
      <c r="I32" s="6"/>
    </row>
    <row r="33" spans="1:9" x14ac:dyDescent="0.2">
      <c r="A33" s="1" t="s">
        <v>77</v>
      </c>
      <c r="B33" s="1">
        <v>12843</v>
      </c>
      <c r="C33" s="6">
        <v>1244.46</v>
      </c>
      <c r="D33" s="6">
        <v>586.37</v>
      </c>
      <c r="E33" s="6">
        <v>597.26</v>
      </c>
      <c r="F33" s="6">
        <v>2675.51</v>
      </c>
      <c r="G33" s="6">
        <v>1624.87</v>
      </c>
      <c r="H33" s="6">
        <v>6728.475767344079</v>
      </c>
      <c r="I33" s="6"/>
    </row>
    <row r="34" spans="1:9" x14ac:dyDescent="0.2">
      <c r="A34" s="1" t="s">
        <v>78</v>
      </c>
      <c r="B34" s="1">
        <v>14333</v>
      </c>
      <c r="C34" s="6">
        <v>1443.62</v>
      </c>
      <c r="D34" s="6">
        <v>583.95000000000005</v>
      </c>
      <c r="E34" s="6">
        <v>561.04</v>
      </c>
      <c r="F34" s="6">
        <v>2681.96</v>
      </c>
      <c r="G34" s="6">
        <v>809.98</v>
      </c>
      <c r="H34" s="6">
        <v>6080.5469845810376</v>
      </c>
      <c r="I34" s="6"/>
    </row>
    <row r="35" spans="1:9" x14ac:dyDescent="0.2">
      <c r="A35" s="1" t="s">
        <v>79</v>
      </c>
      <c r="B35" s="1">
        <v>5735</v>
      </c>
      <c r="C35" s="6">
        <v>1866.72</v>
      </c>
      <c r="D35" s="6">
        <v>775.23</v>
      </c>
      <c r="E35" s="6">
        <v>654.89</v>
      </c>
      <c r="F35" s="6">
        <v>2818.71</v>
      </c>
      <c r="G35" s="6">
        <v>977.94</v>
      </c>
      <c r="H35" s="6">
        <v>7093.4848753269398</v>
      </c>
      <c r="I35" s="6"/>
    </row>
    <row r="36" spans="1:9" x14ac:dyDescent="0.2">
      <c r="A36" s="14" t="s">
        <v>80</v>
      </c>
      <c r="B36" s="14">
        <v>1522</v>
      </c>
      <c r="C36" s="7">
        <v>1945.63</v>
      </c>
      <c r="D36" s="7">
        <v>950.88</v>
      </c>
      <c r="E36" s="7">
        <v>632.52</v>
      </c>
      <c r="F36" s="7">
        <v>2706.95</v>
      </c>
      <c r="G36" s="7">
        <v>698.39</v>
      </c>
      <c r="H36" s="7">
        <v>6934.3758672798949</v>
      </c>
      <c r="I36" s="6"/>
    </row>
    <row r="37" spans="1:9" ht="12" thickBot="1" x14ac:dyDescent="0.25">
      <c r="A37" s="15" t="s">
        <v>171</v>
      </c>
      <c r="B37" s="15">
        <v>94866</v>
      </c>
      <c r="C37" s="8">
        <v>1470.2042185819998</v>
      </c>
      <c r="D37" s="8">
        <v>582.98432652372821</v>
      </c>
      <c r="E37" s="8">
        <v>578.45761221090811</v>
      </c>
      <c r="F37" s="8">
        <v>2617.7817852549911</v>
      </c>
      <c r="G37" s="8">
        <v>885.62167204267064</v>
      </c>
      <c r="H37" s="27">
        <v>6135.0496146142996</v>
      </c>
      <c r="I37" s="6"/>
    </row>
    <row r="38" spans="1:9" ht="12" thickTop="1" x14ac:dyDescent="0.2">
      <c r="C38" s="6"/>
      <c r="D38" s="6"/>
      <c r="E38" s="6"/>
      <c r="F38" s="6"/>
      <c r="G38" s="6"/>
      <c r="H38" s="6"/>
      <c r="I38" s="6"/>
    </row>
    <row r="39" spans="1:9" x14ac:dyDescent="0.2">
      <c r="C39" s="6"/>
      <c r="D39" s="6"/>
      <c r="E39" s="6"/>
      <c r="F39" s="6"/>
      <c r="G39" s="6"/>
      <c r="H39" s="6"/>
      <c r="I39" s="6"/>
    </row>
    <row r="40" spans="1:9" x14ac:dyDescent="0.2">
      <c r="A40" s="1" t="s">
        <v>81</v>
      </c>
      <c r="B40" s="1">
        <v>22915</v>
      </c>
      <c r="C40" s="6">
        <v>1826.56</v>
      </c>
      <c r="D40" s="6">
        <v>749.76</v>
      </c>
      <c r="E40" s="6">
        <v>623.99</v>
      </c>
      <c r="F40" s="6">
        <v>2904.62</v>
      </c>
      <c r="G40" s="6">
        <v>405.08</v>
      </c>
      <c r="H40" s="6">
        <v>6510.0122103425711</v>
      </c>
      <c r="I40" s="6"/>
    </row>
    <row r="41" spans="1:9" x14ac:dyDescent="0.2">
      <c r="A41" s="1" t="s">
        <v>82</v>
      </c>
      <c r="B41" s="1">
        <v>10365</v>
      </c>
      <c r="C41" s="6">
        <v>1450.59</v>
      </c>
      <c r="D41" s="6">
        <v>680.2</v>
      </c>
      <c r="E41" s="6">
        <v>552.5</v>
      </c>
      <c r="F41" s="6">
        <v>3268.16</v>
      </c>
      <c r="G41" s="6">
        <v>604.61</v>
      </c>
      <c r="H41" s="6">
        <v>6556.0611220453447</v>
      </c>
      <c r="I41" s="6"/>
    </row>
    <row r="42" spans="1:9" x14ac:dyDescent="0.2">
      <c r="A42" s="1" t="s">
        <v>83</v>
      </c>
      <c r="B42" s="1">
        <v>4844</v>
      </c>
      <c r="C42" s="6">
        <v>1977.41</v>
      </c>
      <c r="D42" s="6">
        <v>852.59</v>
      </c>
      <c r="E42" s="6">
        <v>652.05999999999995</v>
      </c>
      <c r="F42" s="6">
        <v>3359.46</v>
      </c>
      <c r="G42" s="6">
        <v>617.85</v>
      </c>
      <c r="H42" s="6">
        <v>7459.3696903385635</v>
      </c>
      <c r="I42" s="6"/>
    </row>
    <row r="43" spans="1:9" x14ac:dyDescent="0.2">
      <c r="A43" s="1" t="s">
        <v>84</v>
      </c>
      <c r="B43" s="1">
        <v>5489</v>
      </c>
      <c r="C43" s="6">
        <v>1968.72</v>
      </c>
      <c r="D43" s="6">
        <v>826.25</v>
      </c>
      <c r="E43" s="6">
        <v>825.76</v>
      </c>
      <c r="F43" s="6">
        <v>3984.8</v>
      </c>
      <c r="G43" s="6">
        <v>1516.96</v>
      </c>
      <c r="H43" s="6">
        <v>9122.493793040625</v>
      </c>
      <c r="I43" s="6"/>
    </row>
    <row r="44" spans="1:9" x14ac:dyDescent="0.2">
      <c r="A44" s="14" t="s">
        <v>85</v>
      </c>
      <c r="B44" s="14">
        <v>1447</v>
      </c>
      <c r="C44" s="7">
        <v>3216.66</v>
      </c>
      <c r="D44" s="7">
        <v>1144.99</v>
      </c>
      <c r="E44" s="7">
        <v>1170.96</v>
      </c>
      <c r="F44" s="7">
        <v>5406.06</v>
      </c>
      <c r="G44" s="7">
        <v>1573.02</v>
      </c>
      <c r="H44" s="7">
        <v>12511.697671043539</v>
      </c>
      <c r="I44" s="6"/>
    </row>
    <row r="45" spans="1:9" ht="12" thickBot="1" x14ac:dyDescent="0.25">
      <c r="A45" s="15" t="s">
        <v>172</v>
      </c>
      <c r="B45" s="15">
        <v>45060</v>
      </c>
      <c r="C45" s="8">
        <v>1818.2477252552148</v>
      </c>
      <c r="D45" s="8">
        <v>766.82553262316912</v>
      </c>
      <c r="E45" s="8">
        <v>652.70812006213941</v>
      </c>
      <c r="F45" s="8">
        <v>3249.0513084775857</v>
      </c>
      <c r="G45" s="8">
        <v>646.79991611185096</v>
      </c>
      <c r="H45" s="8">
        <v>7133.6326025299613</v>
      </c>
      <c r="I45" s="6"/>
    </row>
    <row r="46" spans="1:9" ht="12" thickTop="1" x14ac:dyDescent="0.2">
      <c r="C46" s="6"/>
      <c r="D46" s="6"/>
      <c r="E46" s="6"/>
      <c r="F46" s="6"/>
      <c r="G46" s="6"/>
      <c r="H46" s="6"/>
    </row>
    <row r="47" spans="1:9" x14ac:dyDescent="0.2">
      <c r="C47" s="6"/>
      <c r="D47" s="6"/>
      <c r="E47" s="6"/>
      <c r="F47" s="6"/>
      <c r="G47" s="6"/>
      <c r="H47" s="6"/>
    </row>
    <row r="48" spans="1:9" x14ac:dyDescent="0.2">
      <c r="A48" s="1" t="s">
        <v>86</v>
      </c>
      <c r="B48" s="1">
        <v>12332</v>
      </c>
      <c r="C48" s="6">
        <v>1346.42</v>
      </c>
      <c r="D48" s="6">
        <v>622.30999999999995</v>
      </c>
      <c r="E48" s="6">
        <v>581.73</v>
      </c>
      <c r="F48" s="6">
        <v>2922.5</v>
      </c>
      <c r="G48" s="6">
        <v>481.59</v>
      </c>
      <c r="H48" s="6">
        <v>5954.5429532922471</v>
      </c>
    </row>
    <row r="49" spans="1:8" x14ac:dyDescent="0.2">
      <c r="A49" s="14" t="s">
        <v>87</v>
      </c>
      <c r="B49" s="14">
        <v>7484</v>
      </c>
      <c r="C49" s="7">
        <v>2550.71</v>
      </c>
      <c r="D49" s="7">
        <v>1154.79</v>
      </c>
      <c r="E49" s="7">
        <v>824.83</v>
      </c>
      <c r="F49" s="7">
        <v>3352.1</v>
      </c>
      <c r="G49" s="7">
        <v>758.86</v>
      </c>
      <c r="H49" s="7">
        <v>8641.280088188134</v>
      </c>
    </row>
    <row r="50" spans="1:8" ht="12" thickBot="1" x14ac:dyDescent="0.25">
      <c r="A50" s="15" t="s">
        <v>173</v>
      </c>
      <c r="B50" s="15">
        <v>19816</v>
      </c>
      <c r="C50" s="8">
        <v>1801.2462298142914</v>
      </c>
      <c r="D50" s="8">
        <v>823.41551473556717</v>
      </c>
      <c r="E50" s="8">
        <v>673.54201554299561</v>
      </c>
      <c r="F50" s="8">
        <v>3084.7478688938231</v>
      </c>
      <c r="G50" s="8">
        <v>586.30371417036736</v>
      </c>
      <c r="H50" s="6">
        <v>6969.255343157045</v>
      </c>
    </row>
    <row r="51" spans="1:8" ht="12.75" thickTop="1" thickBot="1" x14ac:dyDescent="0.25">
      <c r="A51" s="41"/>
      <c r="B51" s="41"/>
      <c r="C51" s="42"/>
      <c r="D51" s="42"/>
      <c r="E51" s="42"/>
      <c r="F51" s="42"/>
      <c r="G51" s="42"/>
      <c r="H51" s="42"/>
    </row>
    <row r="52" spans="1:8" ht="12" thickBot="1" x14ac:dyDescent="0.25">
      <c r="A52" s="26" t="s">
        <v>174</v>
      </c>
      <c r="B52" s="26">
        <v>159742</v>
      </c>
      <c r="C52" s="27">
        <v>1609.4460516958595</v>
      </c>
      <c r="D52" s="27">
        <v>664.66772332886785</v>
      </c>
      <c r="E52" s="27">
        <v>611.19740775750904</v>
      </c>
      <c r="F52" s="27">
        <v>2853.7773570507443</v>
      </c>
      <c r="G52" s="27">
        <v>781.12446419852006</v>
      </c>
      <c r="H52" s="27">
        <v>6520.2130040315024</v>
      </c>
    </row>
    <row r="53" spans="1:8" ht="12" thickTop="1" x14ac:dyDescent="0.2"/>
    <row r="55" spans="1:8" x14ac:dyDescent="0.2">
      <c r="A55" s="36" t="s">
        <v>200</v>
      </c>
    </row>
    <row r="56" spans="1:8" x14ac:dyDescent="0.2">
      <c r="A56" s="36" t="s">
        <v>307</v>
      </c>
    </row>
    <row r="57" spans="1:8" ht="33.75" x14ac:dyDescent="0.2">
      <c r="A57" s="167" t="s">
        <v>245</v>
      </c>
      <c r="B57" s="160"/>
      <c r="C57" s="141" t="s">
        <v>202</v>
      </c>
      <c r="D57" s="141" t="s">
        <v>203</v>
      </c>
      <c r="E57" s="141" t="s">
        <v>204</v>
      </c>
      <c r="F57" s="141" t="s">
        <v>205</v>
      </c>
      <c r="G57" s="141" t="s">
        <v>206</v>
      </c>
      <c r="H57" s="123"/>
    </row>
    <row r="58" spans="1:8" x14ac:dyDescent="0.2">
      <c r="A58" s="1" t="s">
        <v>102</v>
      </c>
      <c r="C58" s="9">
        <v>0.27132622946419582</v>
      </c>
      <c r="D58" s="9">
        <v>0.10295761117793437</v>
      </c>
      <c r="E58" s="9">
        <v>9.9619941806200665E-2</v>
      </c>
      <c r="F58" s="9">
        <v>0.43664271712518388</v>
      </c>
      <c r="G58" s="9">
        <v>8.9453717778264802E-2</v>
      </c>
      <c r="H58" s="28"/>
    </row>
    <row r="59" spans="1:8" x14ac:dyDescent="0.2">
      <c r="A59" s="1" t="s">
        <v>76</v>
      </c>
      <c r="C59" s="9">
        <v>0.21964054100372901</v>
      </c>
      <c r="D59" s="9">
        <v>8.12846400249191E-2</v>
      </c>
      <c r="E59" s="9">
        <v>9.2058594769544491E-2</v>
      </c>
      <c r="F59" s="9">
        <v>0.4318629226046683</v>
      </c>
      <c r="G59" s="9">
        <v>0.17515432472967499</v>
      </c>
      <c r="H59" s="28"/>
    </row>
    <row r="60" spans="1:8" x14ac:dyDescent="0.2">
      <c r="A60" s="1" t="s">
        <v>77</v>
      </c>
      <c r="C60" s="9">
        <v>0.18495422188184885</v>
      </c>
      <c r="D60" s="9">
        <v>8.7147523492004331E-2</v>
      </c>
      <c r="E60" s="9">
        <v>8.8766017839989261E-2</v>
      </c>
      <c r="F60" s="9">
        <v>0.39763983590240382</v>
      </c>
      <c r="G60" s="9">
        <v>0.24149154372913531</v>
      </c>
      <c r="H60" s="28"/>
    </row>
    <row r="61" spans="1:8" x14ac:dyDescent="0.2">
      <c r="A61" s="1" t="s">
        <v>78</v>
      </c>
      <c r="C61" s="9">
        <v>0.23741614095914568</v>
      </c>
      <c r="D61" s="9">
        <v>9.6035768078229139E-2</v>
      </c>
      <c r="E61" s="9">
        <v>9.2268014937254339E-2</v>
      </c>
      <c r="F61" s="9">
        <v>0.44107216123826937</v>
      </c>
      <c r="G61" s="9">
        <v>0.13320841069955311</v>
      </c>
      <c r="H61" s="28"/>
    </row>
    <row r="62" spans="1:8" x14ac:dyDescent="0.2">
      <c r="A62" s="1" t="s">
        <v>79</v>
      </c>
      <c r="C62" s="9">
        <v>0.26315979138729928</v>
      </c>
      <c r="D62" s="9">
        <v>0.10928760878823605</v>
      </c>
      <c r="E62" s="9">
        <v>9.2322745661710601E-2</v>
      </c>
      <c r="F62" s="9">
        <v>0.39736604074595777</v>
      </c>
      <c r="G62" s="9">
        <v>0.13786453586466929</v>
      </c>
      <c r="H62" s="28"/>
    </row>
    <row r="63" spans="1:8" x14ac:dyDescent="0.2">
      <c r="A63" s="14" t="s">
        <v>80</v>
      </c>
      <c r="B63" s="14"/>
      <c r="C63" s="9">
        <v>0.2805775223665804</v>
      </c>
      <c r="D63" s="9">
        <v>0.13712553490022972</v>
      </c>
      <c r="E63" s="9">
        <v>9.1215130547590978E-2</v>
      </c>
      <c r="F63" s="9">
        <v>0.39036678308322481</v>
      </c>
      <c r="G63" s="9">
        <v>0.100714182987308</v>
      </c>
      <c r="H63" s="28"/>
    </row>
    <row r="64" spans="1:8" ht="12" thickBot="1" x14ac:dyDescent="0.25">
      <c r="A64" s="15" t="s">
        <v>171</v>
      </c>
      <c r="B64" s="15"/>
      <c r="C64" s="11">
        <v>0.23964015141455855</v>
      </c>
      <c r="D64" s="11">
        <v>9.5025201611247195E-2</v>
      </c>
      <c r="E64" s="11">
        <v>9.4287356834566488E-2</v>
      </c>
      <c r="F64" s="11">
        <v>0.42669284678956371</v>
      </c>
      <c r="G64" s="11">
        <v>0.14435444335006381</v>
      </c>
      <c r="H64" s="28"/>
    </row>
    <row r="65" spans="1:8" ht="12" thickTop="1" x14ac:dyDescent="0.2">
      <c r="C65" s="6"/>
      <c r="D65" s="6"/>
      <c r="E65" s="6"/>
      <c r="F65" s="6"/>
      <c r="G65" s="6"/>
      <c r="H65" s="6"/>
    </row>
    <row r="66" spans="1:8" x14ac:dyDescent="0.2">
      <c r="C66" s="6"/>
      <c r="D66" s="6"/>
      <c r="E66" s="6"/>
      <c r="F66" s="6"/>
      <c r="G66" s="6"/>
      <c r="H66" s="6"/>
    </row>
    <row r="67" spans="1:8" x14ac:dyDescent="0.2">
      <c r="A67" s="1" t="s">
        <v>81</v>
      </c>
      <c r="C67" s="9">
        <v>0.28057704670631983</v>
      </c>
      <c r="D67" s="9">
        <v>0.11517029089574411</v>
      </c>
      <c r="E67" s="9">
        <v>9.5850818683359165E-2</v>
      </c>
      <c r="F67" s="9">
        <v>0.44617735054096808</v>
      </c>
      <c r="G67" s="9">
        <v>6.2224153643896746E-2</v>
      </c>
      <c r="H67" s="9"/>
    </row>
    <row r="68" spans="1:8" x14ac:dyDescent="0.2">
      <c r="A68" s="1" t="s">
        <v>82</v>
      </c>
      <c r="C68" s="9">
        <v>0.22125937708577192</v>
      </c>
      <c r="D68" s="9">
        <v>0.10375132069967537</v>
      </c>
      <c r="E68" s="9">
        <v>8.4273161844414343E-2</v>
      </c>
      <c r="F68" s="9">
        <v>0.49849443730939574</v>
      </c>
      <c r="G68" s="9">
        <v>9.2221531914482083E-2</v>
      </c>
      <c r="H68" s="9"/>
    </row>
    <row r="69" spans="1:8" x14ac:dyDescent="0.2">
      <c r="A69" s="1" t="s">
        <v>83</v>
      </c>
      <c r="C69" s="9">
        <v>0.26509076263657472</v>
      </c>
      <c r="D69" s="9">
        <v>0.11429786099813254</v>
      </c>
      <c r="E69" s="9">
        <v>8.7414892553797599E-2</v>
      </c>
      <c r="F69" s="9">
        <v>0.4503678111504783</v>
      </c>
      <c r="G69" s="9">
        <v>8.2828714174100315E-2</v>
      </c>
      <c r="H69" s="9"/>
    </row>
    <row r="70" spans="1:8" x14ac:dyDescent="0.2">
      <c r="A70" s="1" t="s">
        <v>84</v>
      </c>
      <c r="C70" s="9">
        <v>0.21580940964869702</v>
      </c>
      <c r="D70" s="9">
        <v>9.0572821286031488E-2</v>
      </c>
      <c r="E70" s="9">
        <v>9.0519107903362608E-2</v>
      </c>
      <c r="F70" s="9">
        <v>0.43681038216106294</v>
      </c>
      <c r="G70" s="9">
        <v>0.16628786321096317</v>
      </c>
      <c r="H70" s="9"/>
    </row>
    <row r="71" spans="1:8" x14ac:dyDescent="0.2">
      <c r="A71" s="14" t="s">
        <v>85</v>
      </c>
      <c r="C71" s="9">
        <v>0.25709220959234658</v>
      </c>
      <c r="D71" s="9">
        <v>9.1513560357992726E-2</v>
      </c>
      <c r="E71" s="9">
        <v>9.3589217929235344E-2</v>
      </c>
      <c r="F71" s="9">
        <v>0.43208045319953031</v>
      </c>
      <c r="G71" s="9">
        <v>0.12572394581116841</v>
      </c>
      <c r="H71" s="9"/>
    </row>
    <row r="72" spans="1:8" ht="12" thickBot="1" x14ac:dyDescent="0.25">
      <c r="A72" s="15" t="s">
        <v>172</v>
      </c>
      <c r="B72" s="15"/>
      <c r="C72" s="11">
        <v>0.25488384762208927</v>
      </c>
      <c r="D72" s="11">
        <v>0.10749439666281839</v>
      </c>
      <c r="E72" s="11">
        <v>9.1497299683005087E-2</v>
      </c>
      <c r="F72" s="11">
        <v>0.45545537449255535</v>
      </c>
      <c r="G72" s="11">
        <v>9.0669081539531723E-2</v>
      </c>
      <c r="H72" s="9"/>
    </row>
    <row r="73" spans="1:8" ht="12" thickTop="1" x14ac:dyDescent="0.2">
      <c r="C73" s="6"/>
      <c r="D73" s="6"/>
      <c r="E73" s="6"/>
      <c r="F73" s="6"/>
      <c r="G73" s="6"/>
      <c r="H73" s="6"/>
    </row>
    <row r="74" spans="1:8" x14ac:dyDescent="0.2">
      <c r="C74" s="6"/>
      <c r="D74" s="6"/>
      <c r="E74" s="6"/>
      <c r="F74" s="6"/>
      <c r="G74" s="6"/>
      <c r="H74" s="6"/>
    </row>
    <row r="75" spans="1:8" x14ac:dyDescent="0.2">
      <c r="A75" s="1" t="s">
        <v>86</v>
      </c>
      <c r="C75" s="9">
        <v>0.22611643085983096</v>
      </c>
      <c r="D75" s="9">
        <v>0.10451012023616806</v>
      </c>
      <c r="E75" s="9">
        <v>9.7695155541427978E-2</v>
      </c>
      <c r="F75" s="9">
        <v>0.49080173288264878</v>
      </c>
      <c r="G75" s="9">
        <v>8.0877743896990525E-2</v>
      </c>
      <c r="H75" s="9"/>
    </row>
    <row r="76" spans="1:8" x14ac:dyDescent="0.2">
      <c r="A76" s="14" t="s">
        <v>87</v>
      </c>
      <c r="C76" s="9">
        <v>0.29517733182686617</v>
      </c>
      <c r="D76" s="9">
        <v>0.13363645064329019</v>
      </c>
      <c r="E76" s="9">
        <v>9.5452293130443691E-2</v>
      </c>
      <c r="F76" s="9">
        <v>0.38791706388293379</v>
      </c>
      <c r="G76" s="9">
        <v>8.7818007546971485E-2</v>
      </c>
      <c r="H76" s="9"/>
    </row>
    <row r="77" spans="1:8" ht="12" thickBot="1" x14ac:dyDescent="0.25">
      <c r="A77" s="15" t="s">
        <v>173</v>
      </c>
      <c r="B77" s="15"/>
      <c r="C77" s="11">
        <v>0.25845605321132259</v>
      </c>
      <c r="D77" s="11">
        <v>0.11814971244295996</v>
      </c>
      <c r="E77" s="11">
        <v>9.6644760792748308E-2</v>
      </c>
      <c r="F77" s="11">
        <v>0.44262230568473399</v>
      </c>
      <c r="G77" s="11">
        <v>8.4127167868235125E-2</v>
      </c>
      <c r="H77" s="9"/>
    </row>
    <row r="78" spans="1:8" ht="12.75" thickTop="1" thickBot="1" x14ac:dyDescent="0.25">
      <c r="A78" s="41"/>
      <c r="B78" s="41"/>
      <c r="C78" s="25"/>
      <c r="D78" s="25"/>
      <c r="E78" s="25"/>
      <c r="F78" s="25"/>
      <c r="G78" s="25"/>
      <c r="H78" s="6"/>
    </row>
    <row r="79" spans="1:8" ht="12" thickBot="1" x14ac:dyDescent="0.25">
      <c r="A79" s="26" t="s">
        <v>208</v>
      </c>
      <c r="B79" s="26"/>
      <c r="C79" s="45">
        <v>0.24683948986033516</v>
      </c>
      <c r="D79" s="45">
        <v>0.1019395720535354</v>
      </c>
      <c r="E79" s="45">
        <v>9.3738871319019881E-2</v>
      </c>
      <c r="F79" s="45">
        <v>0.43768161489298429</v>
      </c>
      <c r="G79" s="45">
        <v>0.11980045187412501</v>
      </c>
      <c r="H79" s="9"/>
    </row>
    <row r="80" spans="1:8" ht="12" thickTop="1" x14ac:dyDescent="0.2"/>
  </sheetData>
  <phoneticPr fontId="7" type="noConversion"/>
  <pageMargins left="0.25" right="0.25" top="1" bottom="1" header="0.5" footer="0.5"/>
  <pageSetup orientation="landscape" r:id="rId1"/>
  <headerFooter alignWithMargins="0">
    <oddFooter>&amp;L&amp;Z&amp;F</oddFooter>
  </headerFooter>
  <rowBreaks count="2" manualBreakCount="2">
    <brk id="26" max="8" man="1"/>
    <brk id="52"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I80"/>
  <sheetViews>
    <sheetView workbookViewId="0">
      <selection activeCell="C32" sqref="C32"/>
    </sheetView>
  </sheetViews>
  <sheetFormatPr defaultRowHeight="12.75" x14ac:dyDescent="0.2"/>
  <cols>
    <col min="1" max="1" width="19.7109375" bestFit="1" customWidth="1"/>
    <col min="2" max="2" width="6.5703125" bestFit="1" customWidth="1"/>
    <col min="3" max="3" width="9.5703125" bestFit="1" customWidth="1"/>
    <col min="4" max="5" width="8.7109375" bestFit="1" customWidth="1"/>
    <col min="6" max="8" width="9.5703125" bestFit="1" customWidth="1"/>
  </cols>
  <sheetData>
    <row r="1" spans="1:9" x14ac:dyDescent="0.2">
      <c r="A1" s="36" t="s">
        <v>200</v>
      </c>
    </row>
    <row r="2" spans="1:9" x14ac:dyDescent="0.2">
      <c r="A2" s="36" t="s">
        <v>296</v>
      </c>
    </row>
    <row r="3" spans="1:9" ht="33.75" x14ac:dyDescent="0.2">
      <c r="A3" s="169" t="s">
        <v>88</v>
      </c>
      <c r="B3" s="170" t="s">
        <v>180</v>
      </c>
      <c r="C3" s="171" t="s">
        <v>437</v>
      </c>
      <c r="D3" s="171" t="s">
        <v>185</v>
      </c>
      <c r="E3" s="171" t="s">
        <v>186</v>
      </c>
      <c r="F3" s="171" t="s">
        <v>187</v>
      </c>
      <c r="G3" s="171" t="s">
        <v>188</v>
      </c>
      <c r="H3" s="170" t="s">
        <v>113</v>
      </c>
      <c r="I3" s="141" t="s">
        <v>447</v>
      </c>
    </row>
    <row r="4" spans="1:9" x14ac:dyDescent="0.2">
      <c r="A4" s="65" t="s">
        <v>102</v>
      </c>
      <c r="B4" s="65">
        <v>39026</v>
      </c>
      <c r="C4" s="66">
        <v>60873512.789999999</v>
      </c>
      <c r="D4" s="66">
        <v>17355274.09</v>
      </c>
      <c r="E4" s="66">
        <v>21680400.539999999</v>
      </c>
      <c r="F4" s="66">
        <v>92846877.400000006</v>
      </c>
      <c r="G4" s="66">
        <v>17333557.559999999</v>
      </c>
      <c r="H4" s="66">
        <v>210089622.38</v>
      </c>
      <c r="I4" s="6">
        <f>H4/B4</f>
        <v>5383.3245113514067</v>
      </c>
    </row>
    <row r="5" spans="1:9" x14ac:dyDescent="0.2">
      <c r="A5" s="65" t="s">
        <v>76</v>
      </c>
      <c r="B5" s="65">
        <v>23422</v>
      </c>
      <c r="C5" s="66">
        <v>28562612.260000002</v>
      </c>
      <c r="D5" s="66">
        <v>10512863.67</v>
      </c>
      <c r="E5" s="66">
        <v>12211830.220000001</v>
      </c>
      <c r="F5" s="66">
        <v>59496289.030000001</v>
      </c>
      <c r="G5" s="66">
        <v>20367093.5</v>
      </c>
      <c r="H5" s="66">
        <v>131150688.68000001</v>
      </c>
      <c r="I5" s="6">
        <f t="shared" ref="I5:I10" si="0">H5/B5</f>
        <v>5599.4658304158484</v>
      </c>
    </row>
    <row r="6" spans="1:9" x14ac:dyDescent="0.2">
      <c r="A6" s="65" t="s">
        <v>77</v>
      </c>
      <c r="B6" s="65">
        <v>12312</v>
      </c>
      <c r="C6" s="66">
        <v>15745050.67</v>
      </c>
      <c r="D6" s="66">
        <v>6556260.0199999996</v>
      </c>
      <c r="E6" s="66">
        <v>6817455.3300000001</v>
      </c>
      <c r="F6" s="66">
        <v>31067460.949999999</v>
      </c>
      <c r="G6" s="66">
        <v>15479940.380000001</v>
      </c>
      <c r="H6" s="66">
        <v>75666167.349999994</v>
      </c>
      <c r="I6" s="6">
        <f t="shared" si="0"/>
        <v>6145.7250934048079</v>
      </c>
    </row>
    <row r="7" spans="1:9" x14ac:dyDescent="0.2">
      <c r="A7" s="65" t="s">
        <v>78</v>
      </c>
      <c r="B7" s="65">
        <v>15008</v>
      </c>
      <c r="C7" s="66">
        <v>20237351.350000001</v>
      </c>
      <c r="D7" s="66">
        <v>7738635.2199999997</v>
      </c>
      <c r="E7" s="66">
        <v>8175349.2300000004</v>
      </c>
      <c r="F7" s="66">
        <v>39169425.119999997</v>
      </c>
      <c r="G7" s="66">
        <v>13742892.16</v>
      </c>
      <c r="H7" s="66">
        <v>89063653.079999983</v>
      </c>
      <c r="I7" s="6">
        <f t="shared" si="0"/>
        <v>5934.4118523454144</v>
      </c>
    </row>
    <row r="8" spans="1:9" x14ac:dyDescent="0.2">
      <c r="A8" s="65" t="s">
        <v>79</v>
      </c>
      <c r="B8" s="65">
        <v>5864</v>
      </c>
      <c r="C8" s="66">
        <v>10087614.01</v>
      </c>
      <c r="D8" s="66">
        <v>4119903.17</v>
      </c>
      <c r="E8" s="66">
        <v>3773451.16</v>
      </c>
      <c r="F8" s="66">
        <v>15276839.109999999</v>
      </c>
      <c r="G8" s="66">
        <v>5290687.22</v>
      </c>
      <c r="H8" s="66">
        <v>38548494.670000002</v>
      </c>
      <c r="I8" s="6">
        <f t="shared" si="0"/>
        <v>6573.7542070259215</v>
      </c>
    </row>
    <row r="9" spans="1:9" x14ac:dyDescent="0.2">
      <c r="A9" s="67" t="s">
        <v>80</v>
      </c>
      <c r="B9" s="67">
        <v>1573</v>
      </c>
      <c r="C9" s="68">
        <v>2894929.45</v>
      </c>
      <c r="D9" s="68">
        <v>1067034.71</v>
      </c>
      <c r="E9" s="68">
        <v>921304.28</v>
      </c>
      <c r="F9" s="68">
        <v>3868686.67</v>
      </c>
      <c r="G9" s="68">
        <v>504626.81</v>
      </c>
      <c r="H9" s="68">
        <v>9256581.9199999999</v>
      </c>
      <c r="I9" s="6">
        <f t="shared" si="0"/>
        <v>5884.6674634456449</v>
      </c>
    </row>
    <row r="10" spans="1:9" ht="13.5" thickBot="1" x14ac:dyDescent="0.25">
      <c r="A10" s="69" t="s">
        <v>171</v>
      </c>
      <c r="B10" s="70">
        <v>97205</v>
      </c>
      <c r="C10" s="69">
        <v>138401070.52999997</v>
      </c>
      <c r="D10" s="69">
        <v>47349970.880000003</v>
      </c>
      <c r="E10" s="69">
        <v>53579790.75999999</v>
      </c>
      <c r="F10" s="69">
        <v>241725578.28</v>
      </c>
      <c r="G10" s="69">
        <v>72718797.63000001</v>
      </c>
      <c r="H10" s="69">
        <v>553775208.07999992</v>
      </c>
      <c r="I10" s="8">
        <f t="shared" si="0"/>
        <v>5696.9827486240411</v>
      </c>
    </row>
    <row r="11" spans="1:9" ht="13.5" thickTop="1" x14ac:dyDescent="0.2">
      <c r="A11" s="65"/>
      <c r="B11" s="65"/>
      <c r="C11" s="66"/>
      <c r="D11" s="66"/>
      <c r="E11" s="66"/>
      <c r="F11" s="66"/>
      <c r="G11" s="66"/>
      <c r="H11" s="66"/>
      <c r="I11" s="6"/>
    </row>
    <row r="12" spans="1:9" x14ac:dyDescent="0.2">
      <c r="A12" s="65"/>
      <c r="B12" s="65"/>
      <c r="C12" s="66"/>
      <c r="D12" s="66"/>
      <c r="E12" s="66"/>
      <c r="F12" s="66"/>
      <c r="G12" s="66"/>
      <c r="H12" s="66"/>
      <c r="I12" s="6"/>
    </row>
    <row r="13" spans="1:9" x14ac:dyDescent="0.2">
      <c r="A13" s="65" t="s">
        <v>81</v>
      </c>
      <c r="B13" s="65">
        <v>22638</v>
      </c>
      <c r="C13" s="66">
        <v>41859198.079999998</v>
      </c>
      <c r="D13" s="66">
        <v>15689580.630000001</v>
      </c>
      <c r="E13" s="66">
        <v>13816078.380000001</v>
      </c>
      <c r="F13" s="66">
        <v>64234874.409999996</v>
      </c>
      <c r="G13" s="66">
        <v>7905473.1500000004</v>
      </c>
      <c r="H13" s="66">
        <v>143505204.65000001</v>
      </c>
      <c r="I13" s="6">
        <f t="shared" ref="I13:I18" si="1">H13/B13</f>
        <v>6339.1291037194105</v>
      </c>
    </row>
    <row r="14" spans="1:9" x14ac:dyDescent="0.2">
      <c r="A14" s="65" t="s">
        <v>82</v>
      </c>
      <c r="B14" s="65">
        <v>10487</v>
      </c>
      <c r="C14" s="66">
        <v>14010782.689999999</v>
      </c>
      <c r="D14" s="66">
        <v>6408400.2000000002</v>
      </c>
      <c r="E14" s="66">
        <v>5726610.2400000002</v>
      </c>
      <c r="F14" s="66">
        <v>33412550.289999999</v>
      </c>
      <c r="G14" s="66">
        <v>5136438.3899999997</v>
      </c>
      <c r="H14" s="66">
        <v>64694781.810000002</v>
      </c>
      <c r="I14" s="6">
        <f t="shared" si="1"/>
        <v>6169.0456574806904</v>
      </c>
    </row>
    <row r="15" spans="1:9" x14ac:dyDescent="0.2">
      <c r="A15" s="65" t="s">
        <v>83</v>
      </c>
      <c r="B15" s="65">
        <v>5204</v>
      </c>
      <c r="C15" s="66">
        <v>9059017.3200000003</v>
      </c>
      <c r="D15" s="66">
        <v>3766343.25</v>
      </c>
      <c r="E15" s="66">
        <v>3173152.22</v>
      </c>
      <c r="F15" s="66">
        <v>16415165.689999999</v>
      </c>
      <c r="G15" s="66">
        <v>2836413.67</v>
      </c>
      <c r="H15" s="66">
        <v>35250092.149999999</v>
      </c>
      <c r="I15" s="6">
        <f t="shared" si="1"/>
        <v>6773.6533724058418</v>
      </c>
    </row>
    <row r="16" spans="1:9" x14ac:dyDescent="0.2">
      <c r="A16" s="65" t="s">
        <v>84</v>
      </c>
      <c r="B16" s="65">
        <v>5174</v>
      </c>
      <c r="C16" s="66">
        <v>10314636.24</v>
      </c>
      <c r="D16" s="66">
        <v>3934156.51</v>
      </c>
      <c r="E16" s="66">
        <v>4291935.0199999996</v>
      </c>
      <c r="F16" s="66">
        <v>20247507.210000001</v>
      </c>
      <c r="G16" s="66">
        <v>6658861.1399999997</v>
      </c>
      <c r="H16" s="66">
        <v>45447096.120000005</v>
      </c>
      <c r="I16" s="6">
        <f t="shared" si="1"/>
        <v>8783.7449014302292</v>
      </c>
    </row>
    <row r="17" spans="1:9" x14ac:dyDescent="0.2">
      <c r="A17" s="67" t="s">
        <v>85</v>
      </c>
      <c r="B17" s="67">
        <v>1446</v>
      </c>
      <c r="C17" s="68">
        <v>4237293.13</v>
      </c>
      <c r="D17" s="68">
        <v>1569910.07</v>
      </c>
      <c r="E17" s="68">
        <v>1575779.48</v>
      </c>
      <c r="F17" s="68">
        <v>7579184.0599999996</v>
      </c>
      <c r="G17" s="68">
        <v>1797950.08</v>
      </c>
      <c r="H17" s="68">
        <v>16760116.819999998</v>
      </c>
      <c r="I17" s="6">
        <f t="shared" si="1"/>
        <v>11590.675532503457</v>
      </c>
    </row>
    <row r="18" spans="1:9" ht="13.5" thickBot="1" x14ac:dyDescent="0.25">
      <c r="A18" s="69" t="s">
        <v>172</v>
      </c>
      <c r="B18" s="70">
        <v>44949</v>
      </c>
      <c r="C18" s="69">
        <v>79480927.459999993</v>
      </c>
      <c r="D18" s="69">
        <v>31368390.660000004</v>
      </c>
      <c r="E18" s="69">
        <v>28583555.34</v>
      </c>
      <c r="F18" s="69">
        <v>141889281.66</v>
      </c>
      <c r="G18" s="69">
        <v>24335136.43</v>
      </c>
      <c r="H18" s="69">
        <v>305657291.55000001</v>
      </c>
      <c r="I18" s="8">
        <f t="shared" si="1"/>
        <v>6800.0910264966969</v>
      </c>
    </row>
    <row r="19" spans="1:9" ht="13.5" thickTop="1" x14ac:dyDescent="0.2">
      <c r="A19" s="65"/>
      <c r="B19" s="65"/>
      <c r="C19" s="66"/>
      <c r="D19" s="66"/>
      <c r="E19" s="66"/>
      <c r="F19" s="66"/>
      <c r="G19" s="66"/>
      <c r="H19" s="66"/>
      <c r="I19" s="6"/>
    </row>
    <row r="20" spans="1:9" x14ac:dyDescent="0.2">
      <c r="A20" s="65"/>
      <c r="B20" s="65"/>
      <c r="C20" s="66"/>
      <c r="D20" s="66"/>
      <c r="E20" s="66"/>
      <c r="F20" s="66"/>
      <c r="G20" s="66"/>
      <c r="H20" s="66"/>
      <c r="I20" s="6"/>
    </row>
    <row r="21" spans="1:9" x14ac:dyDescent="0.2">
      <c r="A21" s="65" t="s">
        <v>86</v>
      </c>
      <c r="B21" s="65">
        <v>12615</v>
      </c>
      <c r="C21" s="66">
        <v>16803046.309999999</v>
      </c>
      <c r="D21" s="66">
        <v>7209529.2699999996</v>
      </c>
      <c r="E21" s="66">
        <v>6723568.2199999997</v>
      </c>
      <c r="F21" s="66">
        <v>35165776.149999999</v>
      </c>
      <c r="G21" s="66">
        <v>5306701.46</v>
      </c>
      <c r="H21" s="66">
        <v>71208621.409999996</v>
      </c>
      <c r="I21" s="6">
        <f>H21/B21</f>
        <v>5644.7579397542604</v>
      </c>
    </row>
    <row r="22" spans="1:9" x14ac:dyDescent="0.2">
      <c r="A22" s="67" t="s">
        <v>87</v>
      </c>
      <c r="B22" s="67">
        <v>6984</v>
      </c>
      <c r="C22" s="68">
        <v>16031681.279999999</v>
      </c>
      <c r="D22" s="68">
        <v>6382621.1399999997</v>
      </c>
      <c r="E22" s="68">
        <v>5548422.7699999996</v>
      </c>
      <c r="F22" s="68">
        <v>23089377.73</v>
      </c>
      <c r="G22" s="68">
        <v>4591815.18</v>
      </c>
      <c r="H22" s="68">
        <v>55643918.100000001</v>
      </c>
      <c r="I22" s="6">
        <f>H22/B22</f>
        <v>7967.3422250859112</v>
      </c>
    </row>
    <row r="23" spans="1:9" ht="13.5" thickBot="1" x14ac:dyDescent="0.25">
      <c r="A23" s="69" t="s">
        <v>173</v>
      </c>
      <c r="B23" s="70">
        <v>19599</v>
      </c>
      <c r="C23" s="69">
        <v>32834727.589999996</v>
      </c>
      <c r="D23" s="69">
        <v>13592150.41</v>
      </c>
      <c r="E23" s="69">
        <v>12271990.989999998</v>
      </c>
      <c r="F23" s="69">
        <v>58255153.879999995</v>
      </c>
      <c r="G23" s="69">
        <v>9898516.6400000006</v>
      </c>
      <c r="H23" s="69">
        <v>126852539.50999999</v>
      </c>
      <c r="I23" s="8">
        <f>H23/B23</f>
        <v>6472.3985667636098</v>
      </c>
    </row>
    <row r="24" spans="1:9" ht="13.5" thickTop="1" x14ac:dyDescent="0.2">
      <c r="A24" s="65"/>
      <c r="B24" s="65"/>
      <c r="C24" s="66"/>
      <c r="D24" s="66"/>
      <c r="E24" s="66"/>
      <c r="F24" s="66"/>
      <c r="G24" s="66"/>
      <c r="H24" s="66"/>
      <c r="I24" s="6"/>
    </row>
    <row r="25" spans="1:9" ht="13.5" thickBot="1" x14ac:dyDescent="0.25">
      <c r="A25" s="70" t="s">
        <v>174</v>
      </c>
      <c r="B25" s="69">
        <v>161753</v>
      </c>
      <c r="C25" s="69">
        <v>250716725.57999995</v>
      </c>
      <c r="D25" s="69">
        <v>92310511.950000018</v>
      </c>
      <c r="E25" s="69">
        <v>94435337.089999989</v>
      </c>
      <c r="F25" s="69">
        <v>441870013.81999999</v>
      </c>
      <c r="G25" s="69">
        <v>106952450.70000002</v>
      </c>
      <c r="H25" s="69">
        <v>986285039.13999987</v>
      </c>
      <c r="I25" s="8">
        <f>H25/B25</f>
        <v>6097.4760229485692</v>
      </c>
    </row>
    <row r="26" spans="1:9" ht="13.5" thickTop="1" x14ac:dyDescent="0.2">
      <c r="A26" s="65"/>
      <c r="B26" s="66"/>
      <c r="C26" s="66"/>
      <c r="D26" s="66"/>
      <c r="E26" s="66"/>
      <c r="F26" s="66"/>
      <c r="G26" s="66"/>
      <c r="H26" s="66"/>
      <c r="I26" s="6"/>
    </row>
    <row r="27" spans="1:9" x14ac:dyDescent="0.2">
      <c r="A27" s="36" t="s">
        <v>200</v>
      </c>
      <c r="B27" s="66"/>
      <c r="C27" s="66"/>
      <c r="D27" s="66"/>
      <c r="E27" s="66"/>
      <c r="F27" s="66"/>
      <c r="G27" s="66"/>
      <c r="H27" s="66"/>
      <c r="I27" s="6"/>
    </row>
    <row r="28" spans="1:9" x14ac:dyDescent="0.2">
      <c r="A28" s="36" t="s">
        <v>296</v>
      </c>
      <c r="B28" s="66"/>
      <c r="C28" s="66"/>
      <c r="D28" s="66"/>
      <c r="E28" s="66"/>
      <c r="F28" s="66"/>
      <c r="G28" s="66"/>
      <c r="H28" s="66"/>
      <c r="I28" s="6"/>
    </row>
    <row r="29" spans="1:9" ht="33.75" x14ac:dyDescent="0.2">
      <c r="A29" s="169" t="s">
        <v>88</v>
      </c>
      <c r="B29" s="170" t="s">
        <v>180</v>
      </c>
      <c r="C29" s="171" t="s">
        <v>437</v>
      </c>
      <c r="D29" s="171" t="s">
        <v>185</v>
      </c>
      <c r="E29" s="171" t="s">
        <v>186</v>
      </c>
      <c r="F29" s="171" t="s">
        <v>187</v>
      </c>
      <c r="G29" s="171" t="s">
        <v>188</v>
      </c>
      <c r="H29" s="170" t="s">
        <v>113</v>
      </c>
      <c r="I29" s="6"/>
    </row>
    <row r="30" spans="1:9" x14ac:dyDescent="0.2">
      <c r="A30" s="65" t="s">
        <v>102</v>
      </c>
      <c r="B30" s="65">
        <v>39026</v>
      </c>
      <c r="C30" s="66">
        <v>1559.82</v>
      </c>
      <c r="D30" s="66">
        <v>444.71</v>
      </c>
      <c r="E30" s="66">
        <v>555.54</v>
      </c>
      <c r="F30" s="66">
        <v>2379.1</v>
      </c>
      <c r="G30" s="66">
        <v>444.15</v>
      </c>
      <c r="H30" s="66">
        <v>5383.3245113514067</v>
      </c>
      <c r="I30" s="6"/>
    </row>
    <row r="31" spans="1:9" x14ac:dyDescent="0.2">
      <c r="A31" s="65" t="s">
        <v>76</v>
      </c>
      <c r="B31" s="65">
        <v>23422</v>
      </c>
      <c r="C31" s="66">
        <v>1219.48</v>
      </c>
      <c r="D31" s="66">
        <v>448.85</v>
      </c>
      <c r="E31" s="66">
        <v>521.38</v>
      </c>
      <c r="F31" s="66">
        <v>2540.19</v>
      </c>
      <c r="G31" s="66">
        <v>869.57</v>
      </c>
      <c r="H31" s="66">
        <v>5599.4658304158484</v>
      </c>
      <c r="I31" s="6"/>
    </row>
    <row r="32" spans="1:9" x14ac:dyDescent="0.2">
      <c r="A32" s="65" t="s">
        <v>77</v>
      </c>
      <c r="B32" s="65">
        <v>12312</v>
      </c>
      <c r="C32" s="66">
        <v>1278.8399999999999</v>
      </c>
      <c r="D32" s="66">
        <v>532.51</v>
      </c>
      <c r="E32" s="66">
        <v>553.72</v>
      </c>
      <c r="F32" s="66">
        <v>2523.35</v>
      </c>
      <c r="G32" s="66">
        <v>1257.31</v>
      </c>
      <c r="H32" s="66">
        <v>6145.7250934048079</v>
      </c>
      <c r="I32" s="6"/>
    </row>
    <row r="33" spans="1:9" x14ac:dyDescent="0.2">
      <c r="A33" s="65" t="s">
        <v>78</v>
      </c>
      <c r="B33" s="65">
        <v>15008</v>
      </c>
      <c r="C33" s="66">
        <v>1348.44</v>
      </c>
      <c r="D33" s="66">
        <v>515.63</v>
      </c>
      <c r="E33" s="66">
        <v>544.73</v>
      </c>
      <c r="F33" s="66">
        <v>2609.9</v>
      </c>
      <c r="G33" s="66">
        <v>915.7</v>
      </c>
      <c r="H33" s="66">
        <v>5934.4118523454144</v>
      </c>
      <c r="I33" s="6"/>
    </row>
    <row r="34" spans="1:9" x14ac:dyDescent="0.2">
      <c r="A34" s="65" t="s">
        <v>79</v>
      </c>
      <c r="B34" s="65">
        <v>5864</v>
      </c>
      <c r="C34" s="66">
        <v>1720.26</v>
      </c>
      <c r="D34" s="66">
        <v>702.58</v>
      </c>
      <c r="E34" s="66">
        <v>643.49</v>
      </c>
      <c r="F34" s="66">
        <v>2605.19</v>
      </c>
      <c r="G34" s="66">
        <v>902.23</v>
      </c>
      <c r="H34" s="66">
        <v>6573.7542070259215</v>
      </c>
      <c r="I34" s="6"/>
    </row>
    <row r="35" spans="1:9" x14ac:dyDescent="0.2">
      <c r="A35" s="67" t="s">
        <v>80</v>
      </c>
      <c r="B35" s="67">
        <v>1573</v>
      </c>
      <c r="C35" s="68">
        <v>1840.39</v>
      </c>
      <c r="D35" s="68">
        <v>678.34</v>
      </c>
      <c r="E35" s="68">
        <v>585.70000000000005</v>
      </c>
      <c r="F35" s="68">
        <v>2459.4299999999998</v>
      </c>
      <c r="G35" s="68">
        <v>320.81</v>
      </c>
      <c r="H35" s="68">
        <v>5884.6674634456449</v>
      </c>
      <c r="I35" s="6"/>
    </row>
    <row r="36" spans="1:9" ht="13.5" thickBot="1" x14ac:dyDescent="0.25">
      <c r="A36" s="69" t="s">
        <v>134</v>
      </c>
      <c r="B36" s="70">
        <v>97205</v>
      </c>
      <c r="C36" s="69">
        <v>1423.8060853865538</v>
      </c>
      <c r="D36" s="69">
        <v>487.11456077362277</v>
      </c>
      <c r="E36" s="69">
        <v>551.20406110796762</v>
      </c>
      <c r="F36" s="69">
        <v>2486.7607456406563</v>
      </c>
      <c r="G36" s="69">
        <v>748.0972957152411</v>
      </c>
      <c r="H36" s="69">
        <v>5696.9827486240411</v>
      </c>
      <c r="I36" s="6"/>
    </row>
    <row r="37" spans="1:9" ht="13.5" thickTop="1" x14ac:dyDescent="0.2">
      <c r="A37" s="65"/>
      <c r="B37" s="65"/>
      <c r="C37" s="66"/>
      <c r="D37" s="66"/>
      <c r="E37" s="66"/>
      <c r="F37" s="66"/>
      <c r="G37" s="66"/>
      <c r="H37" s="66"/>
      <c r="I37" s="6"/>
    </row>
    <row r="38" spans="1:9" x14ac:dyDescent="0.2">
      <c r="A38" s="65"/>
      <c r="B38" s="65"/>
      <c r="C38" s="66"/>
      <c r="D38" s="66"/>
      <c r="E38" s="66"/>
      <c r="F38" s="66"/>
      <c r="G38" s="66"/>
      <c r="H38" s="66"/>
      <c r="I38" s="6"/>
    </row>
    <row r="39" spans="1:9" x14ac:dyDescent="0.2">
      <c r="A39" s="65" t="s">
        <v>81</v>
      </c>
      <c r="B39" s="65">
        <v>22638</v>
      </c>
      <c r="C39" s="66">
        <v>1849.07</v>
      </c>
      <c r="D39" s="66">
        <v>693.06</v>
      </c>
      <c r="E39" s="66">
        <v>610.29999999999995</v>
      </c>
      <c r="F39" s="66">
        <v>2837.48</v>
      </c>
      <c r="G39" s="66">
        <v>349.21</v>
      </c>
      <c r="H39" s="66">
        <v>6339.1291037194105</v>
      </c>
      <c r="I39" s="6"/>
    </row>
    <row r="40" spans="1:9" x14ac:dyDescent="0.2">
      <c r="A40" s="65" t="s">
        <v>82</v>
      </c>
      <c r="B40" s="65">
        <v>10487</v>
      </c>
      <c r="C40" s="66">
        <v>1336.01</v>
      </c>
      <c r="D40" s="66">
        <v>611.08000000000004</v>
      </c>
      <c r="E40" s="66">
        <v>546.07000000000005</v>
      </c>
      <c r="F40" s="66">
        <v>3186.09</v>
      </c>
      <c r="G40" s="66">
        <v>489.79</v>
      </c>
      <c r="H40" s="66">
        <v>6169.0456574806904</v>
      </c>
      <c r="I40" s="6"/>
    </row>
    <row r="41" spans="1:9" x14ac:dyDescent="0.2">
      <c r="A41" s="65" t="s">
        <v>83</v>
      </c>
      <c r="B41" s="65">
        <v>5204</v>
      </c>
      <c r="C41" s="66">
        <v>1740.78</v>
      </c>
      <c r="D41" s="66">
        <v>723.74</v>
      </c>
      <c r="E41" s="66">
        <v>609.75</v>
      </c>
      <c r="F41" s="66">
        <v>3154.34</v>
      </c>
      <c r="G41" s="66">
        <v>545.04</v>
      </c>
      <c r="H41" s="66">
        <v>6773.6533724058418</v>
      </c>
      <c r="I41" s="6"/>
    </row>
    <row r="42" spans="1:9" x14ac:dyDescent="0.2">
      <c r="A42" s="65" t="s">
        <v>84</v>
      </c>
      <c r="B42" s="65">
        <v>5174</v>
      </c>
      <c r="C42" s="66">
        <v>1993.55</v>
      </c>
      <c r="D42" s="66">
        <v>760.37</v>
      </c>
      <c r="E42" s="66">
        <v>829.52</v>
      </c>
      <c r="F42" s="66">
        <v>3913.32</v>
      </c>
      <c r="G42" s="66">
        <v>1286.99</v>
      </c>
      <c r="H42" s="66">
        <v>8783.7449014302292</v>
      </c>
      <c r="I42" s="6"/>
    </row>
    <row r="43" spans="1:9" x14ac:dyDescent="0.2">
      <c r="A43" s="67" t="s">
        <v>85</v>
      </c>
      <c r="B43" s="67">
        <v>1446</v>
      </c>
      <c r="C43" s="68">
        <v>2930.35</v>
      </c>
      <c r="D43" s="68">
        <v>1085.69</v>
      </c>
      <c r="E43" s="68">
        <v>1089.75</v>
      </c>
      <c r="F43" s="68">
        <v>5241.4799999999996</v>
      </c>
      <c r="G43" s="68">
        <v>1243.4000000000001</v>
      </c>
      <c r="H43" s="68">
        <v>11590.675532503457</v>
      </c>
      <c r="I43" s="6"/>
    </row>
    <row r="44" spans="1:9" ht="13.5" thickBot="1" x14ac:dyDescent="0.25">
      <c r="A44" s="69" t="s">
        <v>135</v>
      </c>
      <c r="B44" s="70">
        <v>44949</v>
      </c>
      <c r="C44" s="69">
        <v>1768.2468455360518</v>
      </c>
      <c r="D44" s="69">
        <v>697.86626309817802</v>
      </c>
      <c r="E44" s="69">
        <v>635.91081759327233</v>
      </c>
      <c r="F44" s="69">
        <v>3156.6727104051256</v>
      </c>
      <c r="G44" s="69">
        <v>541.3943898640681</v>
      </c>
      <c r="H44" s="71">
        <v>6800.0910264966969</v>
      </c>
      <c r="I44" s="6"/>
    </row>
    <row r="45" spans="1:9" ht="13.5" thickTop="1" x14ac:dyDescent="0.2">
      <c r="A45" s="65"/>
      <c r="B45" s="65"/>
      <c r="C45" s="66"/>
      <c r="D45" s="66"/>
      <c r="E45" s="66"/>
      <c r="F45" s="66"/>
      <c r="G45" s="66"/>
      <c r="H45" s="66"/>
    </row>
    <row r="46" spans="1:9" x14ac:dyDescent="0.2">
      <c r="A46" s="65"/>
      <c r="B46" s="65"/>
      <c r="C46" s="66"/>
      <c r="D46" s="66"/>
      <c r="E46" s="66"/>
      <c r="F46" s="66"/>
      <c r="G46" s="66"/>
      <c r="H46" s="66"/>
    </row>
    <row r="47" spans="1:9" x14ac:dyDescent="0.2">
      <c r="A47" s="65" t="s">
        <v>86</v>
      </c>
      <c r="B47" s="65">
        <v>12615</v>
      </c>
      <c r="C47" s="66">
        <v>1331.99</v>
      </c>
      <c r="D47" s="66">
        <v>571.5</v>
      </c>
      <c r="E47" s="66">
        <v>532.98</v>
      </c>
      <c r="F47" s="66">
        <v>2787.62</v>
      </c>
      <c r="G47" s="66">
        <v>420.67</v>
      </c>
      <c r="H47" s="66">
        <v>5644.76</v>
      </c>
    </row>
    <row r="48" spans="1:9" x14ac:dyDescent="0.2">
      <c r="A48" s="67" t="s">
        <v>87</v>
      </c>
      <c r="B48" s="67">
        <v>6984</v>
      </c>
      <c r="C48" s="68">
        <v>2295.4899999999998</v>
      </c>
      <c r="D48" s="68">
        <v>913.89</v>
      </c>
      <c r="E48" s="68">
        <v>794.45</v>
      </c>
      <c r="F48" s="68">
        <v>3306.04</v>
      </c>
      <c r="G48" s="68">
        <v>657.48</v>
      </c>
      <c r="H48" s="68">
        <v>7967.35</v>
      </c>
    </row>
    <row r="49" spans="1:8" ht="13.5" thickBot="1" x14ac:dyDescent="0.25">
      <c r="A49" s="69" t="s">
        <v>136</v>
      </c>
      <c r="B49" s="70">
        <v>19599</v>
      </c>
      <c r="C49" s="69">
        <v>1675.3266794224194</v>
      </c>
      <c r="D49" s="69">
        <v>693.51244502270526</v>
      </c>
      <c r="E49" s="69">
        <v>626.15393591509758</v>
      </c>
      <c r="F49" s="69">
        <v>2972.3533792540434</v>
      </c>
      <c r="G49" s="69">
        <v>505.05212714934436</v>
      </c>
      <c r="H49" s="69">
        <v>6472.3985667636098</v>
      </c>
    </row>
    <row r="50" spans="1:8" ht="14.25" thickTop="1" thickBot="1" x14ac:dyDescent="0.25">
      <c r="A50" s="72"/>
      <c r="B50" s="72"/>
      <c r="C50" s="73"/>
      <c r="D50" s="73"/>
      <c r="E50" s="73"/>
      <c r="F50" s="73"/>
      <c r="G50" s="73"/>
      <c r="H50" s="73"/>
    </row>
    <row r="51" spans="1:8" ht="13.5" thickBot="1" x14ac:dyDescent="0.25">
      <c r="A51" s="74" t="s">
        <v>137</v>
      </c>
      <c r="B51" s="74">
        <v>161753</v>
      </c>
      <c r="C51" s="71">
        <v>1549.9973761228537</v>
      </c>
      <c r="D51" s="71">
        <v>570.68809821147067</v>
      </c>
      <c r="E51" s="71">
        <v>583.82433148071436</v>
      </c>
      <c r="F51" s="71">
        <v>2731.757765358293</v>
      </c>
      <c r="G51" s="71">
        <v>661.20845177523768</v>
      </c>
      <c r="H51" s="71">
        <v>6097.4760229485692</v>
      </c>
    </row>
    <row r="52" spans="1:8" ht="13.5" thickTop="1" x14ac:dyDescent="0.2">
      <c r="A52" s="65"/>
      <c r="B52" s="65"/>
      <c r="C52" s="66"/>
      <c r="D52" s="66"/>
      <c r="E52" s="66"/>
      <c r="F52" s="66"/>
      <c r="G52" s="66"/>
      <c r="H52" s="66"/>
    </row>
    <row r="53" spans="1:8" x14ac:dyDescent="0.2">
      <c r="A53" s="65"/>
      <c r="B53" s="65"/>
      <c r="C53" s="66"/>
      <c r="D53" s="66"/>
      <c r="E53" s="66"/>
      <c r="F53" s="66"/>
      <c r="G53" s="66"/>
      <c r="H53" s="66"/>
    </row>
    <row r="54" spans="1:8" x14ac:dyDescent="0.2">
      <c r="A54" s="65"/>
      <c r="B54" s="65"/>
      <c r="C54" s="66"/>
      <c r="D54" s="66"/>
      <c r="E54" s="66"/>
      <c r="F54" s="66"/>
      <c r="G54" s="66"/>
      <c r="H54" s="66"/>
    </row>
    <row r="55" spans="1:8" x14ac:dyDescent="0.2">
      <c r="A55" s="36" t="s">
        <v>200</v>
      </c>
      <c r="B55" s="65"/>
      <c r="C55" s="66"/>
      <c r="D55" s="66"/>
      <c r="E55" s="66"/>
      <c r="F55" s="66"/>
      <c r="G55" s="66"/>
      <c r="H55" s="66"/>
    </row>
    <row r="56" spans="1:8" x14ac:dyDescent="0.2">
      <c r="A56" s="36" t="s">
        <v>296</v>
      </c>
      <c r="B56" s="65"/>
      <c r="C56" s="66"/>
      <c r="D56" s="66"/>
      <c r="E56" s="66"/>
      <c r="F56" s="66"/>
      <c r="G56" s="66"/>
      <c r="H56" s="66"/>
    </row>
    <row r="57" spans="1:8" ht="33.75" x14ac:dyDescent="0.2">
      <c r="A57" s="169" t="s">
        <v>88</v>
      </c>
      <c r="B57" s="170"/>
      <c r="C57" s="171" t="s">
        <v>437</v>
      </c>
      <c r="D57" s="171" t="s">
        <v>185</v>
      </c>
      <c r="E57" s="171" t="s">
        <v>186</v>
      </c>
      <c r="F57" s="171" t="s">
        <v>187</v>
      </c>
      <c r="G57" s="171" t="s">
        <v>188</v>
      </c>
      <c r="H57" s="64"/>
    </row>
    <row r="58" spans="1:8" x14ac:dyDescent="0.2">
      <c r="A58" s="65" t="s">
        <v>102</v>
      </c>
      <c r="B58" s="65"/>
      <c r="C58" s="75">
        <v>0.28975032003196655</v>
      </c>
      <c r="D58" s="75">
        <v>8.2608804106509615E-2</v>
      </c>
      <c r="E58" s="75">
        <v>0.1031964539437619</v>
      </c>
      <c r="F58" s="75">
        <v>0.44193880472621944</v>
      </c>
      <c r="G58" s="75">
        <v>8.2504779168236037E-2</v>
      </c>
      <c r="H58" s="75"/>
    </row>
    <row r="59" spans="1:8" x14ac:dyDescent="0.2">
      <c r="A59" s="65" t="s">
        <v>76</v>
      </c>
      <c r="B59" s="65"/>
      <c r="C59" s="75">
        <v>0.21778505967049261</v>
      </c>
      <c r="D59" s="75">
        <v>8.0159431916145094E-2</v>
      </c>
      <c r="E59" s="75">
        <v>9.3112453185785288E-2</v>
      </c>
      <c r="F59" s="75">
        <v>0.45364862951781798</v>
      </c>
      <c r="G59" s="75">
        <v>0.15529517034938684</v>
      </c>
      <c r="H59" s="75"/>
    </row>
    <row r="60" spans="1:8" x14ac:dyDescent="0.2">
      <c r="A60" s="65" t="s">
        <v>77</v>
      </c>
      <c r="B60" s="65"/>
      <c r="C60" s="75">
        <v>0.20808610547392817</v>
      </c>
      <c r="D60" s="75">
        <v>8.6647220939227346E-2</v>
      </c>
      <c r="E60" s="75">
        <v>9.0098400365193079E-2</v>
      </c>
      <c r="F60" s="75">
        <v>0.41058621426264164</v>
      </c>
      <c r="G60" s="75">
        <v>0.20458285733432222</v>
      </c>
      <c r="H60" s="75"/>
    </row>
    <row r="61" spans="1:8" x14ac:dyDescent="0.2">
      <c r="A61" s="65" t="s">
        <v>78</v>
      </c>
      <c r="B61" s="65"/>
      <c r="C61" s="75">
        <v>0.22722386540581371</v>
      </c>
      <c r="D61" s="75">
        <v>8.6888138678176047E-2</v>
      </c>
      <c r="E61" s="75">
        <v>9.1791741718214304E-2</v>
      </c>
      <c r="F61" s="75">
        <v>0.43979084447408351</v>
      </c>
      <c r="G61" s="75">
        <v>0.15430341250044763</v>
      </c>
      <c r="H61" s="75"/>
    </row>
    <row r="62" spans="1:8" x14ac:dyDescent="0.2">
      <c r="A62" s="65" t="s">
        <v>79</v>
      </c>
      <c r="B62" s="65"/>
      <c r="C62" s="75">
        <v>0.26168608466702542</v>
      </c>
      <c r="D62" s="75">
        <v>0.10687652410993614</v>
      </c>
      <c r="E62" s="75">
        <v>9.7887748725416043E-2</v>
      </c>
      <c r="F62" s="75">
        <v>0.39630170492465561</v>
      </c>
      <c r="G62" s="75">
        <v>0.13724729759985721</v>
      </c>
      <c r="H62" s="75"/>
    </row>
    <row r="63" spans="1:8" x14ac:dyDescent="0.2">
      <c r="A63" s="67" t="s">
        <v>80</v>
      </c>
      <c r="B63" s="67"/>
      <c r="C63" s="75">
        <v>0.31274324529501923</v>
      </c>
      <c r="D63" s="75">
        <v>0.11527244389147048</v>
      </c>
      <c r="E63" s="75">
        <v>9.9529838115449867E-2</v>
      </c>
      <c r="F63" s="75">
        <v>0.4179386541852157</v>
      </c>
      <c r="G63" s="75">
        <v>5.4516249557482452E-2</v>
      </c>
      <c r="H63" s="75"/>
    </row>
    <row r="64" spans="1:8" ht="13.5" thickBot="1" x14ac:dyDescent="0.25">
      <c r="A64" s="69" t="s">
        <v>171</v>
      </c>
      <c r="B64" s="70"/>
      <c r="C64" s="76">
        <v>0.24992283603639792</v>
      </c>
      <c r="D64" s="76">
        <v>8.5503955737143963E-2</v>
      </c>
      <c r="E64" s="76">
        <v>9.6753682682486047E-2</v>
      </c>
      <c r="F64" s="76">
        <v>0.43650487553982309</v>
      </c>
      <c r="G64" s="76">
        <v>0.13131465000414907</v>
      </c>
      <c r="H64" s="75"/>
    </row>
    <row r="65" spans="1:8" ht="13.5" thickTop="1" x14ac:dyDescent="0.2">
      <c r="A65" s="65"/>
      <c r="B65" s="65"/>
      <c r="C65" s="75"/>
      <c r="D65" s="75"/>
      <c r="E65" s="75"/>
      <c r="F65" s="75"/>
      <c r="G65" s="75"/>
      <c r="H65" s="75"/>
    </row>
    <row r="66" spans="1:8" x14ac:dyDescent="0.2">
      <c r="A66" s="65"/>
      <c r="B66" s="65"/>
      <c r="C66" s="75"/>
      <c r="D66" s="75"/>
      <c r="E66" s="75"/>
      <c r="F66" s="75"/>
      <c r="G66" s="75"/>
      <c r="H66" s="75"/>
    </row>
    <row r="67" spans="1:8" x14ac:dyDescent="0.2">
      <c r="A67" s="65" t="s">
        <v>81</v>
      </c>
      <c r="B67" s="65"/>
      <c r="C67" s="75">
        <v>0.29169148785991433</v>
      </c>
      <c r="D67" s="75">
        <v>0.10933047563163764</v>
      </c>
      <c r="E67" s="75">
        <v>9.627505450897246E-2</v>
      </c>
      <c r="F67" s="75">
        <v>0.44761353706065737</v>
      </c>
      <c r="G67" s="75">
        <v>5.5088008823657664E-2</v>
      </c>
      <c r="H67" s="75"/>
    </row>
    <row r="68" spans="1:8" x14ac:dyDescent="0.2">
      <c r="A68" s="65" t="s">
        <v>82</v>
      </c>
      <c r="B68" s="65"/>
      <c r="C68" s="75">
        <v>0.21656672266316127</v>
      </c>
      <c r="D68" s="75">
        <v>9.9055840064823306E-2</v>
      </c>
      <c r="E68" s="75">
        <v>8.8517743313801911E-2</v>
      </c>
      <c r="F68" s="75">
        <v>0.51646400057624686</v>
      </c>
      <c r="G68" s="75">
        <v>7.939477630645711E-2</v>
      </c>
      <c r="H68" s="75"/>
    </row>
    <row r="69" spans="1:8" x14ac:dyDescent="0.2">
      <c r="A69" s="65" t="s">
        <v>83</v>
      </c>
      <c r="B69" s="65"/>
      <c r="C69" s="75">
        <v>0.25699277838625451</v>
      </c>
      <c r="D69" s="75">
        <v>0.10684632947831882</v>
      </c>
      <c r="E69" s="75">
        <v>9.0017892336204858E-2</v>
      </c>
      <c r="F69" s="75">
        <v>0.46567779993732583</v>
      </c>
      <c r="G69" s="75">
        <v>8.0464701990857063E-2</v>
      </c>
      <c r="H69" s="75"/>
    </row>
    <row r="70" spans="1:8" x14ac:dyDescent="0.2">
      <c r="A70" s="65" t="s">
        <v>84</v>
      </c>
      <c r="B70" s="65"/>
      <c r="C70" s="75">
        <v>0.22695900465818361</v>
      </c>
      <c r="D70" s="75">
        <v>8.656558319176498E-2</v>
      </c>
      <c r="E70" s="75">
        <v>9.443807957866944E-2</v>
      </c>
      <c r="F70" s="75">
        <v>0.44551840290384648</v>
      </c>
      <c r="G70" s="75">
        <v>0.14651951012266345</v>
      </c>
      <c r="H70" s="75"/>
    </row>
    <row r="71" spans="1:8" x14ac:dyDescent="0.2">
      <c r="A71" s="67" t="s">
        <v>85</v>
      </c>
      <c r="B71" s="67"/>
      <c r="C71" s="77">
        <v>0.25281960415357058</v>
      </c>
      <c r="D71" s="77">
        <v>9.3669259997437179E-2</v>
      </c>
      <c r="E71" s="77">
        <v>9.4019541565462675E-2</v>
      </c>
      <c r="F71" s="77">
        <v>0.45221522984587403</v>
      </c>
      <c r="G71" s="77">
        <v>0.10727588711401358</v>
      </c>
      <c r="H71" s="75"/>
    </row>
    <row r="72" spans="1:8" ht="13.5" thickBot="1" x14ac:dyDescent="0.25">
      <c r="A72" s="69" t="s">
        <v>172</v>
      </c>
      <c r="B72" s="70"/>
      <c r="C72" s="76">
        <v>0.26003281994991551</v>
      </c>
      <c r="D72" s="76">
        <v>0.10262601785460335</v>
      </c>
      <c r="E72" s="76">
        <v>9.3515044889168772E-2</v>
      </c>
      <c r="F72" s="76">
        <v>0.46421036102385754</v>
      </c>
      <c r="G72" s="76">
        <v>7.9615756282454681E-2</v>
      </c>
      <c r="H72" s="75"/>
    </row>
    <row r="73" spans="1:8" ht="13.5" thickTop="1" x14ac:dyDescent="0.2">
      <c r="A73" s="65"/>
      <c r="B73" s="65"/>
      <c r="C73" s="75"/>
      <c r="D73" s="75"/>
      <c r="E73" s="75"/>
      <c r="F73" s="75"/>
      <c r="G73" s="75"/>
      <c r="H73" s="75"/>
    </row>
    <row r="74" spans="1:8" x14ac:dyDescent="0.2">
      <c r="A74" s="65"/>
      <c r="B74" s="65"/>
      <c r="C74" s="75"/>
      <c r="D74" s="75"/>
      <c r="E74" s="75"/>
      <c r="F74" s="75"/>
      <c r="G74" s="75"/>
      <c r="H74" s="75"/>
    </row>
    <row r="75" spans="1:8" x14ac:dyDescent="0.2">
      <c r="A75" s="65" t="s">
        <v>86</v>
      </c>
      <c r="B75" s="65"/>
      <c r="C75" s="75">
        <v>0.23596928833112479</v>
      </c>
      <c r="D75" s="75">
        <v>0.10124433988336085</v>
      </c>
      <c r="E75" s="75">
        <v>9.4420311935316997E-2</v>
      </c>
      <c r="F75" s="75">
        <v>0.49384207654532697</v>
      </c>
      <c r="G75" s="75">
        <v>7.4523983304870353E-2</v>
      </c>
      <c r="H75" s="75"/>
    </row>
    <row r="76" spans="1:8" x14ac:dyDescent="0.2">
      <c r="A76" s="67" t="s">
        <v>87</v>
      </c>
      <c r="B76" s="67"/>
      <c r="C76" s="77">
        <v>0.28811210753889305</v>
      </c>
      <c r="D76" s="77">
        <v>0.11470438728058889</v>
      </c>
      <c r="E76" s="77">
        <v>9.9713204515930645E-2</v>
      </c>
      <c r="F76" s="77">
        <v>0.41494850860072668</v>
      </c>
      <c r="G76" s="77">
        <v>8.2521792063860636E-2</v>
      </c>
      <c r="H76" s="75"/>
    </row>
    <row r="77" spans="1:8" ht="13.5" thickBot="1" x14ac:dyDescent="0.25">
      <c r="A77" s="69" t="s">
        <v>173</v>
      </c>
      <c r="B77" s="70"/>
      <c r="C77" s="76">
        <v>0.25884170483959118</v>
      </c>
      <c r="D77" s="76">
        <v>0.10714921800149306</v>
      </c>
      <c r="E77" s="76">
        <v>9.6742178259920264E-2</v>
      </c>
      <c r="F77" s="76">
        <v>0.45923521992563382</v>
      </c>
      <c r="G77" s="76">
        <v>7.8031678973361704E-2</v>
      </c>
      <c r="H77" s="75"/>
    </row>
    <row r="78" spans="1:8" ht="14.25" thickTop="1" thickBot="1" x14ac:dyDescent="0.25">
      <c r="A78" s="72"/>
      <c r="B78" s="72"/>
      <c r="C78" s="73"/>
      <c r="D78" s="73"/>
      <c r="E78" s="73"/>
      <c r="F78" s="73"/>
      <c r="G78" s="73"/>
      <c r="H78" s="66"/>
    </row>
    <row r="79" spans="1:8" ht="13.5" thickBot="1" x14ac:dyDescent="0.25">
      <c r="A79" s="74" t="s">
        <v>137</v>
      </c>
      <c r="B79" s="74"/>
      <c r="C79" s="78">
        <v>0.25420311130199708</v>
      </c>
      <c r="D79" s="78">
        <v>9.3594152082536908E-2</v>
      </c>
      <c r="E79" s="78">
        <v>9.5748524353916731E-2</v>
      </c>
      <c r="F79" s="78">
        <v>0.44801451536291426</v>
      </c>
      <c r="G79" s="78">
        <v>0.10843969689863507</v>
      </c>
      <c r="H79" s="66"/>
    </row>
    <row r="80" spans="1:8" ht="13.5" thickTop="1" x14ac:dyDescent="0.2">
      <c r="A80" s="79"/>
      <c r="B80" s="79"/>
      <c r="C80" s="79"/>
      <c r="D80" s="79"/>
      <c r="E80" s="79"/>
      <c r="F80" s="79"/>
      <c r="G80" s="79"/>
      <c r="H80" s="79"/>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sheetPr>
  <dimension ref="A1:AQ33"/>
  <sheetViews>
    <sheetView topLeftCell="Q1" zoomScaleNormal="100" workbookViewId="0">
      <selection activeCell="AK28" sqref="AK28"/>
    </sheetView>
  </sheetViews>
  <sheetFormatPr defaultRowHeight="12.75" x14ac:dyDescent="0.2"/>
  <cols>
    <col min="1" max="1" width="19.28515625" customWidth="1"/>
    <col min="2" max="10" width="5.7109375" bestFit="1" customWidth="1"/>
    <col min="11" max="13" width="6.85546875" bestFit="1" customWidth="1"/>
    <col min="14" max="14" width="6" bestFit="1" customWidth="1"/>
    <col min="15" max="16" width="5.7109375" bestFit="1" customWidth="1"/>
    <col min="17" max="21" width="6.85546875" bestFit="1" customWidth="1"/>
    <col min="37" max="37" width="10.7109375" bestFit="1" customWidth="1"/>
  </cols>
  <sheetData>
    <row r="1" spans="1:43" x14ac:dyDescent="0.2">
      <c r="A1" s="132" t="s">
        <v>247</v>
      </c>
      <c r="B1" s="132"/>
      <c r="C1" s="132"/>
      <c r="D1" s="132"/>
      <c r="K1" s="129"/>
      <c r="L1" s="129"/>
      <c r="M1" s="129"/>
      <c r="N1" s="129"/>
      <c r="O1" s="129"/>
    </row>
    <row r="2" spans="1:43" ht="14.25" x14ac:dyDescent="0.2">
      <c r="A2" s="132" t="s">
        <v>433</v>
      </c>
      <c r="B2" s="132"/>
      <c r="C2" s="132"/>
      <c r="D2" s="132"/>
      <c r="K2" s="129"/>
      <c r="L2" s="129"/>
      <c r="M2" s="129"/>
      <c r="N2" s="129"/>
      <c r="O2" s="129"/>
    </row>
    <row r="3" spans="1:43" x14ac:dyDescent="0.2">
      <c r="K3" s="129"/>
      <c r="L3" s="129"/>
      <c r="M3" s="129"/>
      <c r="N3" s="129"/>
      <c r="O3" s="129"/>
      <c r="P3" s="133"/>
    </row>
    <row r="4" spans="1:43" ht="38.25" x14ac:dyDescent="0.2">
      <c r="A4" s="159" t="s">
        <v>245</v>
      </c>
      <c r="B4" s="146" t="s">
        <v>360</v>
      </c>
      <c r="C4" s="146" t="s">
        <v>361</v>
      </c>
      <c r="D4" s="146" t="s">
        <v>362</v>
      </c>
      <c r="E4" s="146" t="s">
        <v>195</v>
      </c>
      <c r="F4" s="146" t="s">
        <v>196</v>
      </c>
      <c r="G4" s="146" t="s">
        <v>197</v>
      </c>
      <c r="H4" s="146" t="s">
        <v>198</v>
      </c>
      <c r="I4" s="146" t="s">
        <v>158</v>
      </c>
      <c r="J4" s="146" t="s">
        <v>199</v>
      </c>
      <c r="K4" s="147">
        <v>2000</v>
      </c>
      <c r="L4" s="147">
        <v>2001</v>
      </c>
      <c r="M4" s="147">
        <v>2002</v>
      </c>
      <c r="N4" s="147">
        <v>2003</v>
      </c>
      <c r="O4" s="147">
        <v>2004</v>
      </c>
      <c r="P4" s="147">
        <v>2005</v>
      </c>
      <c r="Q4" s="147">
        <v>2006</v>
      </c>
      <c r="R4" s="147">
        <v>2007</v>
      </c>
      <c r="S4" s="147">
        <v>2008</v>
      </c>
      <c r="T4" s="245" t="s">
        <v>25</v>
      </c>
      <c r="U4" s="245" t="s">
        <v>26</v>
      </c>
      <c r="V4" s="245" t="s">
        <v>1041</v>
      </c>
      <c r="W4" s="245" t="s">
        <v>1122</v>
      </c>
      <c r="X4" s="245" t="s">
        <v>1042</v>
      </c>
      <c r="Y4" s="245" t="s">
        <v>1124</v>
      </c>
      <c r="Z4" s="245" t="s">
        <v>1125</v>
      </c>
      <c r="AA4" s="245" t="s">
        <v>1126</v>
      </c>
      <c r="AB4" s="147">
        <v>2012</v>
      </c>
      <c r="AC4" s="311">
        <v>2013</v>
      </c>
      <c r="AD4" s="311">
        <v>2014</v>
      </c>
      <c r="AE4" s="311">
        <v>2015</v>
      </c>
      <c r="AF4" s="311">
        <v>2016</v>
      </c>
      <c r="AG4" s="311">
        <v>2017</v>
      </c>
      <c r="AH4" s="311">
        <v>2018</v>
      </c>
      <c r="AI4" s="311">
        <v>2019</v>
      </c>
      <c r="AJ4" s="245">
        <v>2020</v>
      </c>
      <c r="AK4" s="245" t="s">
        <v>1353</v>
      </c>
      <c r="AL4" s="342">
        <v>2021</v>
      </c>
      <c r="AM4" s="342" t="s">
        <v>1370</v>
      </c>
      <c r="AN4" s="342">
        <v>2022</v>
      </c>
      <c r="AO4" s="342" t="s">
        <v>1407</v>
      </c>
      <c r="AP4" s="342">
        <v>2023</v>
      </c>
      <c r="AQ4" s="342" t="s">
        <v>1418</v>
      </c>
    </row>
    <row r="5" spans="1:43" x14ac:dyDescent="0.2">
      <c r="A5" s="104" t="s">
        <v>102</v>
      </c>
      <c r="B5" s="6">
        <f>'91rev'!H32</f>
        <v>4239.7179189338376</v>
      </c>
      <c r="C5" s="6">
        <f>'92rev'!H32</f>
        <v>4359.4413308112871</v>
      </c>
      <c r="D5" s="6">
        <f>'93rev'!H32</f>
        <v>4483.3696174738552</v>
      </c>
      <c r="E5" s="6">
        <f>'94rev'!H30</f>
        <v>4569.4469904038287</v>
      </c>
      <c r="F5" s="6">
        <f>'95rev'!H30</f>
        <v>4634.8845884962157</v>
      </c>
      <c r="G5" s="6">
        <f>'96rev'!H30</f>
        <v>4653.4701220074221</v>
      </c>
      <c r="H5" s="6">
        <f>'97rev'!H32</f>
        <v>4968.1035089224433</v>
      </c>
      <c r="I5" s="6">
        <f>'98rev'!H33</f>
        <v>5197.380959443859</v>
      </c>
      <c r="J5" s="6">
        <f>'99rev'!H30</f>
        <v>5383.3245113514067</v>
      </c>
      <c r="K5" s="6">
        <f>'00rev'!H31</f>
        <v>5743.5287516338049</v>
      </c>
      <c r="L5" s="6">
        <f>'01Rev'!H32</f>
        <v>5898.5205417486641</v>
      </c>
      <c r="M5" s="6">
        <f>'02Rev'!H32</f>
        <v>6121.7977705453914</v>
      </c>
      <c r="N5" s="6">
        <f>'03Rev'!H32</f>
        <v>6514.1957658604979</v>
      </c>
      <c r="O5" s="6">
        <f>'04Rev'!H32</f>
        <v>6930.2751657776089</v>
      </c>
      <c r="P5" s="6">
        <f>'05Rev'!H32</f>
        <v>7239.1027163722347</v>
      </c>
      <c r="Q5" s="208">
        <v>7519.4690755295433</v>
      </c>
      <c r="R5" s="208">
        <f>'07Rev'!$H32</f>
        <v>8010.5007983796104</v>
      </c>
      <c r="S5" s="208">
        <f>'08Rev'!$H32</f>
        <v>8156.5711039870685</v>
      </c>
      <c r="T5" s="208">
        <f>'09RevWith&amp;NO_ARRA'!$I32</f>
        <v>8353.0227348155331</v>
      </c>
      <c r="U5" s="208">
        <f>'09RevWith&amp;NO_ARRA'!$J32</f>
        <v>8331.2595209709471</v>
      </c>
      <c r="V5" s="208">
        <f>'10RevWith&amp;NO_ARRA'!J32</f>
        <v>8594.661136181574</v>
      </c>
      <c r="W5" s="208">
        <f>'10RevWith&amp;NO_ARRA'!K32</f>
        <v>8370.6230331108145</v>
      </c>
      <c r="X5" s="208">
        <f>'10RevWith&amp;NO_ARRA'!L32</f>
        <v>8223.8196045393852</v>
      </c>
      <c r="Y5" s="208">
        <f>'11RevWith&amp;NO_ARRA'!J32</f>
        <v>8995.9501775804656</v>
      </c>
      <c r="Z5" s="208">
        <f>'11RevWith&amp;NO_ARRA'!K32</f>
        <v>8758.9228296601668</v>
      </c>
      <c r="AA5" s="208">
        <f>'11RevWith&amp;NO_ARRA'!L32</f>
        <v>8364.9715871254157</v>
      </c>
      <c r="AB5" s="208">
        <f>'12Rev'!$J$4</f>
        <v>8778.5161045751629</v>
      </c>
      <c r="AC5" s="214">
        <f>'13Rev'!$I$4</f>
        <v>9016.7993492685673</v>
      </c>
      <c r="AD5" s="214">
        <f>'14Rev'!$I$4</f>
        <v>9297.7909451257892</v>
      </c>
      <c r="AE5" s="214">
        <f>'15Rev'!$I$4</f>
        <v>9840.5718476067086</v>
      </c>
      <c r="AF5" s="214">
        <f>'16Rev'!$I$4</f>
        <v>9747.6313884374849</v>
      </c>
      <c r="AG5" s="214">
        <f>'17Rev'!$I$4</f>
        <v>10038.155758605517</v>
      </c>
      <c r="AH5" s="214">
        <f>'18Rev'!$I$4</f>
        <v>10619.065941356526</v>
      </c>
      <c r="AI5" s="214">
        <f>'19Rev'!$I$4</f>
        <v>11095.966632633264</v>
      </c>
      <c r="AJ5" s="214">
        <f>'20Rev'!$L$4</f>
        <v>11250.260028306868</v>
      </c>
      <c r="AK5" s="214">
        <f>'20Rev'!$K$4</f>
        <v>11161.710175598524</v>
      </c>
      <c r="AL5" s="214">
        <f>'21Rev'!$L$4</f>
        <v>12617.29610724102</v>
      </c>
      <c r="AM5" s="214">
        <f>'21Rev'!$K$4</f>
        <v>11491.567057624869</v>
      </c>
      <c r="AN5" s="214">
        <f>'22Rev'!$L$4</f>
        <v>13277.828642235121</v>
      </c>
      <c r="AO5" s="214">
        <f>'22Rev'!$K$4</f>
        <v>11871.5869109821</v>
      </c>
      <c r="AP5" s="214">
        <f>'23Rev'!$L$4</f>
        <v>13057.079367423143</v>
      </c>
      <c r="AQ5" s="214">
        <f>'23Rev'!$K$4</f>
        <v>12179.674952235477</v>
      </c>
    </row>
    <row r="6" spans="1:43" x14ac:dyDescent="0.2">
      <c r="A6" s="104" t="s">
        <v>76</v>
      </c>
      <c r="B6" s="6">
        <f>'91rev'!H33</f>
        <v>4371.8845664170276</v>
      </c>
      <c r="C6" s="6">
        <f>'92rev'!H33</f>
        <v>4544.3363110730152</v>
      </c>
      <c r="D6" s="6">
        <f>'93rev'!H33</f>
        <v>4584.2254827485012</v>
      </c>
      <c r="E6" s="6">
        <f>'94rev'!H31</f>
        <v>4819.7115934659887</v>
      </c>
      <c r="F6" s="6">
        <f>'95rev'!H31</f>
        <v>4744.8883395514913</v>
      </c>
      <c r="G6" s="6">
        <f>'96rev'!H31</f>
        <v>4869.3381394975522</v>
      </c>
      <c r="H6" s="6">
        <f>'97rev'!H33</f>
        <v>5102.8725287080379</v>
      </c>
      <c r="I6" s="6">
        <f>'98rev'!H34</f>
        <v>5388.5340833995569</v>
      </c>
      <c r="J6" s="6">
        <f>'99rev'!H31</f>
        <v>5599.4658304158484</v>
      </c>
      <c r="K6" s="6">
        <f>'00rev'!H32</f>
        <v>6156.5137010705248</v>
      </c>
      <c r="L6" s="6">
        <f>'01Rev'!H33</f>
        <v>6428.2362576533797</v>
      </c>
      <c r="M6" s="6">
        <f>'02Rev'!H33</f>
        <v>6805.7927907997537</v>
      </c>
      <c r="N6" s="6">
        <f>'03Rev'!H33</f>
        <v>7212.003369707144</v>
      </c>
      <c r="O6" s="6">
        <f>'04Rev'!H33</f>
        <v>7750.7421719649092</v>
      </c>
      <c r="P6" s="6">
        <f>'05Rev'!H33</f>
        <v>7889.8259457306704</v>
      </c>
      <c r="Q6" s="208">
        <v>8493.384994168935</v>
      </c>
      <c r="R6" s="208">
        <f>'07Rev'!H33</f>
        <v>9063.5454461331392</v>
      </c>
      <c r="S6" s="208">
        <f>'08Rev'!$H33</f>
        <v>9214.3335095740113</v>
      </c>
      <c r="T6" s="208">
        <f>'09RevWith&amp;NO_ARRA'!$I33</f>
        <v>9598.3700506720725</v>
      </c>
      <c r="U6" s="208">
        <f>'09RevWith&amp;NO_ARRA'!$J33</f>
        <v>9580.2065132280786</v>
      </c>
      <c r="V6" s="208">
        <f>'10RevWith&amp;NO_ARRA'!J33</f>
        <v>10120.206522076338</v>
      </c>
      <c r="W6" s="208">
        <f>'10RevWith&amp;NO_ARRA'!K33</f>
        <v>9742.3343349398911</v>
      </c>
      <c r="X6" s="208">
        <f>'10RevWith&amp;NO_ARRA'!L33</f>
        <v>9591.3179031632608</v>
      </c>
      <c r="Y6" s="208">
        <f>'11RevWith&amp;NO_ARRA'!J33</f>
        <v>10328.339673489547</v>
      </c>
      <c r="Z6" s="208">
        <f>'11RevWith&amp;NO_ARRA'!K33</f>
        <v>10018.054089886407</v>
      </c>
      <c r="AA6" s="208">
        <f>'11RevWith&amp;NO_ARRA'!L33</f>
        <v>9612.6147676013843</v>
      </c>
      <c r="AB6" s="208">
        <f>'12Rev'!$J$5</f>
        <v>10041.378441543635</v>
      </c>
      <c r="AC6" s="214">
        <f>'13Rev'!$I$5</f>
        <v>10134.815756915919</v>
      </c>
      <c r="AD6" s="214">
        <f>'14Rev'!$I$5</f>
        <v>10496.316351870773</v>
      </c>
      <c r="AE6" s="214">
        <f>'15Rev'!$I$5</f>
        <v>10894.435033643522</v>
      </c>
      <c r="AF6" s="214">
        <f>'16Rev'!$I$5</f>
        <v>10359.990218836956</v>
      </c>
      <c r="AG6" s="214">
        <f>'17Rev'!$I$5</f>
        <v>10808.051733904327</v>
      </c>
      <c r="AH6" s="214">
        <f>'18Rev'!$I$5</f>
        <v>11265.053972222222</v>
      </c>
      <c r="AI6" s="214">
        <f>'19Rev'!$I$5</f>
        <v>12444.592570261168</v>
      </c>
      <c r="AJ6" s="214">
        <f>'20Rev'!$L$5</f>
        <v>12290.033354616624</v>
      </c>
      <c r="AK6" s="214">
        <f>'20Rev'!$K$5</f>
        <v>12242.184463938704</v>
      </c>
      <c r="AL6" s="214">
        <f>'21Rev'!$L$5</f>
        <v>13579.443636898461</v>
      </c>
      <c r="AM6" s="214">
        <f>'21Rev'!$K$5</f>
        <v>12629.251509589365</v>
      </c>
      <c r="AN6" s="214">
        <f>'22Rev'!$L$5</f>
        <v>14309.947818908882</v>
      </c>
      <c r="AO6" s="214">
        <f>'22Rev'!$K$5</f>
        <v>12926.898344473007</v>
      </c>
      <c r="AP6" s="214">
        <f>'23Rev'!$L$5</f>
        <v>15141.063869696969</v>
      </c>
      <c r="AQ6" s="214">
        <f>'23Rev'!$K$5</f>
        <v>13624.320893939393</v>
      </c>
    </row>
    <row r="7" spans="1:43" x14ac:dyDescent="0.2">
      <c r="A7" s="104" t="s">
        <v>77</v>
      </c>
      <c r="B7" s="6">
        <f>'91rev'!H34</f>
        <v>4388.1873346264465</v>
      </c>
      <c r="C7" s="6">
        <f>'92rev'!H34</f>
        <v>4650.8526680206796</v>
      </c>
      <c r="D7" s="6">
        <f>'93rev'!H34</f>
        <v>4656.8061699499385</v>
      </c>
      <c r="E7" s="6">
        <f>'94rev'!H32</f>
        <v>5036.8933661971832</v>
      </c>
      <c r="F7" s="6">
        <f>'95rev'!H32</f>
        <v>5357.6101283750786</v>
      </c>
      <c r="G7" s="6">
        <f>'96rev'!H32</f>
        <v>5503.7865430099955</v>
      </c>
      <c r="H7" s="6">
        <f>'97rev'!H34</f>
        <v>5738.1321092896169</v>
      </c>
      <c r="I7" s="6">
        <f>'98rev'!H35</f>
        <v>6031.059302270578</v>
      </c>
      <c r="J7" s="6">
        <f>'99rev'!H32</f>
        <v>6145.7250934048079</v>
      </c>
      <c r="K7" s="6">
        <f>'00rev'!H33</f>
        <v>6728.475767344079</v>
      </c>
      <c r="L7" s="6">
        <f>'01Rev'!H34</f>
        <v>7132.4692105693712</v>
      </c>
      <c r="M7" s="6">
        <f>'02Rev'!H34</f>
        <v>7250.8655679933663</v>
      </c>
      <c r="N7" s="6">
        <f>'03Rev'!H34</f>
        <v>7873.1990574107585</v>
      </c>
      <c r="O7" s="6">
        <f>'04Rev'!H34</f>
        <v>8404.732130798091</v>
      </c>
      <c r="P7" s="6">
        <f>'05Rev'!H34</f>
        <v>8551.519259820001</v>
      </c>
      <c r="Q7" s="208">
        <v>8648.0372578919196</v>
      </c>
      <c r="R7" s="208">
        <f>'07Rev'!H34</f>
        <v>9282.5458870815219</v>
      </c>
      <c r="S7" s="208">
        <f>'08Rev'!$H34</f>
        <v>9330.7207697066096</v>
      </c>
      <c r="T7" s="208">
        <f>'09RevWith&amp;NO_ARRA'!$I34</f>
        <v>9776.7309382443</v>
      </c>
      <c r="U7" s="208">
        <f>'09RevWith&amp;NO_ARRA'!$J34</f>
        <v>9756.8400782579101</v>
      </c>
      <c r="V7" s="208">
        <f>'10RevWith&amp;NO_ARRA'!J34</f>
        <v>9974.0497284262092</v>
      </c>
      <c r="W7" s="208">
        <f>'10RevWith&amp;NO_ARRA'!K34</f>
        <v>9656.4238294872757</v>
      </c>
      <c r="X7" s="208">
        <f>'10RevWith&amp;NO_ARRA'!L34</f>
        <v>9500.9866431698465</v>
      </c>
      <c r="Y7" s="208">
        <f>'11RevWith&amp;NO_ARRA'!J34</f>
        <v>10389.845431915841</v>
      </c>
      <c r="Z7" s="208">
        <f>'11RevWith&amp;NO_ARRA'!K34</f>
        <v>10260.937001778042</v>
      </c>
      <c r="AA7" s="208">
        <f>'11RevWith&amp;NO_ARRA'!L34</f>
        <v>9844.3728448659058</v>
      </c>
      <c r="AB7" s="208">
        <f>'12Rev'!$J$6</f>
        <v>10473.433957165056</v>
      </c>
      <c r="AC7" s="214">
        <f>'13Rev'!$I$6</f>
        <v>10615.359688109162</v>
      </c>
      <c r="AD7" s="214">
        <f>'14Rev'!$I$6</f>
        <v>10894.314168277784</v>
      </c>
      <c r="AE7" s="214">
        <f>'15Rev'!$I$6</f>
        <v>11237.321308563392</v>
      </c>
      <c r="AF7" s="214">
        <f>'16Rev'!$I$6</f>
        <v>11128.877106741573</v>
      </c>
      <c r="AG7" s="214">
        <f>'17Rev'!$I$6</f>
        <v>10854.952115636457</v>
      </c>
      <c r="AH7" s="214">
        <f>'18Rev'!$I$6</f>
        <v>11244.720646714379</v>
      </c>
      <c r="AI7" s="214">
        <f>'19Rev'!$I$6</f>
        <v>12015.576447772659</v>
      </c>
      <c r="AJ7" s="214">
        <f>'20Rev'!$L$6</f>
        <v>11965.786225934669</v>
      </c>
      <c r="AK7" s="214">
        <f>'20Rev'!$K$6</f>
        <v>11931.736475593096</v>
      </c>
      <c r="AL7" s="214">
        <f>'21Rev'!$L$6</f>
        <v>13061.883338557047</v>
      </c>
      <c r="AM7" s="214">
        <f>'21Rev'!$K$6</f>
        <v>12205.795673557952</v>
      </c>
      <c r="AN7" s="214">
        <f>'22Rev'!$L$6</f>
        <v>14130.706013001809</v>
      </c>
      <c r="AO7" s="214">
        <f>'22Rev'!$K$6</f>
        <v>12789.008073185441</v>
      </c>
      <c r="AP7" s="214">
        <f>'23Rev'!$L$6</f>
        <v>14131.997268936762</v>
      </c>
      <c r="AQ7" s="214">
        <f>'23Rev'!$K$6</f>
        <v>12800.78127866574</v>
      </c>
    </row>
    <row r="8" spans="1:43" x14ac:dyDescent="0.2">
      <c r="A8" s="104" t="s">
        <v>78</v>
      </c>
      <c r="B8" s="6">
        <f>'91rev'!H35</f>
        <v>4780.6656662866753</v>
      </c>
      <c r="C8" s="6">
        <f>'92rev'!H35</f>
        <v>4924.4122292789325</v>
      </c>
      <c r="D8" s="6">
        <f>'93rev'!H35</f>
        <v>4852.5784155654428</v>
      </c>
      <c r="E8" s="6">
        <f>'94rev'!H33</f>
        <v>4974.2716737138826</v>
      </c>
      <c r="F8" s="6">
        <f>'95rev'!H33</f>
        <v>4954.9732547268541</v>
      </c>
      <c r="G8" s="6">
        <f>'96rev'!H33</f>
        <v>5286.1736902592856</v>
      </c>
      <c r="H8" s="6">
        <f>'97rev'!H35</f>
        <v>5428.9152758910668</v>
      </c>
      <c r="I8" s="6">
        <f>'98rev'!H36</f>
        <v>5816.5845866141726</v>
      </c>
      <c r="J8" s="6">
        <f>'99rev'!H33</f>
        <v>5934.4118523454144</v>
      </c>
      <c r="K8" s="6">
        <f>'00rev'!H34</f>
        <v>6080.5469845810376</v>
      </c>
      <c r="L8" s="6">
        <f>'01Rev'!H35</f>
        <v>6407.608963482111</v>
      </c>
      <c r="M8" s="6">
        <f>'02Rev'!H35</f>
        <v>6755.8852552899543</v>
      </c>
      <c r="N8" s="6">
        <f>'03Rev'!H35</f>
        <v>7192.7065605384551</v>
      </c>
      <c r="O8" s="6">
        <f>'04Rev'!H35</f>
        <v>7607.9889681626391</v>
      </c>
      <c r="P8" s="6">
        <f>'05Rev'!H35</f>
        <v>7699.8495158920423</v>
      </c>
      <c r="Q8" s="208">
        <v>8520.8132581090849</v>
      </c>
      <c r="R8" s="208">
        <f>'07Rev'!H35</f>
        <v>9151.5860696089439</v>
      </c>
      <c r="S8" s="208">
        <f>'08Rev'!$H35</f>
        <v>9395.2734904580157</v>
      </c>
      <c r="T8" s="208">
        <f>'09RevWith&amp;NO_ARRA'!$I35</f>
        <v>9946.1317811173703</v>
      </c>
      <c r="U8" s="208">
        <f>'09RevWith&amp;NO_ARRA'!$J35</f>
        <v>9915.1643421693443</v>
      </c>
      <c r="V8" s="208">
        <f>'10RevWith&amp;NO_ARRA'!J35</f>
        <v>10150.413159648589</v>
      </c>
      <c r="W8" s="208">
        <f>'10RevWith&amp;NO_ARRA'!K35</f>
        <v>9953.3628817025128</v>
      </c>
      <c r="X8" s="208">
        <f>'10RevWith&amp;NO_ARRA'!L35</f>
        <v>9791.7384126022425</v>
      </c>
      <c r="Y8" s="208">
        <f>'11RevWith&amp;NO_ARRA'!J35</f>
        <v>10307.601694590008</v>
      </c>
      <c r="Z8" s="208">
        <f>'11RevWith&amp;NO_ARRA'!K35</f>
        <v>10111.095109602185</v>
      </c>
      <c r="AA8" s="208">
        <f>'11RevWith&amp;NO_ARRA'!L35</f>
        <v>9676.9305173813555</v>
      </c>
      <c r="AB8" s="208">
        <f>'12Rev'!$J$7</f>
        <v>10048.232255639097</v>
      </c>
      <c r="AC8" s="214">
        <f>'13Rev'!$I$7</f>
        <v>10349.789556962025</v>
      </c>
      <c r="AD8" s="214">
        <f>'14Rev'!$I$7</f>
        <v>10706.449974717549</v>
      </c>
      <c r="AE8" s="214">
        <f>'15Rev'!$I$7</f>
        <v>11069.241564940237</v>
      </c>
      <c r="AF8" s="214">
        <f>'16Rev'!$I$7</f>
        <v>10830.410792715587</v>
      </c>
      <c r="AG8" s="214">
        <f>'17Rev'!$I$7</f>
        <v>11340.225937933848</v>
      </c>
      <c r="AH8" s="214">
        <f>'18Rev'!$I$7</f>
        <v>11380.866201672326</v>
      </c>
      <c r="AI8" s="214">
        <f>'19Rev'!$I$7</f>
        <v>11760.267759908098</v>
      </c>
      <c r="AJ8" s="214">
        <f>'20Rev'!$L$7</f>
        <v>11718.654010563081</v>
      </c>
      <c r="AK8" s="214">
        <f>'20Rev'!$K$7</f>
        <v>11685.687731493314</v>
      </c>
      <c r="AL8" s="214">
        <f>'21Rev'!$L$7</f>
        <v>13180.068817212919</v>
      </c>
      <c r="AM8" s="214">
        <f>'21Rev'!$K$7</f>
        <v>12256.635708790771</v>
      </c>
      <c r="AN8" s="214">
        <f>'22Rev'!$L$7</f>
        <v>14545.900898097514</v>
      </c>
      <c r="AO8" s="214">
        <f>'22Rev'!$K$7</f>
        <v>12919.527154740816</v>
      </c>
      <c r="AP8" s="214">
        <f>'23Rev'!$L$7</f>
        <v>14586.198541718246</v>
      </c>
      <c r="AQ8" s="214">
        <f>'23Rev'!$K$7</f>
        <v>13102.697182470907</v>
      </c>
    </row>
    <row r="9" spans="1:43" x14ac:dyDescent="0.2">
      <c r="A9" s="104" t="s">
        <v>79</v>
      </c>
      <c r="B9" s="6">
        <f>'91rev'!H36</f>
        <v>5672.3716739826787</v>
      </c>
      <c r="C9" s="6">
        <f>'92rev'!H36</f>
        <v>5715.8570699952224</v>
      </c>
      <c r="D9" s="6">
        <f>'93rev'!H36</f>
        <v>5733.2064457990982</v>
      </c>
      <c r="E9" s="6">
        <f>'94rev'!H34</f>
        <v>5750.8228542303768</v>
      </c>
      <c r="F9" s="6">
        <f>'95rev'!H34</f>
        <v>5876.1053874215668</v>
      </c>
      <c r="G9" s="6">
        <f>'96rev'!H34</f>
        <v>5837.7908168434387</v>
      </c>
      <c r="H9" s="6">
        <f>'97rev'!H36</f>
        <v>6185.3978720075111</v>
      </c>
      <c r="I9" s="6">
        <f>'98rev'!H37</f>
        <v>6401.8398726693949</v>
      </c>
      <c r="J9" s="6">
        <f>'99rev'!H34</f>
        <v>6573.7542070259215</v>
      </c>
      <c r="K9" s="6">
        <f>'00rev'!H35</f>
        <v>7093.4848753269398</v>
      </c>
      <c r="L9" s="6">
        <f>'01Rev'!H36</f>
        <v>7507.416267405064</v>
      </c>
      <c r="M9" s="6">
        <f>'02Rev'!H36</f>
        <v>8088.1784680241799</v>
      </c>
      <c r="N9" s="6">
        <f>'03Rev'!H36</f>
        <v>8747.1614352941178</v>
      </c>
      <c r="O9" s="6">
        <f>'04Rev'!H36</f>
        <v>9386.9213394884227</v>
      </c>
      <c r="P9" s="6">
        <f>'05Rev'!H36</f>
        <v>9902.123546195653</v>
      </c>
      <c r="Q9" s="208">
        <v>10209.399411445129</v>
      </c>
      <c r="R9" s="208">
        <f>'07Rev'!H36</f>
        <v>11167.71997458704</v>
      </c>
      <c r="S9" s="208">
        <f>'08Rev'!$H36</f>
        <v>11206.80652539137</v>
      </c>
      <c r="T9" s="208">
        <f>'09RevWith&amp;NO_ARRA'!$I36</f>
        <v>12065.963980013783</v>
      </c>
      <c r="U9" s="208">
        <f>'09RevWith&amp;NO_ARRA'!$J36</f>
        <v>12048.444682977257</v>
      </c>
      <c r="V9" s="208">
        <f>'10RevWith&amp;NO_ARRA'!J36</f>
        <v>12196.617486735056</v>
      </c>
      <c r="W9" s="208">
        <f>'10RevWith&amp;NO_ARRA'!K36</f>
        <v>11938.065820657943</v>
      </c>
      <c r="X9" s="208">
        <f>'10RevWith&amp;NO_ARRA'!L36</f>
        <v>11762.643461266362</v>
      </c>
      <c r="Y9" s="208">
        <f>'11RevWith&amp;NO_ARRA'!J36</f>
        <v>12874.405393122861</v>
      </c>
      <c r="Z9" s="208">
        <f>'11RevWith&amp;NO_ARRA'!K36</f>
        <v>12679.014771767543</v>
      </c>
      <c r="AA9" s="208">
        <f>'11RevWith&amp;NO_ARRA'!L36</f>
        <v>12204.726863060527</v>
      </c>
      <c r="AB9" s="208">
        <f>'12Rev'!$J$8</f>
        <v>12327.833668948851</v>
      </c>
      <c r="AC9" s="214">
        <f>'13Rev'!$I$8</f>
        <v>12882.764894684053</v>
      </c>
      <c r="AD9" s="214">
        <f>'14Rev'!$I$8</f>
        <v>12818.294064833004</v>
      </c>
      <c r="AE9" s="214">
        <f>'15Rev'!$I$8</f>
        <v>13390.888772644006</v>
      </c>
      <c r="AF9" s="214">
        <f>'16Rev'!$I$8</f>
        <v>13296.412666534101</v>
      </c>
      <c r="AG9" s="214">
        <f>'17Rev'!$I$8</f>
        <v>13089.109122878757</v>
      </c>
      <c r="AH9" s="214">
        <f>'18Rev'!$I$8</f>
        <v>14144.451266220996</v>
      </c>
      <c r="AI9" s="214">
        <f>'19Rev'!$I$8</f>
        <v>15000.619541229984</v>
      </c>
      <c r="AJ9" s="214">
        <f>'20Rev'!$L$8</f>
        <v>15096.474966329964</v>
      </c>
      <c r="AK9" s="214">
        <f>'20Rev'!$K$8</f>
        <v>15026.731666666667</v>
      </c>
      <c r="AL9" s="214">
        <f>'21Rev'!$L$8</f>
        <v>16415.390778202676</v>
      </c>
      <c r="AM9" s="214">
        <f>'21Rev'!$K$8</f>
        <v>15361.305881453152</v>
      </c>
      <c r="AN9" s="214">
        <f>'22Rev'!$L$8</f>
        <v>18888.249171178675</v>
      </c>
      <c r="AO9" s="214">
        <f>'22Rev'!$K$8</f>
        <v>16940.543342357349</v>
      </c>
      <c r="AP9" s="214">
        <f>'23Rev'!$L$8</f>
        <v>19331.961740740742</v>
      </c>
      <c r="AQ9" s="214">
        <f>'23Rev'!$K$8</f>
        <v>17317.047047325104</v>
      </c>
    </row>
    <row r="10" spans="1:43" x14ac:dyDescent="0.2">
      <c r="A10" s="114" t="s">
        <v>80</v>
      </c>
      <c r="B10" s="7">
        <f>'91rev'!H37</f>
        <v>4530.6004820415883</v>
      </c>
      <c r="C10" s="7">
        <f>'92rev'!H37</f>
        <v>5124.3073993368071</v>
      </c>
      <c r="D10" s="7">
        <f>'93rev'!H37</f>
        <v>4688.4339059876893</v>
      </c>
      <c r="E10" s="7">
        <f>'94rev'!H35</f>
        <v>4600.4280145413868</v>
      </c>
      <c r="F10" s="7">
        <f>'95rev'!H35</f>
        <v>4805.5537141183368</v>
      </c>
      <c r="G10" s="7">
        <f>'96rev'!H35</f>
        <v>5077.405043277553</v>
      </c>
      <c r="H10" s="7">
        <f>'97rev'!H37</f>
        <v>5598.315766509435</v>
      </c>
      <c r="I10" s="7">
        <f>'98rev'!H38</f>
        <v>5785.391805031446</v>
      </c>
      <c r="J10" s="7">
        <f>'99rev'!H35</f>
        <v>5884.6674634456449</v>
      </c>
      <c r="K10" s="7">
        <f>'00rev'!H36</f>
        <v>6934.3758672798949</v>
      </c>
      <c r="L10" s="7">
        <f>'01Rev'!H37</f>
        <v>6704.0979914529917</v>
      </c>
      <c r="M10" s="7">
        <f>'02Rev'!H37</f>
        <v>6971.2974731903487</v>
      </c>
      <c r="N10" s="7">
        <f>'03Rev'!H37</f>
        <v>8574.2200350385428</v>
      </c>
      <c r="O10" s="7">
        <f>'04Rev'!H37</f>
        <v>9323.8864442815247</v>
      </c>
      <c r="P10" s="7">
        <f>'05Rev'!H37</f>
        <v>9260.6640248104741</v>
      </c>
      <c r="Q10" s="209">
        <v>9310.6667119062295</v>
      </c>
      <c r="R10" s="209">
        <f>'07Rev'!H37</f>
        <v>10039.692008125361</v>
      </c>
      <c r="S10" s="209">
        <f>'08Rev'!$H37</f>
        <v>10893.592987730062</v>
      </c>
      <c r="T10" s="209">
        <f>'09RevWith&amp;NO_ARRA'!$I37</f>
        <v>11972.259496623696</v>
      </c>
      <c r="U10" s="209">
        <f>'09RevWith&amp;NO_ARRA'!$J37</f>
        <v>11961.012105586249</v>
      </c>
      <c r="V10" s="209">
        <f>'10RevWith&amp;NO_ARRA'!J37</f>
        <v>11451.859150837987</v>
      </c>
      <c r="W10" s="209">
        <f>'10RevWith&amp;NO_ARRA'!K37</f>
        <v>11323.973173184355</v>
      </c>
      <c r="X10" s="209">
        <f>'10RevWith&amp;NO_ARRA'!L37</f>
        <v>11134.927575418995</v>
      </c>
      <c r="Y10" s="209">
        <f>'11RevWith&amp;NO_ARRA'!J37</f>
        <v>11415.180474649407</v>
      </c>
      <c r="Z10" s="209">
        <f>'11RevWith&amp;NO_ARRA'!K37</f>
        <v>11361.777804746494</v>
      </c>
      <c r="AA10" s="209">
        <f>'11RevWith&amp;NO_ARRA'!L37</f>
        <v>10859.324644012946</v>
      </c>
      <c r="AB10" s="209">
        <f>'12Rev'!$J$9</f>
        <v>11445.520432692309</v>
      </c>
      <c r="AC10" s="220">
        <f>'13Rev'!$I$9</f>
        <v>11817.306451612903</v>
      </c>
      <c r="AD10" s="220">
        <f>'14Rev'!$I$9</f>
        <v>13616.047819118487</v>
      </c>
      <c r="AE10" s="220">
        <f>'15Rev'!$I$9</f>
        <v>14300.110924821005</v>
      </c>
      <c r="AF10" s="220">
        <f>'16Rev'!$I$9</f>
        <v>14962.497940430923</v>
      </c>
      <c r="AG10" s="220">
        <f>'17Rev'!$I$9</f>
        <v>15542.107919684</v>
      </c>
      <c r="AH10" s="220">
        <f>'18Rev'!$I$9</f>
        <v>14876.997435530084</v>
      </c>
      <c r="AI10" s="220">
        <f>'19Rev'!$I$9</f>
        <v>15612.689421199442</v>
      </c>
      <c r="AJ10" s="220">
        <f>'20Rev'!$L$9</f>
        <v>15626.08571972099</v>
      </c>
      <c r="AK10" s="220">
        <f>'20Rev'!$K$9</f>
        <v>15613.936068484463</v>
      </c>
      <c r="AL10" s="220">
        <f>'21Rev'!$L$9</f>
        <v>16671.917538580248</v>
      </c>
      <c r="AM10" s="220">
        <f>'21Rev'!$K$9</f>
        <v>15720.715285493829</v>
      </c>
      <c r="AN10" s="220">
        <f>'22Rev'!$L$9</f>
        <v>18999.508569364163</v>
      </c>
      <c r="AO10" s="220">
        <f>'22Rev'!$K$9</f>
        <v>16634.724089595376</v>
      </c>
      <c r="AP10" s="220">
        <f>'23Rev'!$L$9</f>
        <v>20002.704993045896</v>
      </c>
      <c r="AQ10" s="220">
        <f>'23Rev'!$K$9</f>
        <v>17685.857830319888</v>
      </c>
    </row>
    <row r="11" spans="1:43" x14ac:dyDescent="0.2">
      <c r="A11" s="104" t="s">
        <v>134</v>
      </c>
      <c r="B11" s="6">
        <f>'91rev'!H38</f>
        <v>4498.1114571493526</v>
      </c>
      <c r="C11" s="6">
        <f>'92rev'!H38</f>
        <v>4652.7258470791348</v>
      </c>
      <c r="D11" s="6">
        <f>'93rev'!H38</f>
        <v>4681.6862532274654</v>
      </c>
      <c r="E11" s="6">
        <f>'94rev'!H36</f>
        <v>4832.1865234484703</v>
      </c>
      <c r="F11" s="6">
        <f>'95rev'!H36</f>
        <v>4890.4559480870366</v>
      </c>
      <c r="G11" s="6">
        <f>'96rev'!H36</f>
        <v>4991.4750825452174</v>
      </c>
      <c r="H11" s="6">
        <f>'97rev'!H38</f>
        <v>5254.0167288658276</v>
      </c>
      <c r="I11" s="6">
        <f>'98rev'!H39</f>
        <v>5530.9979472211598</v>
      </c>
      <c r="J11" s="6">
        <f>'99rev'!H36</f>
        <v>5696.9827486240411</v>
      </c>
      <c r="K11" s="6">
        <f>'00rev'!H37</f>
        <v>6135.0496146142996</v>
      </c>
      <c r="L11" s="6">
        <f>'01Rev'!H38</f>
        <v>6393.507291675598</v>
      </c>
      <c r="M11" s="6">
        <f>'02Rev'!H38</f>
        <v>6686.7977619031981</v>
      </c>
      <c r="N11" s="6">
        <f>'03Rev'!H38</f>
        <v>7170.3009277842484</v>
      </c>
      <c r="O11" s="6">
        <f>'04Rev'!H38</f>
        <v>7647.4718291281142</v>
      </c>
      <c r="P11" s="6">
        <f>'05Rev'!H38</f>
        <v>7842.1763465077756</v>
      </c>
      <c r="Q11" s="208">
        <v>8241.8805259426135</v>
      </c>
      <c r="R11" s="208">
        <f>'07Rev'!H38</f>
        <v>8825.8487534908527</v>
      </c>
      <c r="S11" s="208">
        <f>'08Rev'!$H38</f>
        <v>8969.6343581503315</v>
      </c>
      <c r="T11" s="208">
        <f>'09RevWith&amp;NO_ARRA'!$I38</f>
        <v>9362.8079893246395</v>
      </c>
      <c r="U11" s="208">
        <f>'09RevWith&amp;NO_ARRA'!$J38</f>
        <v>9341.033248838663</v>
      </c>
      <c r="V11" s="208">
        <f>'10RevWith&amp;NO_ARRA'!J38</f>
        <v>9622.8185368085142</v>
      </c>
      <c r="W11" s="208">
        <f>'10RevWith&amp;NO_ARRA'!K38</f>
        <v>9357.4439698301831</v>
      </c>
      <c r="X11" s="208">
        <f>'10RevWith&amp;NO_ARRA'!L38</f>
        <v>9203.6612270992791</v>
      </c>
      <c r="Y11" s="208">
        <f>'11RevWith&amp;NO_ARRA'!J38</f>
        <v>9937.024784687399</v>
      </c>
      <c r="Z11" s="208">
        <f>'11RevWith&amp;NO_ARRA'!K38</f>
        <v>9713.5724124128574</v>
      </c>
      <c r="AA11" s="208">
        <f>'11RevWith&amp;NO_ARRA'!L38</f>
        <v>9301.1630608523556</v>
      </c>
      <c r="AB11" s="208">
        <f>'12Rev'!$J$10</f>
        <v>9730.6603331713141</v>
      </c>
      <c r="AC11" s="214">
        <f>'13Rev'!$I$10</f>
        <v>9935.1279825751935</v>
      </c>
      <c r="AD11" s="214">
        <f>'14Rev'!$I$10</f>
        <v>10253.380051031967</v>
      </c>
      <c r="AE11" s="214">
        <f>'15Rev'!$I$10</f>
        <v>10707.796287311441</v>
      </c>
      <c r="AF11" s="214">
        <f>'16Rev'!$I$10</f>
        <v>10507.230931823469</v>
      </c>
      <c r="AG11" s="214">
        <f>'17Rev'!$I$10</f>
        <v>10746.074315370099</v>
      </c>
      <c r="AH11" s="214">
        <f>'18Rev'!$I$10</f>
        <v>11204.203782565497</v>
      </c>
      <c r="AI11" s="214">
        <f>'19Rev'!$I$10</f>
        <v>11876.681403889075</v>
      </c>
      <c r="AJ11" s="214">
        <f>'20Rev'!$L$10</f>
        <v>11899.318032428864</v>
      </c>
      <c r="AK11" s="214">
        <f>'20Rev'!$K$10</f>
        <v>11837.113680313638</v>
      </c>
      <c r="AL11" s="214">
        <f>'21Rev'!$L$10</f>
        <v>13206.679803265892</v>
      </c>
      <c r="AM11" s="214">
        <f>'21Rev'!$K$10</f>
        <v>12192.585318888583</v>
      </c>
      <c r="AN11" s="214">
        <f>'22Rev'!$L$10</f>
        <v>14161.418849733682</v>
      </c>
      <c r="AO11" s="214">
        <f>'22Rev'!$K$10</f>
        <v>12696.903386237693</v>
      </c>
      <c r="AP11" s="214">
        <f>'23Rev'!$L$10</f>
        <v>14255.442812998384</v>
      </c>
      <c r="AQ11" s="214">
        <f>'23Rev'!$K$10</f>
        <v>13021.312827876312</v>
      </c>
    </row>
    <row r="12" spans="1:43" x14ac:dyDescent="0.2">
      <c r="A12" s="104"/>
      <c r="B12" s="6"/>
      <c r="C12" s="6"/>
      <c r="D12" s="6"/>
      <c r="E12" s="6"/>
      <c r="F12" s="6"/>
      <c r="G12" s="6"/>
      <c r="H12" s="6"/>
      <c r="I12" s="6"/>
      <c r="J12" s="6"/>
      <c r="K12" s="130"/>
      <c r="L12" s="130"/>
      <c r="M12" s="130"/>
      <c r="N12" s="130"/>
      <c r="O12" s="6"/>
      <c r="P12" s="6"/>
      <c r="Q12" s="208"/>
      <c r="R12" s="208"/>
      <c r="S12" s="208"/>
      <c r="T12" s="208"/>
      <c r="U12" s="208"/>
      <c r="V12" s="208"/>
      <c r="W12" s="208"/>
      <c r="X12" s="208"/>
      <c r="Y12" s="208"/>
      <c r="Z12" s="208"/>
      <c r="AA12" s="208"/>
    </row>
    <row r="13" spans="1:43" x14ac:dyDescent="0.2">
      <c r="A13" s="104" t="s">
        <v>81</v>
      </c>
      <c r="B13" s="6">
        <f>'91rev'!H41</f>
        <v>5768.3232076385157</v>
      </c>
      <c r="C13" s="6">
        <f>'92rev'!H41</f>
        <v>5929.154187108129</v>
      </c>
      <c r="D13" s="6">
        <f>'93rev'!H41</f>
        <v>6157.1658271430888</v>
      </c>
      <c r="E13" s="6">
        <f>'94rev'!H38</f>
        <v>5921.2490104772987</v>
      </c>
      <c r="F13" s="6">
        <f>'95rev'!H38</f>
        <v>5760.7290161267165</v>
      </c>
      <c r="G13" s="6">
        <f>'96rev'!H38</f>
        <v>5741.0328882580161</v>
      </c>
      <c r="H13" s="6">
        <f>'97rev'!H40</f>
        <v>6099.9981157573829</v>
      </c>
      <c r="I13" s="6">
        <f>'98rev'!H42</f>
        <v>6148.5861589077886</v>
      </c>
      <c r="J13" s="6">
        <f>'99rev'!H39</f>
        <v>6339.1291037194105</v>
      </c>
      <c r="K13" s="130">
        <f>'00rev'!H40</f>
        <v>6510.0122103425711</v>
      </c>
      <c r="L13" s="130">
        <f>'01Rev'!H41</f>
        <v>6739.2313257790356</v>
      </c>
      <c r="M13" s="130">
        <f>'02Rev'!H41</f>
        <v>6952.8948310677915</v>
      </c>
      <c r="N13" s="6">
        <f>'03Rev'!H41</f>
        <v>7152.5506020692046</v>
      </c>
      <c r="O13" s="6">
        <f>'04Rev'!H41</f>
        <v>7541.048879617023</v>
      </c>
      <c r="P13" s="6">
        <f>'05Rev'!H41</f>
        <v>7884.2580437853103</v>
      </c>
      <c r="Q13" s="208">
        <v>8325.3971580933994</v>
      </c>
      <c r="R13" s="208">
        <f>'07Rev'!$H41</f>
        <v>8574.6535730337073</v>
      </c>
      <c r="S13" s="208">
        <f>'08Rev'!$H41</f>
        <v>9051.9838628047437</v>
      </c>
      <c r="T13" s="208">
        <f>'09RevWith&amp;NO_ARRA'!$I41</f>
        <v>9711.4675458786933</v>
      </c>
      <c r="U13" s="208">
        <f>'09RevWith&amp;NO_ARRA'!$J41</f>
        <v>9711.4675458786933</v>
      </c>
      <c r="V13" s="208">
        <f>'10RevWith&amp;NO_ARRA'!J41</f>
        <v>10226.550737041038</v>
      </c>
      <c r="W13" s="208">
        <f>'10RevWith&amp;NO_ARRA'!K41</f>
        <v>10020.896582973362</v>
      </c>
      <c r="X13" s="208">
        <f>'10RevWith&amp;NO_ARRA'!L41</f>
        <v>9845.4108805795531</v>
      </c>
      <c r="Y13" s="208">
        <f>'11RevWith&amp;NO_ARRA'!J41</f>
        <v>10135.05286021014</v>
      </c>
      <c r="Z13" s="208">
        <f>'11RevWith&amp;NO_ARRA'!K41</f>
        <v>9968.5942407492003</v>
      </c>
      <c r="AA13" s="208">
        <f>'11RevWith&amp;NO_ARRA'!L41</f>
        <v>9496.603423024213</v>
      </c>
      <c r="AB13" s="208">
        <f>'12Rev'!$J$13</f>
        <v>10135.361042930579</v>
      </c>
      <c r="AC13" s="214">
        <f>'13Rev'!$I$13</f>
        <v>10273.36286407767</v>
      </c>
      <c r="AD13" s="214">
        <f>'14Rev'!$I$13</f>
        <v>10546.690113588558</v>
      </c>
      <c r="AE13" s="214">
        <f>'15Rev'!$I$13</f>
        <v>10782.662678093449</v>
      </c>
      <c r="AF13" s="214">
        <f>'16Rev'!$I$13</f>
        <v>11057.049899116644</v>
      </c>
      <c r="AG13" s="214">
        <f>'17Rev'!$I$13</f>
        <v>11173.833502486174</v>
      </c>
      <c r="AH13" s="214">
        <f>'18Rev'!$I$13</f>
        <v>11745.428020122703</v>
      </c>
      <c r="AI13" s="214">
        <f>'19Rev'!$I$13</f>
        <v>12394.310072591721</v>
      </c>
      <c r="AJ13" s="214">
        <f>'20Rev'!$L$13</f>
        <v>12388.687736667642</v>
      </c>
      <c r="AK13" s="214">
        <f>'20Rev'!$K$13</f>
        <v>12293.064238081311</v>
      </c>
      <c r="AL13" s="214">
        <f>'21Rev'!$L$13</f>
        <v>13292.644475019428</v>
      </c>
      <c r="AM13" s="214">
        <f>'21Rev'!$K$13</f>
        <v>12636.340943456598</v>
      </c>
      <c r="AN13" s="214">
        <f>'22Rev'!$L$13</f>
        <v>13589.700038136749</v>
      </c>
      <c r="AO13" s="214">
        <f>'22Rev'!$K$13</f>
        <v>13108.383928993009</v>
      </c>
      <c r="AP13" s="214">
        <f>'23Rev'!$L$13</f>
        <v>13640.18260051478</v>
      </c>
      <c r="AQ13" s="214">
        <f>'23Rev'!$K$13</f>
        <v>13231.538036300703</v>
      </c>
    </row>
    <row r="14" spans="1:43" x14ac:dyDescent="0.2">
      <c r="A14" s="104" t="s">
        <v>82</v>
      </c>
      <c r="B14" s="6">
        <f>'91rev'!H42</f>
        <v>5473.6722139512549</v>
      </c>
      <c r="C14" s="6">
        <f>'92rev'!H42</f>
        <v>5716.8350475273728</v>
      </c>
      <c r="D14" s="6">
        <f>'93rev'!H42</f>
        <v>5691.157144237739</v>
      </c>
      <c r="E14" s="6">
        <f>'94rev'!H39</f>
        <v>5794.0437607770382</v>
      </c>
      <c r="F14" s="6">
        <f>'95rev'!H39</f>
        <v>5862.028965517241</v>
      </c>
      <c r="G14" s="6">
        <f>'96rev'!H39</f>
        <v>5987.957188411433</v>
      </c>
      <c r="H14" s="6">
        <f>'97rev'!H41</f>
        <v>5994.7453736198731</v>
      </c>
      <c r="I14" s="6">
        <f>'98rev'!H43</f>
        <v>6080.8020793180131</v>
      </c>
      <c r="J14" s="6">
        <f>'99rev'!H40</f>
        <v>6169.0456574806904</v>
      </c>
      <c r="K14" s="130">
        <f>'00rev'!H41</f>
        <v>6556.0611220453447</v>
      </c>
      <c r="L14" s="130">
        <f>'01Rev'!H42</f>
        <v>6771.0234947656782</v>
      </c>
      <c r="M14" s="130">
        <f>'02Rev'!H42</f>
        <v>7098.7240816947096</v>
      </c>
      <c r="N14" s="6">
        <f>'03Rev'!H42</f>
        <v>7472.5275463515127</v>
      </c>
      <c r="O14" s="6">
        <f>'04Rev'!H42</f>
        <v>7820.7567495137228</v>
      </c>
      <c r="P14" s="6">
        <f>'05Rev'!H42</f>
        <v>8060.5932645973526</v>
      </c>
      <c r="Q14" s="208">
        <v>8631.1973799223506</v>
      </c>
      <c r="R14" s="208">
        <f>'07Rev'!H42</f>
        <v>9151.6712329223592</v>
      </c>
      <c r="S14" s="208">
        <f>'08Rev'!$H42</f>
        <v>9738.3350993303557</v>
      </c>
      <c r="T14" s="208">
        <f>'09RevWith&amp;NO_ARRA'!$I42</f>
        <v>10612.847757864392</v>
      </c>
      <c r="U14" s="208">
        <f>'09RevWith&amp;NO_ARRA'!$J42</f>
        <v>10592.278513598194</v>
      </c>
      <c r="V14" s="208">
        <f>'10RevWith&amp;NO_ARRA'!J42</f>
        <v>9765.3334916967524</v>
      </c>
      <c r="W14" s="208">
        <f>'10RevWith&amp;NO_ARRA'!K42</f>
        <v>9765.3334916967524</v>
      </c>
      <c r="X14" s="208">
        <f>'10RevWith&amp;NO_ARRA'!L42</f>
        <v>9575.3722093862834</v>
      </c>
      <c r="Y14" s="208">
        <f>'11RevWith&amp;NO_ARRA'!J42</f>
        <v>10647.587341610953</v>
      </c>
      <c r="Z14" s="208">
        <f>'11RevWith&amp;NO_ARRA'!K42</f>
        <v>10628.681376950019</v>
      </c>
      <c r="AA14" s="208">
        <f>'11RevWith&amp;NO_ARRA'!L42</f>
        <v>10118.250425023878</v>
      </c>
      <c r="AB14" s="208">
        <f>'12Rev'!$J$14</f>
        <v>10636.931633647288</v>
      </c>
      <c r="AC14" s="214">
        <f>'13Rev'!$I$14</f>
        <v>11785.455131227409</v>
      </c>
      <c r="AD14" s="214">
        <f>'14Rev'!$I$14</f>
        <v>11571.309938671211</v>
      </c>
      <c r="AE14" s="214">
        <f>'15Rev'!$I$14</f>
        <v>12844.388926014319</v>
      </c>
      <c r="AF14" s="214">
        <f>'16Rev'!$I$14</f>
        <v>12314.693918972072</v>
      </c>
      <c r="AG14" s="214">
        <f>'17Rev'!$I$14</f>
        <v>12753.355857022707</v>
      </c>
      <c r="AH14" s="214">
        <f>'18Rev'!$I$14</f>
        <v>13323.151366165834</v>
      </c>
      <c r="AI14" s="214">
        <f>'19Rev'!$I$14</f>
        <v>14197.723688032396</v>
      </c>
      <c r="AJ14" s="214">
        <f>'20Rev'!$L$14</f>
        <v>13548.461112759644</v>
      </c>
      <c r="AK14" s="214">
        <f>'20Rev'!$K$14</f>
        <v>13535.216529426312</v>
      </c>
      <c r="AL14" s="214">
        <f>'21Rev'!$L$14</f>
        <v>14192.726708468801</v>
      </c>
      <c r="AM14" s="214">
        <f>'21Rev'!$K$14</f>
        <v>13711.942882799192</v>
      </c>
      <c r="AN14" s="214">
        <f>'22Rev'!$L$14</f>
        <v>14257.066978995734</v>
      </c>
      <c r="AO14" s="214">
        <f>'22Rev'!$K$14</f>
        <v>14249.68266655727</v>
      </c>
      <c r="AP14" s="214">
        <f>'23Rev'!$L$14</f>
        <v>14738.269542362401</v>
      </c>
      <c r="AQ14" s="214">
        <f>'23Rev'!$K$14</f>
        <v>14738.269542362401</v>
      </c>
    </row>
    <row r="15" spans="1:43" x14ac:dyDescent="0.2">
      <c r="A15" s="104" t="s">
        <v>83</v>
      </c>
      <c r="B15" s="6">
        <f>'91rev'!H43</f>
        <v>6165.4920026626096</v>
      </c>
      <c r="C15" s="6">
        <f>'92rev'!H43</f>
        <v>6954.93553355124</v>
      </c>
      <c r="D15" s="6">
        <f>'93rev'!H43</f>
        <v>6082.7334225405202</v>
      </c>
      <c r="E15" s="6">
        <f>'94rev'!H40</f>
        <v>5912.2136064441893</v>
      </c>
      <c r="F15" s="6">
        <f>'95rev'!H40</f>
        <v>5937.2523591798263</v>
      </c>
      <c r="G15" s="6">
        <f>'96rev'!H40</f>
        <v>6382.8521441202474</v>
      </c>
      <c r="H15" s="6">
        <f>'97rev'!H42</f>
        <v>6701.2590852390858</v>
      </c>
      <c r="I15" s="6">
        <f>'98rev'!H44</f>
        <v>7179.1896052378206</v>
      </c>
      <c r="J15" s="6">
        <f>'99rev'!H41</f>
        <v>6773.6533724058418</v>
      </c>
      <c r="K15" s="130">
        <f>'00rev'!H42</f>
        <v>7459.3696903385635</v>
      </c>
      <c r="L15" s="130">
        <f>'01Rev'!H43</f>
        <v>7785.2328487518362</v>
      </c>
      <c r="M15" s="130">
        <f>'02Rev'!H43</f>
        <v>8308.6829028340071</v>
      </c>
      <c r="N15" s="6">
        <f>'03Rev'!H43</f>
        <v>8883.0559092694421</v>
      </c>
      <c r="O15" s="6">
        <f>'04Rev'!H43</f>
        <v>9226.6800215179956</v>
      </c>
      <c r="P15" s="6">
        <f>'05Rev'!H43</f>
        <v>9364.9241660931402</v>
      </c>
      <c r="Q15" s="208">
        <v>9540.0473763654409</v>
      </c>
      <c r="R15" s="208">
        <f>'07Rev'!H43</f>
        <v>10290.454047427653</v>
      </c>
      <c r="S15" s="208">
        <f>'08Rev'!$H43</f>
        <v>10932.862695167287</v>
      </c>
      <c r="T15" s="208">
        <f>'09RevWith&amp;NO_ARRA'!$I43</f>
        <v>10957.856674707737</v>
      </c>
      <c r="U15" s="208">
        <f>'09RevWith&amp;NO_ARRA'!$J43</f>
        <v>10948.154279087028</v>
      </c>
      <c r="V15" s="208">
        <f>'10RevWith&amp;NO_ARRA'!J43</f>
        <v>11766.364058238114</v>
      </c>
      <c r="W15" s="208">
        <f>'10RevWith&amp;NO_ARRA'!K43</f>
        <v>11638.297766310359</v>
      </c>
      <c r="X15" s="208">
        <f>'10RevWith&amp;NO_ARRA'!L43</f>
        <v>11434.592100995211</v>
      </c>
      <c r="Y15" s="208">
        <f>'11RevWith&amp;NO_ARRA'!J43</f>
        <v>12581.882952985587</v>
      </c>
      <c r="Z15" s="208">
        <f>'11RevWith&amp;NO_ARRA'!K43</f>
        <v>12413.669214138639</v>
      </c>
      <c r="AA15" s="208">
        <f>'11RevWith&amp;NO_ARRA'!L43</f>
        <v>11863.935243651338</v>
      </c>
      <c r="AB15" s="208">
        <f>'12Rev'!$J$15</f>
        <v>11590.940735039447</v>
      </c>
      <c r="AC15" s="214">
        <f>'13Rev'!$I$15</f>
        <v>11975.528707052441</v>
      </c>
      <c r="AD15" s="214">
        <f>'14Rev'!$I$15</f>
        <v>13030.038255399455</v>
      </c>
      <c r="AE15" s="214">
        <f>'15Rev'!$I$15</f>
        <v>12945.211971365638</v>
      </c>
      <c r="AF15" s="214">
        <f>'16Rev'!$I$15</f>
        <v>12756.418896551724</v>
      </c>
      <c r="AG15" s="214">
        <f>'17Rev'!$I$15</f>
        <v>12901.956174788378</v>
      </c>
      <c r="AH15" s="214">
        <f>'18Rev'!$I$15</f>
        <v>13709.947748861419</v>
      </c>
      <c r="AI15" s="214">
        <f>'19Rev'!$I$15</f>
        <v>14364.309387055293</v>
      </c>
      <c r="AJ15" s="214">
        <f>'20Rev'!$L$15</f>
        <v>14336.830101105103</v>
      </c>
      <c r="AK15" s="214">
        <f>'20Rev'!$K$15</f>
        <v>14333.914935339761</v>
      </c>
      <c r="AL15" s="214">
        <f>'21Rev'!$L$15</f>
        <v>15372.469650719728</v>
      </c>
      <c r="AM15" s="214">
        <f>'21Rev'!$K$15</f>
        <v>14713.802267146486</v>
      </c>
      <c r="AN15" s="214">
        <f>'22Rev'!$L$15</f>
        <v>15918.988345136038</v>
      </c>
      <c r="AO15" s="214">
        <f>'22Rev'!$K$15</f>
        <v>15505.422221393959</v>
      </c>
      <c r="AP15" s="214">
        <f>'23Rev'!$L$15</f>
        <v>16415.537133280759</v>
      </c>
      <c r="AQ15" s="214">
        <f>'23Rev'!$K$15</f>
        <v>16129.272636041011</v>
      </c>
    </row>
    <row r="16" spans="1:43" x14ac:dyDescent="0.2">
      <c r="A16" s="104" t="s">
        <v>84</v>
      </c>
      <c r="B16" s="6">
        <f>'91rev'!H44</f>
        <v>7122.8545390271493</v>
      </c>
      <c r="C16" s="6">
        <f>'92rev'!H44</f>
        <v>7536.5476609383531</v>
      </c>
      <c r="D16" s="6">
        <f>'93rev'!H44</f>
        <v>7704.1189542818156</v>
      </c>
      <c r="E16" s="6">
        <f>'94rev'!H41</f>
        <v>7752.476123499142</v>
      </c>
      <c r="F16" s="6">
        <f>'95rev'!H41</f>
        <v>8011.6128258405752</v>
      </c>
      <c r="G16" s="6">
        <f>'96rev'!H41</f>
        <v>7985.2107646826962</v>
      </c>
      <c r="H16" s="6">
        <f>'97rev'!H43</f>
        <v>8300.4593886129151</v>
      </c>
      <c r="I16" s="6">
        <f>'98rev'!H45</f>
        <v>8408.9425508355143</v>
      </c>
      <c r="J16" s="6">
        <f>'99rev'!H42</f>
        <v>8783.7449014302292</v>
      </c>
      <c r="K16" s="130">
        <f>'00rev'!H43</f>
        <v>9122.493793040625</v>
      </c>
      <c r="L16" s="130">
        <f>'01Rev'!H44</f>
        <v>9949.1056552732589</v>
      </c>
      <c r="M16" s="130">
        <f>'02Rev'!H44</f>
        <v>9983.6847492038214</v>
      </c>
      <c r="N16" s="6">
        <f>'03Rev'!H44</f>
        <v>10752.564106122449</v>
      </c>
      <c r="O16" s="6">
        <f>'04Rev'!H44</f>
        <v>11292.462609507993</v>
      </c>
      <c r="P16" s="6">
        <f>'05Rev'!H44</f>
        <v>10902.144847830357</v>
      </c>
      <c r="Q16" s="208">
        <v>11477.831480707091</v>
      </c>
      <c r="R16" s="208">
        <f>'07Rev'!H44</f>
        <v>11977.537278794813</v>
      </c>
      <c r="S16" s="208">
        <f>'08Rev'!$H44</f>
        <v>12539.324362443624</v>
      </c>
      <c r="T16" s="208">
        <f>'09RevWith&amp;NO_ARRA'!$I44</f>
        <v>13232.011708678083</v>
      </c>
      <c r="U16" s="208">
        <f>'09RevWith&amp;NO_ARRA'!$J44</f>
        <v>13194.639570906291</v>
      </c>
      <c r="V16" s="208">
        <f>'10RevWith&amp;NO_ARRA'!J44</f>
        <v>12998.748305529522</v>
      </c>
      <c r="W16" s="208">
        <f>'10RevWith&amp;NO_ARRA'!K44</f>
        <v>12944.628431115276</v>
      </c>
      <c r="X16" s="208">
        <f>'10RevWith&amp;NO_ARRA'!L44</f>
        <v>12711.498597938144</v>
      </c>
      <c r="Y16" s="208">
        <f>'11RevWith&amp;NO_ARRA'!J44</f>
        <v>13600.805520046482</v>
      </c>
      <c r="Z16" s="208">
        <f>'11RevWith&amp;NO_ARRA'!K44</f>
        <v>13563.414997094711</v>
      </c>
      <c r="AA16" s="208">
        <f>'11RevWith&amp;NO_ARRA'!L44</f>
        <v>12928.021656013945</v>
      </c>
      <c r="AB16" s="208">
        <f>'12Rev'!$J$16</f>
        <v>14355.502314814816</v>
      </c>
      <c r="AC16" s="214">
        <f>'13Rev'!$I$16</f>
        <v>14364.988893376414</v>
      </c>
      <c r="AD16" s="214">
        <f>'14Rev'!$I$16</f>
        <v>15362.125736111113</v>
      </c>
      <c r="AE16" s="214">
        <f>'15Rev'!$I$16</f>
        <v>16009.757097770911</v>
      </c>
      <c r="AF16" s="214">
        <f>'16Rev'!$I$16</f>
        <v>16056.476083650188</v>
      </c>
      <c r="AG16" s="214">
        <f>'17Rev'!$I$16</f>
        <v>16353.419553626782</v>
      </c>
      <c r="AH16" s="214">
        <f>'18Rev'!$I$16</f>
        <v>18025.20638855494</v>
      </c>
      <c r="AI16" s="214">
        <f>'19Rev'!$I$16</f>
        <v>18221.748338368583</v>
      </c>
      <c r="AJ16" s="214">
        <f>'20Rev'!$L$16</f>
        <v>19405.323691411195</v>
      </c>
      <c r="AK16" s="214">
        <f>'20Rev'!$K$16</f>
        <v>19397.691596148972</v>
      </c>
      <c r="AL16" s="214">
        <f>'21Rev'!$L$16</f>
        <v>19287.844808478039</v>
      </c>
      <c r="AM16" s="214">
        <f>'21Rev'!$K$16</f>
        <v>18717.827732379978</v>
      </c>
      <c r="AN16" s="214">
        <f>'22Rev'!$L$16</f>
        <v>19788.644348167541</v>
      </c>
      <c r="AO16" s="214">
        <f>'22Rev'!$K$16</f>
        <v>19616.02554973822</v>
      </c>
      <c r="AP16" s="214">
        <f>'23Rev'!$L$16</f>
        <v>20652.893045102748</v>
      </c>
      <c r="AQ16" s="214">
        <f>'23Rev'!$K$16</f>
        <v>20381.568753669599</v>
      </c>
    </row>
    <row r="17" spans="1:43" x14ac:dyDescent="0.2">
      <c r="A17" s="114" t="s">
        <v>85</v>
      </c>
      <c r="B17" s="7">
        <f>'91rev'!H45</f>
        <v>10916.169402225754</v>
      </c>
      <c r="C17" s="7">
        <f>'92rev'!H45</f>
        <v>11372.848331005585</v>
      </c>
      <c r="D17" s="7">
        <f>'93rev'!H45</f>
        <v>11503.821939914164</v>
      </c>
      <c r="E17" s="7">
        <f>'94rev'!H42</f>
        <v>11713.604148537135</v>
      </c>
      <c r="F17" s="7">
        <f>'95rev'!H42</f>
        <v>11356.294006896553</v>
      </c>
      <c r="G17" s="7">
        <f>'96rev'!H42</f>
        <v>11219.971343183342</v>
      </c>
      <c r="H17" s="7">
        <f>'97rev'!H44</f>
        <v>11478.524808296668</v>
      </c>
      <c r="I17" s="7">
        <f>'98rev'!H46</f>
        <v>11651.400787401575</v>
      </c>
      <c r="J17" s="7">
        <f>'99rev'!H43</f>
        <v>11590.675532503457</v>
      </c>
      <c r="K17" s="135">
        <f>'00rev'!H44</f>
        <v>12511.697671043539</v>
      </c>
      <c r="L17" s="135">
        <f>'01Rev'!H45</f>
        <v>12920.682120060792</v>
      </c>
      <c r="M17" s="135">
        <f>'02Rev'!H45</f>
        <v>13028.056472602742</v>
      </c>
      <c r="N17" s="7">
        <f>'03Rev'!H45</f>
        <v>14184.973015665797</v>
      </c>
      <c r="O17" s="7">
        <f>'04Rev'!H45</f>
        <v>15292.10584345479</v>
      </c>
      <c r="P17" s="7">
        <f>'05Rev'!H45</f>
        <v>15813.652858809801</v>
      </c>
      <c r="Q17" s="209">
        <v>17086.389904761905</v>
      </c>
      <c r="R17" s="209">
        <f>'07Rev'!H45</f>
        <v>19823.656964951526</v>
      </c>
      <c r="S17" s="209">
        <f>'08Rev'!$H45</f>
        <v>20368.3149909475</v>
      </c>
      <c r="T17" s="209">
        <f>'09RevWith&amp;NO_ARRA'!$I45</f>
        <v>24073.645054054054</v>
      </c>
      <c r="U17" s="209">
        <f>'09RevWith&amp;NO_ARRA'!$J45</f>
        <v>24043.988972972973</v>
      </c>
      <c r="V17" s="209">
        <f>'10RevWith&amp;NO_ARRA'!J45</f>
        <v>20092.216860599077</v>
      </c>
      <c r="W17" s="209">
        <f>'10RevWith&amp;NO_ARRA'!K45</f>
        <v>20086.456491935482</v>
      </c>
      <c r="X17" s="209">
        <f>'10RevWith&amp;NO_ARRA'!L45</f>
        <v>19746.375443548386</v>
      </c>
      <c r="Y17" s="209">
        <f>'11RevWith&amp;NO_ARRA'!J45</f>
        <v>22831.229234104045</v>
      </c>
      <c r="Z17" s="209">
        <f>'11RevWith&amp;NO_ARRA'!K45</f>
        <v>22620.514754335258</v>
      </c>
      <c r="AA17" s="209">
        <f>'11RevWith&amp;NO_ARRA'!L45</f>
        <v>21668.103872832369</v>
      </c>
      <c r="AB17" s="209">
        <f>'12Rev'!$J$17</f>
        <v>21040.910296904611</v>
      </c>
      <c r="AC17" s="220">
        <f>'13Rev'!$I$17</f>
        <v>21329.472501478416</v>
      </c>
      <c r="AD17" s="220">
        <f>'14Rev'!$I$17</f>
        <v>23773.046039102101</v>
      </c>
      <c r="AE17" s="220">
        <f>'15Rev'!$I$17</f>
        <v>25634.9085028427</v>
      </c>
      <c r="AF17" s="220">
        <f>'16Rev'!$I$17</f>
        <v>23359.818773301267</v>
      </c>
      <c r="AG17" s="220">
        <f>'17Rev'!$I$17</f>
        <v>23562.933602800764</v>
      </c>
      <c r="AH17" s="220">
        <f>'18Rev'!$I$17</f>
        <v>24302.221509749303</v>
      </c>
      <c r="AI17" s="220">
        <f>'19Rev'!$I$17</f>
        <v>26207.885388502844</v>
      </c>
      <c r="AJ17" s="220">
        <f>'20Rev'!$L$17</f>
        <v>26882.975408934708</v>
      </c>
      <c r="AK17" s="220">
        <f>'20Rev'!$K$17</f>
        <v>26876.594391752573</v>
      </c>
      <c r="AL17" s="220">
        <f>'21Rev'!$L$17</f>
        <v>28059.76434812287</v>
      </c>
      <c r="AM17" s="220">
        <f>'21Rev'!$K$17</f>
        <v>27452.39019795222</v>
      </c>
      <c r="AN17" s="220">
        <f>'22Rev'!$L$17</f>
        <v>28981.178855685132</v>
      </c>
      <c r="AO17" s="220">
        <f>'22Rev'!$K$17</f>
        <v>28685.20247813411</v>
      </c>
      <c r="AP17" s="220">
        <f>'23Rev'!$L$17</f>
        <v>30805.754139344263</v>
      </c>
      <c r="AQ17" s="220">
        <f>'23Rev'!$K$17</f>
        <v>30454.077513661206</v>
      </c>
    </row>
    <row r="18" spans="1:43" x14ac:dyDescent="0.2">
      <c r="A18" s="104" t="s">
        <v>135</v>
      </c>
      <c r="B18" s="6">
        <f>'91rev'!H46</f>
        <v>6367.5444949757039</v>
      </c>
      <c r="C18" s="6">
        <f>'92rev'!H46</f>
        <v>6667.9141153019818</v>
      </c>
      <c r="D18" s="6">
        <f>'93rev'!H46</f>
        <v>6586.6491499042741</v>
      </c>
      <c r="E18" s="6">
        <f>'94rev'!H43</f>
        <v>6325.9376170159376</v>
      </c>
      <c r="F18" s="6">
        <f>'95rev'!H43</f>
        <v>6280.0985548885074</v>
      </c>
      <c r="G18" s="6">
        <f>'96rev'!H43</f>
        <v>6324.0602230517961</v>
      </c>
      <c r="H18" s="6">
        <f>'97rev'!H45</f>
        <v>6602.6423478241431</v>
      </c>
      <c r="I18" s="6">
        <f>'98rev'!H47</f>
        <v>6689.3278048018556</v>
      </c>
      <c r="J18" s="6">
        <f>'99rev'!H44</f>
        <v>6800.0910264966969</v>
      </c>
      <c r="K18" s="130">
        <f>'00rev'!H45</f>
        <v>7133.6326025299613</v>
      </c>
      <c r="L18" s="130">
        <f>'01Rev'!H46</f>
        <v>7432.5955637298748</v>
      </c>
      <c r="M18" s="130">
        <f>'02Rev'!H46</f>
        <v>7682.6548212547268</v>
      </c>
      <c r="N18" s="6">
        <f>'03Rev'!H46</f>
        <v>8070.8523023473745</v>
      </c>
      <c r="O18" s="6">
        <f>'04Rev'!H46</f>
        <v>8479.5530326472344</v>
      </c>
      <c r="P18" s="6">
        <f>'05Rev'!H46</f>
        <v>8744.9341418812164</v>
      </c>
      <c r="Q18" s="208">
        <v>9205.3734959256271</v>
      </c>
      <c r="R18" s="212">
        <f>'07Rev'!H46</f>
        <v>9653.32734852863</v>
      </c>
      <c r="S18" s="208">
        <f>'08Rev'!$H46</f>
        <v>10237.92830776383</v>
      </c>
      <c r="T18" s="208">
        <f>'09RevWith&amp;NO_ARRA'!$I46</f>
        <v>10967.899847943596</v>
      </c>
      <c r="U18" s="208">
        <f>'09RevWith&amp;NO_ARRA'!$J46</f>
        <v>10957.217774853112</v>
      </c>
      <c r="V18" s="208">
        <f>'10RevWith&amp;NO_ARRA'!J46</f>
        <v>11116.853961244777</v>
      </c>
      <c r="W18" s="208">
        <f>'10RevWith&amp;NO_ARRA'!K46</f>
        <v>10983.249890025452</v>
      </c>
      <c r="X18" s="208">
        <f>'10RevWith&amp;NO_ARRA'!L46</f>
        <v>10787.434891466168</v>
      </c>
      <c r="Y18" s="208">
        <f>'11RevWith&amp;NO_ARRA'!J46</f>
        <v>11440.822867289811</v>
      </c>
      <c r="Z18" s="208">
        <f>'11RevWith&amp;NO_ARRA'!K46</f>
        <v>11311.896627863958</v>
      </c>
      <c r="AA18" s="208">
        <f>'11RevWith&amp;NO_ARRA'!L46</f>
        <v>10785.570924359385</v>
      </c>
      <c r="AB18" s="208">
        <f>'12Rev'!$J$18</f>
        <v>11389.14465567166</v>
      </c>
      <c r="AC18" s="214">
        <f>'13Rev'!$I$18</f>
        <v>11717.472563957379</v>
      </c>
      <c r="AD18" s="214">
        <f>'14Rev'!$I$18</f>
        <v>12117.256746417705</v>
      </c>
      <c r="AE18" s="214">
        <f>'15Rev'!$I$18</f>
        <v>12612.735210807134</v>
      </c>
      <c r="AF18" s="214">
        <f>'16Rev'!$I$18</f>
        <v>12629.187277507559</v>
      </c>
      <c r="AG18" s="214">
        <f>'17Rev'!$I$18</f>
        <v>12781.133221597594</v>
      </c>
      <c r="AH18" s="214">
        <f>'18Rev'!$I$18</f>
        <v>13556.593526542176</v>
      </c>
      <c r="AI18" s="214">
        <f>'19Rev'!$I$18</f>
        <v>14206.562199417342</v>
      </c>
      <c r="AJ18" s="214">
        <f>'20Rev'!$L$18</f>
        <v>14125.612932535223</v>
      </c>
      <c r="AK18" s="214">
        <f>'20Rev'!$K$18</f>
        <v>14070.183884256479</v>
      </c>
      <c r="AL18" s="214">
        <f>'21Rev'!$L$18</f>
        <v>14872.982145625763</v>
      </c>
      <c r="AM18" s="214">
        <f>'21Rev'!$K$18</f>
        <v>14256.534347441531</v>
      </c>
      <c r="AN18" s="214">
        <f>'22Rev'!$L$18</f>
        <v>15176.208425202958</v>
      </c>
      <c r="AO18" s="214">
        <f>'22Rev'!$K$18</f>
        <v>14816.025689797818</v>
      </c>
      <c r="AP18" s="214">
        <f>'23Rev'!$L$18</f>
        <v>15487.861035000637</v>
      </c>
      <c r="AQ18" s="214">
        <f>'23Rev'!$K$18</f>
        <v>15177.51772737686</v>
      </c>
    </row>
    <row r="19" spans="1:43" x14ac:dyDescent="0.2">
      <c r="A19" s="104"/>
      <c r="B19" s="6"/>
      <c r="C19" s="6"/>
      <c r="D19" s="6"/>
      <c r="E19" s="6"/>
      <c r="F19" s="6"/>
      <c r="G19" s="6"/>
      <c r="H19" s="6"/>
      <c r="K19" s="131"/>
      <c r="L19" s="131"/>
      <c r="M19" s="130"/>
      <c r="P19" s="6"/>
      <c r="Q19" s="208"/>
      <c r="R19" s="208"/>
      <c r="S19" s="208"/>
      <c r="T19" s="208"/>
      <c r="U19" s="208"/>
      <c r="V19" s="208"/>
      <c r="W19" s="208"/>
      <c r="X19" s="208"/>
      <c r="Y19" s="208"/>
      <c r="Z19" s="208"/>
      <c r="AA19" s="208"/>
    </row>
    <row r="20" spans="1:43" x14ac:dyDescent="0.2">
      <c r="A20" s="104" t="s">
        <v>86</v>
      </c>
      <c r="B20" s="6">
        <f>'92func'!J43</f>
        <v>0</v>
      </c>
      <c r="C20" s="6">
        <f>'92func'!K43</f>
        <v>0</v>
      </c>
      <c r="D20" s="6">
        <f>'93rev'!H49</f>
        <v>4658.3925264184682</v>
      </c>
      <c r="E20" s="6">
        <f>'94rev'!H45</f>
        <v>4928.7170438266357</v>
      </c>
      <c r="F20" s="6">
        <f>'95rev'!H45</f>
        <v>4917.9770498312482</v>
      </c>
      <c r="G20" s="6">
        <f>'96rev'!H45</f>
        <v>5016.6671769210689</v>
      </c>
      <c r="H20" s="6">
        <f>'97rev'!H47</f>
        <v>5112.1163253941058</v>
      </c>
      <c r="I20" s="6">
        <f>'98rev'!H50</f>
        <v>5525.0646817900288</v>
      </c>
      <c r="J20" s="6">
        <f>'99rev'!H47</f>
        <v>5644.76</v>
      </c>
      <c r="K20" s="131">
        <f>'00rev'!H48</f>
        <v>5954.5429532922471</v>
      </c>
      <c r="L20" s="130">
        <f>'01Rev'!H49</f>
        <v>6626.7369851380035</v>
      </c>
      <c r="M20" s="130">
        <f>'02Rev'!H49</f>
        <v>7004.6380205655523</v>
      </c>
      <c r="N20" s="6">
        <f>'03Rev'!H49</f>
        <v>6791.3742677036435</v>
      </c>
      <c r="O20" s="6">
        <f>'04Rev'!H49</f>
        <v>7393.5411719976855</v>
      </c>
      <c r="P20" s="6">
        <f>'05Rev'!H49</f>
        <v>7763.1431640045394</v>
      </c>
      <c r="Q20" s="208">
        <v>7662.4336205118598</v>
      </c>
      <c r="R20" s="208">
        <f>'07Rev'!$H49</f>
        <v>8058.0906670472923</v>
      </c>
      <c r="S20" s="208">
        <f>'08Rev'!$H49</f>
        <v>8560.8065364928916</v>
      </c>
      <c r="T20" s="208">
        <f>'09RevWith&amp;NO_ARRA'!$I49</f>
        <v>8781.6068809687877</v>
      </c>
      <c r="U20" s="208">
        <f>'09RevWith&amp;NO_ARRA'!$J49</f>
        <v>8762.4423638869721</v>
      </c>
      <c r="V20" s="208">
        <f>'10RevWith&amp;NO_ARRA'!J49</f>
        <v>9433.8017294571346</v>
      </c>
      <c r="W20" s="208">
        <f>'10RevWith&amp;NO_ARRA'!K49</f>
        <v>9252.3162691585094</v>
      </c>
      <c r="X20" s="208">
        <f>'10RevWith&amp;NO_ARRA'!L49</f>
        <v>9081.199357262929</v>
      </c>
      <c r="Y20" s="208">
        <f>'11RevWith&amp;NO_ARRA'!J49</f>
        <v>9664.751657844803</v>
      </c>
      <c r="Z20" s="208">
        <f>'11RevWith&amp;NO_ARRA'!K49</f>
        <v>9459.3449405772517</v>
      </c>
      <c r="AA20" s="208">
        <f>'11RevWith&amp;NO_ARRA'!L49</f>
        <v>9000.0251363227799</v>
      </c>
      <c r="AB20" s="208">
        <f>'12Rev'!$J$21</f>
        <v>9626.0378949408805</v>
      </c>
      <c r="AC20" s="214">
        <f>'13Rev'!$I$21</f>
        <v>10092.545880515423</v>
      </c>
      <c r="AD20" s="214">
        <f>'14Rev'!$I$21</f>
        <v>10364.706800396236</v>
      </c>
      <c r="AE20" s="214">
        <f>'15Rev'!$I$21</f>
        <v>10608.667123929068</v>
      </c>
      <c r="AF20" s="214">
        <f>'16Rev'!$I$21</f>
        <v>10809.002197188716</v>
      </c>
      <c r="AG20" s="214">
        <f>'17Rev'!$I$21</f>
        <v>10880.545597676251</v>
      </c>
      <c r="AH20" s="214">
        <f>'18Rev'!$I$21</f>
        <v>10959.372849297219</v>
      </c>
      <c r="AI20" s="214">
        <f>'19Rev'!$I$21</f>
        <v>11852.01913835957</v>
      </c>
      <c r="AJ20" s="214">
        <f>'20Rev'!$L$21</f>
        <v>11903.18493332351</v>
      </c>
      <c r="AK20" s="214">
        <f>'20Rev'!$K$21</f>
        <v>11870.81534001326</v>
      </c>
      <c r="AL20" s="214">
        <f>'21Rev'!$L$21</f>
        <v>13254.287705676243</v>
      </c>
      <c r="AM20" s="214">
        <f>'21Rev'!$K$21</f>
        <v>12321.230618079888</v>
      </c>
      <c r="AN20" s="214">
        <f>'22Rev'!$L$21</f>
        <v>14244.157962488192</v>
      </c>
      <c r="AO20" s="214">
        <f>'22Rev'!$K$21</f>
        <v>12946.113566995007</v>
      </c>
      <c r="AP20" s="214">
        <f>'23Rev'!$L$21</f>
        <v>13877.006605801607</v>
      </c>
      <c r="AQ20" s="214">
        <f>'23Rev'!$K$21</f>
        <v>12965.261502849004</v>
      </c>
    </row>
    <row r="21" spans="1:43" x14ac:dyDescent="0.2">
      <c r="A21" s="114" t="s">
        <v>87</v>
      </c>
      <c r="B21" s="7">
        <f>'92func'!J44</f>
        <v>0</v>
      </c>
      <c r="C21" s="7">
        <f>'92func'!K44</f>
        <v>0</v>
      </c>
      <c r="D21" s="7">
        <f>'93rev'!H50</f>
        <v>7624.4754020250148</v>
      </c>
      <c r="E21" s="7">
        <f>'94rev'!H46</f>
        <v>7511.0485943918557</v>
      </c>
      <c r="F21" s="7">
        <f>'95rev'!H46</f>
        <v>6951.8637768739109</v>
      </c>
      <c r="G21" s="7">
        <f>'96rev'!H46</f>
        <v>7165.2609146160694</v>
      </c>
      <c r="H21" s="7">
        <f>'97rev'!H48</f>
        <v>7559.4565220196791</v>
      </c>
      <c r="I21" s="7">
        <f>'98rev'!H51</f>
        <v>7826.463200234879</v>
      </c>
      <c r="J21" s="7">
        <f>'99rev'!H48</f>
        <v>7967.35</v>
      </c>
      <c r="K21" s="135">
        <f>'00rev'!H49</f>
        <v>8641.280088188134</v>
      </c>
      <c r="L21" s="135">
        <f>'01Rev'!H50</f>
        <v>9379.4747151767133</v>
      </c>
      <c r="M21" s="135">
        <f>'02Rev'!H50</f>
        <v>10088.923153846154</v>
      </c>
      <c r="N21" s="7">
        <f>'03Rev'!H50</f>
        <v>10145.168965958126</v>
      </c>
      <c r="O21" s="7">
        <f>'04Rev'!H50</f>
        <v>11192.642196932213</v>
      </c>
      <c r="P21" s="7">
        <f>'05Rev'!H50</f>
        <v>11329.615524666558</v>
      </c>
      <c r="Q21" s="209">
        <v>12127.950699058694</v>
      </c>
      <c r="R21" s="209">
        <f>'07Rev'!$H50</f>
        <v>13207.176151855048</v>
      </c>
      <c r="S21" s="209">
        <f>'08Rev'!$H50</f>
        <v>13878.96148759145</v>
      </c>
      <c r="T21" s="209">
        <f>'09RevWith&amp;NO_ARRA'!$I50</f>
        <v>15178.694573374283</v>
      </c>
      <c r="U21" s="209">
        <f>'09RevWith&amp;NO_ARRA'!$J50</f>
        <v>15162.431387368142</v>
      </c>
      <c r="V21" s="209">
        <f>'10RevWith&amp;NO_ARRA'!J50</f>
        <v>14292.750275401071</v>
      </c>
      <c r="W21" s="209">
        <f>'10RevWith&amp;NO_ARRA'!K50</f>
        <v>14102.187669786097</v>
      </c>
      <c r="X21" s="209">
        <f>'10RevWith&amp;NO_ARRA'!L50</f>
        <v>13879.904235294116</v>
      </c>
      <c r="Y21" s="209">
        <f>'11RevWith&amp;NO_ARRA'!J50</f>
        <v>14922.104740155371</v>
      </c>
      <c r="Z21" s="209">
        <f>'11RevWith&amp;NO_ARRA'!K50</f>
        <v>14720.222319849987</v>
      </c>
      <c r="AA21" s="209">
        <f>'11RevWith&amp;NO_ARRA'!L50</f>
        <v>14120.374894186978</v>
      </c>
      <c r="AB21" s="209">
        <f>'12Rev'!$J$22</f>
        <v>14745.624712973593</v>
      </c>
      <c r="AC21" s="220">
        <f>'13Rev'!$I$22</f>
        <v>14422.466657462377</v>
      </c>
      <c r="AD21" s="220">
        <f>'14Rev'!$I$22</f>
        <v>15407.293636115659</v>
      </c>
      <c r="AE21" s="220">
        <f>'15Rev'!$I$22</f>
        <v>15818.223928378375</v>
      </c>
      <c r="AF21" s="220">
        <f>'16Rev'!$I$22</f>
        <v>15406.628582791993</v>
      </c>
      <c r="AG21" s="220">
        <f>'17Rev'!$I$22</f>
        <v>15810.628732357554</v>
      </c>
      <c r="AH21" s="220">
        <f>'18Rev'!$I$22</f>
        <v>16299.612368455075</v>
      </c>
      <c r="AI21" s="220">
        <f>'19Rev'!$I$22</f>
        <v>17010.689559384453</v>
      </c>
      <c r="AJ21" s="220">
        <f>'20Rev'!$L$22</f>
        <v>17059.054043198179</v>
      </c>
      <c r="AK21" s="220">
        <f>'20Rev'!$K$22</f>
        <v>17020.329274977892</v>
      </c>
      <c r="AL21" s="220">
        <f>'21Rev'!$L$22</f>
        <v>18650.248588772851</v>
      </c>
      <c r="AM21" s="220">
        <f>'21Rev'!$K$22</f>
        <v>17647.756437336819</v>
      </c>
      <c r="AN21" s="220">
        <f>'22Rev'!$L$22</f>
        <v>20346.337289835166</v>
      </c>
      <c r="AO21" s="220">
        <f>'22Rev'!$K$22</f>
        <v>18756.019822802198</v>
      </c>
      <c r="AP21" s="220">
        <f>'23Rev'!$L$22</f>
        <v>20661.757727088134</v>
      </c>
      <c r="AQ21" s="220">
        <f>'23Rev'!$K$22</f>
        <v>19366.326599431439</v>
      </c>
    </row>
    <row r="22" spans="1:43" x14ac:dyDescent="0.2">
      <c r="A22" s="104" t="s">
        <v>136</v>
      </c>
      <c r="B22" s="6">
        <f>'92func'!J45</f>
        <v>0</v>
      </c>
      <c r="C22" s="6">
        <f>'92func'!K45</f>
        <v>0</v>
      </c>
      <c r="D22" s="6">
        <f>'93rev'!H51</f>
        <v>5294.4146398467428</v>
      </c>
      <c r="E22" s="6">
        <f>'94rev'!H47</f>
        <v>5973.7065170569531</v>
      </c>
      <c r="F22" s="6">
        <f>'95rev'!H47</f>
        <v>5743.6213610095529</v>
      </c>
      <c r="G22" s="6">
        <f>'96rev'!H47</f>
        <v>5811.4477523715523</v>
      </c>
      <c r="H22" s="6">
        <f>'97rev'!H49</f>
        <v>5961.0370281461592</v>
      </c>
      <c r="I22" s="6">
        <f>'98rev'!H52</f>
        <v>6319.7284443430663</v>
      </c>
      <c r="J22" s="6">
        <f>'99rev'!H49</f>
        <v>6472.3985667636098</v>
      </c>
      <c r="K22" s="131">
        <f>'00rev'!H50</f>
        <v>6969.255343157045</v>
      </c>
      <c r="L22" s="130">
        <f>'01Rev'!H51</f>
        <v>7647.2910533888289</v>
      </c>
      <c r="M22" s="130">
        <f>'02Rev'!H51</f>
        <v>8126.1074684679943</v>
      </c>
      <c r="N22" s="6">
        <f>'03Rev'!H51</f>
        <v>7927.4014129493289</v>
      </c>
      <c r="O22" s="6">
        <f>'04Rev'!H51</f>
        <v>8661.7907873582208</v>
      </c>
      <c r="P22" s="6">
        <f>'05Rev'!H51</f>
        <v>9018.4688144796364</v>
      </c>
      <c r="Q22" s="208">
        <v>9465.5131227991733</v>
      </c>
      <c r="R22" s="208">
        <f>'07Rev'!$H51</f>
        <v>10108.525326690718</v>
      </c>
      <c r="S22" s="208">
        <f>'08Rev'!$H51</f>
        <v>10676.716482506707</v>
      </c>
      <c r="T22" s="208">
        <f>'09RevWith&amp;NO_ARRA'!$I51</f>
        <v>11496.544528505043</v>
      </c>
      <c r="U22" s="208">
        <f>'09RevWith&amp;NO_ARRA'!$J51</f>
        <v>11478.611342513883</v>
      </c>
      <c r="V22" s="208">
        <f>'10RevWith&amp;NO_ARRA'!J51</f>
        <v>11499.676516228046</v>
      </c>
      <c r="W22" s="208">
        <f>'10RevWith&amp;NO_ARRA'!K51</f>
        <v>11314.331734212472</v>
      </c>
      <c r="X22" s="208">
        <f>'10RevWith&amp;NO_ARRA'!L51</f>
        <v>11121.460397885521</v>
      </c>
      <c r="Y22" s="208">
        <f>'11RevWith&amp;NO_ARRA'!J51</f>
        <v>11910.383450998343</v>
      </c>
      <c r="Z22" s="208">
        <f>'11RevWith&amp;NO_ARRA'!K51</f>
        <v>11706.482105955718</v>
      </c>
      <c r="AA22" s="208">
        <f>'11RevWith&amp;NO_ARRA'!L51</f>
        <v>11187.137173179242</v>
      </c>
      <c r="AB22" s="208">
        <f>'12Rev'!$J$23</f>
        <v>11689.747309961818</v>
      </c>
      <c r="AC22" s="214">
        <f>'13Rev'!$I$23</f>
        <v>11885.970492365757</v>
      </c>
      <c r="AD22" s="214">
        <f>'14Rev'!$I$23</f>
        <v>12486.256503701155</v>
      </c>
      <c r="AE22" s="214">
        <f>'15Rev'!$I$23</f>
        <v>12819.397732538133</v>
      </c>
      <c r="AF22" s="214">
        <f>'16Rev'!$I$23</f>
        <v>12782.366020257197</v>
      </c>
      <c r="AG22" s="214">
        <f>'17Rev'!$I$23</f>
        <v>12998.975300426775</v>
      </c>
      <c r="AH22" s="214">
        <f>'18Rev'!$I$23</f>
        <v>13194.82867139301</v>
      </c>
      <c r="AI22" s="214">
        <f>'19Rev'!$I$23</f>
        <v>13730.437299808431</v>
      </c>
      <c r="AJ22" s="214">
        <f>'20Rev'!$L$23</f>
        <v>13802.627266635644</v>
      </c>
      <c r="AK22" s="214">
        <f>'20Rev'!$K$23</f>
        <v>13767.916402047462</v>
      </c>
      <c r="AL22" s="214">
        <f>'21Rev'!$L$23</f>
        <v>15139.060180118558</v>
      </c>
      <c r="AM22" s="214">
        <f>'21Rev'!$K$23</f>
        <v>14181.749896488829</v>
      </c>
      <c r="AN22" s="214">
        <f>'22Rev'!$L$23</f>
        <v>16254.105727535967</v>
      </c>
      <c r="AO22" s="214">
        <f>'22Rev'!$K$23</f>
        <v>14859.791855940641</v>
      </c>
      <c r="AP22" s="214">
        <f>'23Rev'!$L$23</f>
        <v>16072.221731417811</v>
      </c>
      <c r="AQ22" s="214">
        <f>'23Rev'!$K$23</f>
        <v>15036.334511847926</v>
      </c>
    </row>
    <row r="23" spans="1:43" x14ac:dyDescent="0.2">
      <c r="A23" s="104"/>
      <c r="B23" s="6"/>
      <c r="C23" s="6"/>
      <c r="D23" s="6"/>
      <c r="E23" s="6"/>
      <c r="F23" s="6"/>
      <c r="G23" s="6"/>
      <c r="H23" s="6"/>
      <c r="K23" s="131"/>
      <c r="L23" s="130"/>
      <c r="M23" s="130"/>
      <c r="Q23" s="208"/>
      <c r="R23" s="208"/>
      <c r="S23" s="208"/>
      <c r="V23" s="208"/>
      <c r="W23" s="208"/>
      <c r="X23" s="208"/>
      <c r="Y23" s="208"/>
      <c r="Z23" s="208"/>
      <c r="AA23" s="208"/>
    </row>
    <row r="24" spans="1:43" ht="13.5" thickBot="1" x14ac:dyDescent="0.25">
      <c r="A24" s="142" t="s">
        <v>137</v>
      </c>
      <c r="B24" s="8">
        <f>'91rev'!H53</f>
        <v>5033.7115396364125</v>
      </c>
      <c r="C24" s="8">
        <f>'92rev'!H53</f>
        <v>5221.3078752323745</v>
      </c>
      <c r="D24" s="8">
        <f>'93rev'!H53</f>
        <v>5220.5942237093814</v>
      </c>
      <c r="E24" s="8">
        <f>'94rev'!H49</f>
        <v>5312.0373227779555</v>
      </c>
      <c r="F24" s="8">
        <f>'95rev'!H49</f>
        <v>5338.2634460444488</v>
      </c>
      <c r="G24" s="8">
        <f>'96rev'!H49</f>
        <v>5431.5393240437688</v>
      </c>
      <c r="H24" s="8">
        <f>'97rev'!H51</f>
        <v>5696.8093533211113</v>
      </c>
      <c r="I24" s="8">
        <f>'98rev'!H54</f>
        <v>5942.6572689167915</v>
      </c>
      <c r="J24" s="8">
        <f>'99rev'!H51</f>
        <v>6097.4760229485692</v>
      </c>
      <c r="K24" s="139">
        <f>'00rev'!H52</f>
        <v>6520.2130040315024</v>
      </c>
      <c r="L24" s="139">
        <f>'01Rev'!H53</f>
        <v>6843.4708675720813</v>
      </c>
      <c r="M24" s="139">
        <f>'02Rev'!H53</f>
        <v>7148.1466640985645</v>
      </c>
      <c r="N24" s="139">
        <f>'03Rev'!H53</f>
        <v>7522.6527923385102</v>
      </c>
      <c r="O24" s="8">
        <f>'04Rev'!H53</f>
        <v>8012.5299098104533</v>
      </c>
      <c r="P24" s="8">
        <f>'05Rev'!H53</f>
        <v>8246.1528271205261</v>
      </c>
      <c r="Q24" s="8">
        <f>'06Rev'!H53</f>
        <v>8670.8060528277547</v>
      </c>
      <c r="R24" s="213">
        <f>'07Rev'!$H53</f>
        <v>9221.6838329059519</v>
      </c>
      <c r="S24" s="213">
        <f>'08Rev'!$H53</f>
        <v>9532.190826468297</v>
      </c>
      <c r="T24" s="213">
        <f>'09RevWith&amp;NO_ARRA'!$I53</f>
        <v>10070.320433929002</v>
      </c>
      <c r="U24" s="213">
        <f>'09RevWith&amp;NO_ARRA'!$J53</f>
        <v>10052.150289619896</v>
      </c>
      <c r="V24" s="213">
        <f>'10RevWith&amp;NO_ARRA'!J53</f>
        <v>10262.59391529238</v>
      </c>
      <c r="W24" s="213">
        <f>'10RevWith&amp;NO_ARRA'!K53</f>
        <v>10043.541036240891</v>
      </c>
      <c r="X24" s="213">
        <f>'10RevWith&amp;NO_ARRA'!L53</f>
        <v>9873.3799577469526</v>
      </c>
      <c r="Y24" s="213">
        <f>'11RevWith&amp;NO_ARRA'!J53</f>
        <v>10582.223561315175</v>
      </c>
      <c r="Z24" s="213">
        <f>'11RevWith&amp;NO_ARRA'!K53</f>
        <v>10386.983830635621</v>
      </c>
      <c r="AA24" s="213">
        <f>'11RevWith&amp;NO_ARRA'!L53</f>
        <v>9930.7256408610137</v>
      </c>
      <c r="AB24" s="213">
        <f>'12Rev'!$J$25</f>
        <v>10406.691394678868</v>
      </c>
      <c r="AC24" s="222">
        <f>'13Rev'!$I$25</f>
        <v>10634.93908804712</v>
      </c>
      <c r="AD24" s="222">
        <f>'14Rev'!$I$25</f>
        <v>10997.717545282601</v>
      </c>
      <c r="AE24" s="222">
        <f>'15Rev'!$I$25</f>
        <v>11441.719992570776</v>
      </c>
      <c r="AF24" s="222">
        <f>'16Rev'!$I$25</f>
        <v>11310.841321885384</v>
      </c>
      <c r="AG24" s="222">
        <f>'17Rev'!$I$25</f>
        <v>11524.969857362663</v>
      </c>
      <c r="AH24" s="222">
        <f>'18Rev'!$I$25</f>
        <v>12035.066034515607</v>
      </c>
      <c r="AI24" s="222">
        <f>'19Rev'!$I$25</f>
        <v>12711.896510535424</v>
      </c>
      <c r="AJ24" s="222">
        <f>'20Rev'!$L$25</f>
        <v>12720.034109325976</v>
      </c>
      <c r="AK24" s="222">
        <f>'20Rev'!$K$25</f>
        <v>12663.363353405291</v>
      </c>
      <c r="AL24" s="222">
        <f>'21Rev'!$L$25</f>
        <v>13892.586331032617</v>
      </c>
      <c r="AM24" s="222">
        <f>'21Rev'!$K$25</f>
        <v>12985.028679310944</v>
      </c>
      <c r="AN24" s="222">
        <f>'22Rev'!$L$25</f>
        <v>14717.659922974331</v>
      </c>
      <c r="AO24" s="222">
        <f>'22Rev'!$K$25</f>
        <v>13541.112301532055</v>
      </c>
      <c r="AP24" s="222">
        <f>'23Rev'!$L$25</f>
        <v>14833.382220993553</v>
      </c>
      <c r="AQ24" s="222">
        <f>'23Rev'!$K$25</f>
        <v>13861.668675093064</v>
      </c>
    </row>
    <row r="25" spans="1:43" ht="13.5" thickTop="1" x14ac:dyDescent="0.2">
      <c r="A25" s="104"/>
      <c r="B25" s="6"/>
      <c r="C25" s="6"/>
      <c r="D25" s="6"/>
      <c r="E25" s="6"/>
      <c r="F25" s="6"/>
      <c r="G25" s="6"/>
      <c r="H25" s="6"/>
      <c r="I25" s="6"/>
      <c r="J25" s="6"/>
      <c r="K25" s="131"/>
      <c r="L25" s="131"/>
      <c r="M25" s="131"/>
      <c r="N25" s="131"/>
      <c r="O25" s="131"/>
      <c r="P25" s="6"/>
      <c r="R25" s="208"/>
      <c r="V25" s="208"/>
    </row>
    <row r="26" spans="1:43" ht="20.25" x14ac:dyDescent="0.3">
      <c r="A26" s="270" t="s">
        <v>1123</v>
      </c>
      <c r="B26" s="6"/>
      <c r="C26" s="6"/>
      <c r="D26" s="6"/>
      <c r="E26" s="6"/>
      <c r="F26" s="6"/>
      <c r="G26" s="6"/>
      <c r="H26" s="6"/>
      <c r="I26" s="6"/>
      <c r="J26" s="6"/>
      <c r="K26" s="131"/>
      <c r="L26" s="131"/>
      <c r="M26" s="131"/>
      <c r="N26" s="131"/>
      <c r="O26" s="131"/>
      <c r="P26" s="6"/>
      <c r="R26" s="208"/>
      <c r="V26" s="208"/>
    </row>
    <row r="27" spans="1:43" x14ac:dyDescent="0.2">
      <c r="A27" s="270"/>
      <c r="B27" s="6"/>
      <c r="C27" s="6"/>
      <c r="D27" s="6"/>
      <c r="E27" s="6"/>
      <c r="F27" s="6"/>
      <c r="G27" s="6"/>
      <c r="H27" s="6"/>
      <c r="I27" s="6"/>
      <c r="J27" s="6"/>
      <c r="K27" s="131"/>
      <c r="L27" s="131"/>
      <c r="M27" s="131"/>
      <c r="N27" s="131"/>
      <c r="O27" s="131"/>
      <c r="P27" s="6"/>
      <c r="R27" s="208"/>
      <c r="V27" s="208"/>
    </row>
    <row r="28" spans="1:43" ht="14.25" x14ac:dyDescent="0.2">
      <c r="A28" s="140" t="s">
        <v>430</v>
      </c>
      <c r="B28" s="6"/>
      <c r="C28" s="6"/>
      <c r="D28" s="6"/>
      <c r="E28" s="6"/>
      <c r="F28" s="6"/>
      <c r="G28" s="6"/>
      <c r="H28" s="6"/>
      <c r="I28" s="6"/>
      <c r="J28" s="6"/>
      <c r="K28" s="131"/>
      <c r="L28" s="131"/>
      <c r="M28" s="131"/>
      <c r="N28" s="131"/>
      <c r="O28" s="131"/>
      <c r="P28" s="134"/>
      <c r="R28" s="208"/>
      <c r="V28" s="122"/>
    </row>
    <row r="29" spans="1:43" x14ac:dyDescent="0.2">
      <c r="B29" s="269" t="s">
        <v>1043</v>
      </c>
      <c r="C29" s="6"/>
      <c r="D29" s="6"/>
      <c r="E29" s="6"/>
      <c r="F29" s="6"/>
      <c r="G29" s="6"/>
      <c r="H29" s="6"/>
      <c r="I29" s="6"/>
      <c r="J29" s="6"/>
      <c r="K29" s="131"/>
      <c r="L29" s="131"/>
      <c r="M29" s="131"/>
      <c r="N29" s="131"/>
      <c r="O29" s="131"/>
      <c r="P29" s="134"/>
      <c r="V29" s="122"/>
    </row>
    <row r="30" spans="1:43" x14ac:dyDescent="0.2">
      <c r="A30" s="138"/>
      <c r="B30" s="6"/>
      <c r="C30" s="6"/>
      <c r="D30" s="6"/>
      <c r="E30" s="6"/>
      <c r="F30" s="6"/>
      <c r="G30" s="6"/>
      <c r="H30" s="6"/>
      <c r="I30" s="6"/>
      <c r="J30" s="6"/>
      <c r="K30" s="131"/>
      <c r="L30" s="131"/>
      <c r="M30" s="131"/>
      <c r="N30" s="131"/>
      <c r="O30" s="131"/>
      <c r="P30" s="134"/>
      <c r="V30" s="122"/>
    </row>
    <row r="31" spans="1:43" x14ac:dyDescent="0.2">
      <c r="A31" s="138"/>
      <c r="B31" s="6"/>
      <c r="C31" s="6"/>
      <c r="D31" s="6"/>
      <c r="E31" s="6"/>
      <c r="F31" s="6"/>
      <c r="G31" s="6"/>
      <c r="H31" s="6"/>
      <c r="I31" s="6"/>
      <c r="J31" s="6"/>
      <c r="K31" s="131"/>
      <c r="L31" s="131"/>
      <c r="M31" s="131"/>
      <c r="N31" s="131"/>
      <c r="O31" s="131"/>
      <c r="P31" s="134"/>
    </row>
    <row r="32" spans="1:43" x14ac:dyDescent="0.2">
      <c r="A32" s="104"/>
      <c r="B32" s="6"/>
      <c r="C32" s="6"/>
      <c r="D32" s="6"/>
      <c r="E32" s="6"/>
      <c r="F32" s="6"/>
      <c r="G32" s="6"/>
      <c r="H32" s="6"/>
      <c r="I32" s="6"/>
      <c r="J32" s="6"/>
      <c r="K32" s="131"/>
      <c r="L32" s="131"/>
      <c r="M32" s="131"/>
      <c r="N32" s="131"/>
      <c r="O32" s="131"/>
      <c r="P32" s="134"/>
    </row>
    <row r="33" spans="1:16" x14ac:dyDescent="0.2">
      <c r="A33" s="104"/>
      <c r="B33" s="6"/>
      <c r="C33" s="6"/>
      <c r="D33" s="6"/>
      <c r="E33" s="6"/>
      <c r="F33" s="6"/>
      <c r="G33" s="6"/>
      <c r="H33" s="6"/>
      <c r="I33" s="6"/>
      <c r="J33" s="6"/>
      <c r="K33" s="131"/>
      <c r="L33" s="131"/>
      <c r="M33" s="131"/>
      <c r="N33" s="131"/>
      <c r="O33" s="131"/>
      <c r="P33" s="134"/>
    </row>
  </sheetData>
  <phoneticPr fontId="7" type="noConversion"/>
  <pageMargins left="0.25" right="0.25" top="1" bottom="1" header="0.5" footer="0.5"/>
  <pageSetup scale="96" orientation="landscape" r:id="rId1"/>
  <headerFooter alignWithMargins="0">
    <oddFooter>&amp;L&amp;Z&amp;F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I84"/>
  <sheetViews>
    <sheetView workbookViewId="0">
      <selection activeCell="C32" sqref="C32"/>
    </sheetView>
  </sheetViews>
  <sheetFormatPr defaultRowHeight="12.75" x14ac:dyDescent="0.2"/>
  <cols>
    <col min="1" max="1" width="19.7109375" bestFit="1" customWidth="1"/>
    <col min="2" max="2" width="6.5703125" bestFit="1" customWidth="1"/>
    <col min="3" max="3" width="12.28515625" bestFit="1" customWidth="1"/>
    <col min="4" max="4" width="13.7109375" bestFit="1" customWidth="1"/>
    <col min="5" max="5" width="12" bestFit="1" customWidth="1"/>
    <col min="6" max="6" width="10.42578125" bestFit="1" customWidth="1"/>
    <col min="7" max="7" width="9.28515625" bestFit="1" customWidth="1"/>
    <col min="8" max="8" width="9.5703125" bestFit="1" customWidth="1"/>
  </cols>
  <sheetData>
    <row r="1" spans="1:9" x14ac:dyDescent="0.2">
      <c r="A1" s="36" t="s">
        <v>200</v>
      </c>
    </row>
    <row r="2" spans="1:9" x14ac:dyDescent="0.2">
      <c r="A2" s="36" t="s">
        <v>297</v>
      </c>
    </row>
    <row r="4" spans="1:9" ht="22.5" x14ac:dyDescent="0.2">
      <c r="A4" s="156" t="s">
        <v>88</v>
      </c>
      <c r="B4" s="144" t="s">
        <v>160</v>
      </c>
      <c r="C4" s="156" t="s">
        <v>166</v>
      </c>
      <c r="D4" s="156" t="s">
        <v>167</v>
      </c>
      <c r="E4" s="156" t="s">
        <v>168</v>
      </c>
      <c r="F4" s="156" t="s">
        <v>169</v>
      </c>
      <c r="G4" s="156" t="s">
        <v>170</v>
      </c>
      <c r="H4" s="165" t="s">
        <v>113</v>
      </c>
      <c r="I4" s="141" t="s">
        <v>448</v>
      </c>
    </row>
    <row r="5" spans="1:9" x14ac:dyDescent="0.2">
      <c r="A5" s="6" t="s">
        <v>102</v>
      </c>
      <c r="B5" s="6">
        <v>39846</v>
      </c>
      <c r="C5" s="6">
        <v>58143677.990000002</v>
      </c>
      <c r="D5" s="6">
        <v>15662798.18</v>
      </c>
      <c r="E5" s="6">
        <v>20518248.039999999</v>
      </c>
      <c r="F5" s="6">
        <v>96752697.719999999</v>
      </c>
      <c r="G5" s="6">
        <v>16017419.779999999</v>
      </c>
      <c r="H5" s="6">
        <v>207094841.71000001</v>
      </c>
      <c r="I5" s="6">
        <f>H5/B5</f>
        <v>5197.380959443859</v>
      </c>
    </row>
    <row r="6" spans="1:9" x14ac:dyDescent="0.2">
      <c r="A6" s="6" t="s">
        <v>76</v>
      </c>
      <c r="B6" s="6">
        <v>23909</v>
      </c>
      <c r="C6" s="6">
        <v>26903542.18</v>
      </c>
      <c r="D6" s="6">
        <v>9835512.1799999997</v>
      </c>
      <c r="E6" s="6">
        <v>11788400.9</v>
      </c>
      <c r="F6" s="6">
        <v>61344649.07</v>
      </c>
      <c r="G6" s="6">
        <v>18962357.07</v>
      </c>
      <c r="H6" s="6">
        <v>128834461.40000001</v>
      </c>
      <c r="I6" s="6">
        <f t="shared" ref="I6:I11" si="0">H6/B6</f>
        <v>5388.5340833995569</v>
      </c>
    </row>
    <row r="7" spans="1:9" x14ac:dyDescent="0.2">
      <c r="A7" s="6" t="s">
        <v>77</v>
      </c>
      <c r="B7" s="6">
        <v>12684</v>
      </c>
      <c r="C7" s="6">
        <v>16217971.24</v>
      </c>
      <c r="D7" s="6">
        <v>5848282.7199999997</v>
      </c>
      <c r="E7" s="6">
        <v>7151959.9900000002</v>
      </c>
      <c r="F7" s="6">
        <v>32635905.34</v>
      </c>
      <c r="G7" s="6">
        <v>14643836.9</v>
      </c>
      <c r="H7" s="6">
        <v>76497956.190000013</v>
      </c>
      <c r="I7" s="6">
        <f t="shared" si="0"/>
        <v>6031.059302270578</v>
      </c>
    </row>
    <row r="8" spans="1:9" x14ac:dyDescent="0.2">
      <c r="A8" s="6" t="s">
        <v>78</v>
      </c>
      <c r="B8" s="6">
        <v>14732</v>
      </c>
      <c r="C8" s="6">
        <v>18761040.379999999</v>
      </c>
      <c r="D8" s="6">
        <v>7128469.2800000003</v>
      </c>
      <c r="E8" s="6">
        <v>7985622.21</v>
      </c>
      <c r="F8" s="6">
        <v>38649249.799999997</v>
      </c>
      <c r="G8" s="6">
        <v>13165542.460000001</v>
      </c>
      <c r="H8" s="6">
        <v>85689924.129999995</v>
      </c>
      <c r="I8" s="6">
        <f t="shared" si="0"/>
        <v>5816.5845866141726</v>
      </c>
    </row>
    <row r="9" spans="1:9" x14ac:dyDescent="0.2">
      <c r="A9" s="6" t="s">
        <v>79</v>
      </c>
      <c r="B9" s="6">
        <v>6597</v>
      </c>
      <c r="C9" s="6">
        <v>11637972.6</v>
      </c>
      <c r="D9" s="6">
        <v>4478726.75</v>
      </c>
      <c r="E9" s="6">
        <v>4065378.87</v>
      </c>
      <c r="F9" s="6">
        <v>17385697.219999999</v>
      </c>
      <c r="G9" s="6">
        <v>4665162.2</v>
      </c>
      <c r="H9" s="6">
        <v>42232937.640000001</v>
      </c>
      <c r="I9" s="6">
        <f t="shared" si="0"/>
        <v>6401.8398726693949</v>
      </c>
    </row>
    <row r="10" spans="1:9" x14ac:dyDescent="0.2">
      <c r="A10" s="6" t="s">
        <v>80</v>
      </c>
      <c r="B10" s="6">
        <v>1590</v>
      </c>
      <c r="C10" s="6">
        <v>2938804.11</v>
      </c>
      <c r="D10" s="6">
        <v>866355.01</v>
      </c>
      <c r="E10" s="6">
        <v>906072.94</v>
      </c>
      <c r="F10" s="6">
        <v>3990484.05</v>
      </c>
      <c r="G10" s="6">
        <v>497056.86</v>
      </c>
      <c r="H10" s="6">
        <v>9198772.9699999988</v>
      </c>
      <c r="I10" s="6">
        <f t="shared" si="0"/>
        <v>5785.391805031446</v>
      </c>
    </row>
    <row r="11" spans="1:9" ht="13.5" thickBot="1" x14ac:dyDescent="0.25">
      <c r="A11" s="8" t="s">
        <v>171</v>
      </c>
      <c r="B11" s="8">
        <v>99358</v>
      </c>
      <c r="C11" s="8">
        <v>134603008.5</v>
      </c>
      <c r="D11" s="8">
        <v>43820144.119999997</v>
      </c>
      <c r="E11" s="8">
        <v>52415682.949999996</v>
      </c>
      <c r="F11" s="8">
        <v>250758683.20000002</v>
      </c>
      <c r="G11" s="8">
        <v>67951375.269999996</v>
      </c>
      <c r="H11" s="8">
        <v>549548894.03999996</v>
      </c>
      <c r="I11" s="8">
        <f t="shared" si="0"/>
        <v>5530.9979472211598</v>
      </c>
    </row>
    <row r="12" spans="1:9" ht="13.5" thickTop="1" x14ac:dyDescent="0.2">
      <c r="A12" s="6"/>
      <c r="B12" s="6"/>
      <c r="C12" s="6"/>
      <c r="D12" s="6"/>
      <c r="E12" s="6"/>
      <c r="F12" s="6"/>
      <c r="G12" s="6"/>
      <c r="H12" s="6"/>
      <c r="I12" s="6"/>
    </row>
    <row r="13" spans="1:9" x14ac:dyDescent="0.2">
      <c r="A13" s="6"/>
      <c r="B13" s="6"/>
      <c r="C13" s="6"/>
      <c r="D13" s="6"/>
      <c r="E13" s="6"/>
      <c r="F13" s="6"/>
      <c r="G13" s="6"/>
      <c r="H13" s="6"/>
      <c r="I13" s="6"/>
    </row>
    <row r="14" spans="1:9" x14ac:dyDescent="0.2">
      <c r="A14" s="6" t="s">
        <v>81</v>
      </c>
      <c r="B14" s="6">
        <v>22340</v>
      </c>
      <c r="C14" s="6">
        <v>39022201.350000001</v>
      </c>
      <c r="D14" s="6">
        <v>14183095.710000001</v>
      </c>
      <c r="E14" s="6">
        <v>12328462.82</v>
      </c>
      <c r="F14" s="6">
        <v>64538907.43</v>
      </c>
      <c r="G14" s="6">
        <v>7286747.4800000004</v>
      </c>
      <c r="H14" s="6">
        <v>137359414.78999999</v>
      </c>
      <c r="I14" s="6">
        <f t="shared" ref="I14:I19" si="1">H14/B14</f>
        <v>6148.5861589077886</v>
      </c>
    </row>
    <row r="15" spans="1:9" x14ac:dyDescent="0.2">
      <c r="A15" s="6" t="s">
        <v>82</v>
      </c>
      <c r="B15" s="6">
        <v>10792</v>
      </c>
      <c r="C15" s="6">
        <v>13805040.09</v>
      </c>
      <c r="D15" s="6">
        <v>6847368.3700000001</v>
      </c>
      <c r="E15" s="6">
        <v>5769661.0499999998</v>
      </c>
      <c r="F15" s="6">
        <v>34328273.649999999</v>
      </c>
      <c r="G15" s="6">
        <v>4873672.88</v>
      </c>
      <c r="H15" s="6">
        <v>65624016.039999999</v>
      </c>
      <c r="I15" s="6">
        <f t="shared" si="1"/>
        <v>6080.8020793180131</v>
      </c>
    </row>
    <row r="16" spans="1:9" x14ac:dyDescent="0.2">
      <c r="A16" s="6" t="s">
        <v>83</v>
      </c>
      <c r="B16" s="6">
        <v>5193</v>
      </c>
      <c r="C16" s="6">
        <v>9195206.5899999999</v>
      </c>
      <c r="D16" s="6">
        <v>3920156.06</v>
      </c>
      <c r="E16" s="6">
        <v>3394751.2</v>
      </c>
      <c r="F16" s="6">
        <v>17249414.300000001</v>
      </c>
      <c r="G16" s="6">
        <v>3522003.47</v>
      </c>
      <c r="H16" s="6">
        <v>37281531.620000005</v>
      </c>
      <c r="I16" s="6">
        <f t="shared" si="1"/>
        <v>7179.1896052378206</v>
      </c>
    </row>
    <row r="17" spans="1:9" x14ac:dyDescent="0.2">
      <c r="A17" s="6" t="s">
        <v>84</v>
      </c>
      <c r="B17" s="6">
        <v>4967</v>
      </c>
      <c r="C17" s="6">
        <v>9637619.4199999999</v>
      </c>
      <c r="D17" s="6">
        <v>3804849.32</v>
      </c>
      <c r="E17" s="6">
        <v>4235050.79</v>
      </c>
      <c r="F17" s="6">
        <v>19480443.16</v>
      </c>
      <c r="G17" s="6">
        <v>4609254.96</v>
      </c>
      <c r="H17" s="6">
        <v>41767217.649999999</v>
      </c>
      <c r="I17" s="6">
        <f t="shared" si="1"/>
        <v>8408.9425508355143</v>
      </c>
    </row>
    <row r="18" spans="1:9" x14ac:dyDescent="0.2">
      <c r="A18" s="6" t="s">
        <v>85</v>
      </c>
      <c r="B18" s="6">
        <v>1524</v>
      </c>
      <c r="C18" s="6">
        <v>4603782.22</v>
      </c>
      <c r="D18" s="6">
        <v>1756304.93</v>
      </c>
      <c r="E18" s="6">
        <v>1655662.19</v>
      </c>
      <c r="F18" s="6">
        <v>8205007.9299999997</v>
      </c>
      <c r="G18" s="6">
        <v>1535977.53</v>
      </c>
      <c r="H18" s="6">
        <v>17756734.800000001</v>
      </c>
      <c r="I18" s="6">
        <f t="shared" si="1"/>
        <v>11651.400787401575</v>
      </c>
    </row>
    <row r="19" spans="1:9" ht="13.5" thickBot="1" x14ac:dyDescent="0.25">
      <c r="A19" s="8" t="s">
        <v>172</v>
      </c>
      <c r="B19" s="8">
        <v>44816</v>
      </c>
      <c r="C19" s="8">
        <v>76263849.670000002</v>
      </c>
      <c r="D19" s="8">
        <v>30511774.390000001</v>
      </c>
      <c r="E19" s="8">
        <v>27383588.050000001</v>
      </c>
      <c r="F19" s="8">
        <v>143802046.47</v>
      </c>
      <c r="G19" s="8">
        <v>21827656.32</v>
      </c>
      <c r="H19" s="8">
        <v>299788914.89999998</v>
      </c>
      <c r="I19" s="8">
        <f t="shared" si="1"/>
        <v>6689.3278048018556</v>
      </c>
    </row>
    <row r="20" spans="1:9" ht="13.5" thickTop="1" x14ac:dyDescent="0.2">
      <c r="A20" s="6"/>
      <c r="B20" s="6"/>
      <c r="C20" s="6"/>
      <c r="D20" s="6"/>
      <c r="E20" s="6"/>
      <c r="F20" s="6"/>
      <c r="G20" s="6"/>
      <c r="H20" s="6"/>
      <c r="I20" s="6"/>
    </row>
    <row r="21" spans="1:9" x14ac:dyDescent="0.2">
      <c r="A21" s="6"/>
      <c r="B21" s="6"/>
      <c r="C21" s="6"/>
      <c r="D21" s="6"/>
      <c r="E21" s="6"/>
      <c r="F21" s="6"/>
      <c r="G21" s="6"/>
      <c r="H21" s="6"/>
      <c r="I21" s="6"/>
    </row>
    <row r="22" spans="1:9" x14ac:dyDescent="0.2">
      <c r="A22" s="6" t="s">
        <v>86</v>
      </c>
      <c r="B22" s="6">
        <v>12916</v>
      </c>
      <c r="C22" s="6">
        <v>16163877.67</v>
      </c>
      <c r="D22" s="6">
        <v>7200427.4699999997</v>
      </c>
      <c r="E22" s="6">
        <v>6944580.4800000004</v>
      </c>
      <c r="F22" s="6">
        <v>36419008.270000003</v>
      </c>
      <c r="G22" s="6">
        <v>4633841.54</v>
      </c>
      <c r="H22" s="6">
        <v>71361735.430000007</v>
      </c>
      <c r="I22" s="6">
        <f>H22/B22</f>
        <v>5525.0646817900288</v>
      </c>
    </row>
    <row r="23" spans="1:9" x14ac:dyDescent="0.2">
      <c r="A23" s="6" t="s">
        <v>87</v>
      </c>
      <c r="B23" s="6">
        <v>6812</v>
      </c>
      <c r="C23" s="6">
        <v>15768913.470000001</v>
      </c>
      <c r="D23" s="6">
        <v>6097190.4500000002</v>
      </c>
      <c r="E23" s="6">
        <v>5191153.01</v>
      </c>
      <c r="F23" s="6">
        <v>22103824.98</v>
      </c>
      <c r="G23" s="6">
        <v>4152785.41</v>
      </c>
      <c r="H23" s="6">
        <v>53313867.319999993</v>
      </c>
      <c r="I23" s="6">
        <f>H23/B23</f>
        <v>7826.463200234879</v>
      </c>
    </row>
    <row r="24" spans="1:9" ht="13.5" thickBot="1" x14ac:dyDescent="0.25">
      <c r="A24" s="8" t="s">
        <v>173</v>
      </c>
      <c r="B24" s="8">
        <v>19728</v>
      </c>
      <c r="C24" s="8">
        <v>31932791.140000001</v>
      </c>
      <c r="D24" s="8">
        <v>13297617.92</v>
      </c>
      <c r="E24" s="8">
        <v>12135733.49</v>
      </c>
      <c r="F24" s="8">
        <v>58522833.25</v>
      </c>
      <c r="G24" s="8">
        <v>8786626.9499999993</v>
      </c>
      <c r="H24" s="8">
        <v>124675602.75000001</v>
      </c>
      <c r="I24" s="8">
        <f>H24/B24</f>
        <v>6319.7284443430663</v>
      </c>
    </row>
    <row r="25" spans="1:9" ht="13.5" thickTop="1" x14ac:dyDescent="0.2">
      <c r="A25" s="177"/>
      <c r="B25" s="177"/>
      <c r="C25" s="177"/>
      <c r="D25" s="177"/>
      <c r="E25" s="177"/>
      <c r="F25" s="177"/>
      <c r="G25" s="177"/>
      <c r="H25" s="177"/>
      <c r="I25" s="6"/>
    </row>
    <row r="26" spans="1:9" ht="13.5" thickBot="1" x14ac:dyDescent="0.25">
      <c r="A26" s="15" t="s">
        <v>174</v>
      </c>
      <c r="B26" s="8">
        <v>163902</v>
      </c>
      <c r="C26" s="8">
        <v>242799649.31</v>
      </c>
      <c r="D26" s="8">
        <v>87629536.430000007</v>
      </c>
      <c r="E26" s="8">
        <v>91935004.489999995</v>
      </c>
      <c r="F26" s="8">
        <v>453083562.92000002</v>
      </c>
      <c r="G26" s="8">
        <v>98565658.539999992</v>
      </c>
      <c r="H26" s="8">
        <v>974013411.68999994</v>
      </c>
      <c r="I26" s="8">
        <f>H26/B26</f>
        <v>5942.6572689167915</v>
      </c>
    </row>
    <row r="27" spans="1:9" ht="13.5" thickTop="1" x14ac:dyDescent="0.2">
      <c r="A27" s="1"/>
      <c r="B27" s="6"/>
      <c r="C27" s="6"/>
      <c r="D27" s="6"/>
      <c r="E27" s="6"/>
      <c r="F27" s="6"/>
      <c r="G27" s="6"/>
      <c r="H27" s="6"/>
      <c r="I27" s="6"/>
    </row>
    <row r="28" spans="1:9" x14ac:dyDescent="0.2">
      <c r="A28" s="36" t="s">
        <v>200</v>
      </c>
      <c r="B28" s="6"/>
      <c r="C28" s="6"/>
      <c r="D28" s="6"/>
      <c r="E28" s="6"/>
      <c r="F28" s="6"/>
      <c r="G28" s="6"/>
      <c r="H28" s="6"/>
      <c r="I28" s="6"/>
    </row>
    <row r="29" spans="1:9" x14ac:dyDescent="0.2">
      <c r="A29" s="36" t="s">
        <v>297</v>
      </c>
      <c r="B29" s="1"/>
      <c r="C29" s="1"/>
      <c r="D29" s="1"/>
      <c r="E29" s="1"/>
      <c r="F29" s="1"/>
      <c r="G29" s="1"/>
      <c r="H29" s="6"/>
    </row>
    <row r="31" spans="1:9" ht="22.5" x14ac:dyDescent="0.2">
      <c r="A31" s="155" t="s">
        <v>88</v>
      </c>
      <c r="B31" s="141" t="s">
        <v>160</v>
      </c>
      <c r="C31" s="172" t="s">
        <v>175</v>
      </c>
      <c r="D31" s="172" t="s">
        <v>176</v>
      </c>
      <c r="E31" s="172" t="s">
        <v>177</v>
      </c>
      <c r="F31" s="172" t="s">
        <v>178</v>
      </c>
      <c r="G31" s="172" t="s">
        <v>179</v>
      </c>
      <c r="H31" s="160" t="s">
        <v>113</v>
      </c>
    </row>
    <row r="32" spans="1:9" x14ac:dyDescent="0.2">
      <c r="A32" s="40"/>
      <c r="B32" s="5"/>
      <c r="C32" s="40"/>
      <c r="D32" s="40"/>
      <c r="E32" s="40"/>
      <c r="F32" s="40"/>
      <c r="G32" s="40"/>
      <c r="H32" s="1"/>
    </row>
    <row r="33" spans="1:8" x14ac:dyDescent="0.2">
      <c r="A33" s="6" t="s">
        <v>102</v>
      </c>
      <c r="B33" s="6">
        <v>39846</v>
      </c>
      <c r="C33" s="6">
        <v>1459.21</v>
      </c>
      <c r="D33" s="6">
        <v>393.08</v>
      </c>
      <c r="E33" s="6">
        <v>514.93871505295385</v>
      </c>
      <c r="F33" s="6">
        <v>2428.17</v>
      </c>
      <c r="G33" s="6">
        <v>401.98</v>
      </c>
      <c r="H33" s="6">
        <v>5197.380959443859</v>
      </c>
    </row>
    <row r="34" spans="1:8" x14ac:dyDescent="0.2">
      <c r="A34" s="6" t="s">
        <v>76</v>
      </c>
      <c r="B34" s="6">
        <v>23909</v>
      </c>
      <c r="C34" s="6">
        <v>1125.25</v>
      </c>
      <c r="D34" s="6">
        <v>411.37</v>
      </c>
      <c r="E34" s="6">
        <v>493.05286293864236</v>
      </c>
      <c r="F34" s="6">
        <v>2565.7600000000002</v>
      </c>
      <c r="G34" s="6">
        <v>793.11</v>
      </c>
      <c r="H34" s="6">
        <v>5388.5340833995569</v>
      </c>
    </row>
    <row r="35" spans="1:8" x14ac:dyDescent="0.2">
      <c r="A35" s="6" t="s">
        <v>77</v>
      </c>
      <c r="B35" s="6">
        <v>12684</v>
      </c>
      <c r="C35" s="6">
        <v>1278.6199999999999</v>
      </c>
      <c r="D35" s="6">
        <v>461.08</v>
      </c>
      <c r="E35" s="6">
        <v>563.85682671081679</v>
      </c>
      <c r="F35" s="6">
        <v>2573</v>
      </c>
      <c r="G35" s="6">
        <v>1154.51</v>
      </c>
      <c r="H35" s="6">
        <v>6031.059302270578</v>
      </c>
    </row>
    <row r="36" spans="1:8" x14ac:dyDescent="0.2">
      <c r="A36" s="6" t="s">
        <v>78</v>
      </c>
      <c r="B36" s="6">
        <v>14732</v>
      </c>
      <c r="C36" s="6">
        <v>1273.49</v>
      </c>
      <c r="D36" s="6">
        <v>483.88</v>
      </c>
      <c r="E36" s="6">
        <v>542.0596124083628</v>
      </c>
      <c r="F36" s="6">
        <v>2623.49</v>
      </c>
      <c r="G36" s="6">
        <v>893.67</v>
      </c>
      <c r="H36" s="6">
        <v>5816.5845866141726</v>
      </c>
    </row>
    <row r="37" spans="1:8" x14ac:dyDescent="0.2">
      <c r="A37" s="6" t="s">
        <v>79</v>
      </c>
      <c r="B37" s="6">
        <v>6597</v>
      </c>
      <c r="C37" s="6">
        <v>1764.13</v>
      </c>
      <c r="D37" s="6">
        <v>678.9</v>
      </c>
      <c r="E37" s="6">
        <v>616.24660754888589</v>
      </c>
      <c r="F37" s="6">
        <v>2635.39</v>
      </c>
      <c r="G37" s="6">
        <v>707.16</v>
      </c>
      <c r="H37" s="6">
        <v>6401.8398726693949</v>
      </c>
    </row>
    <row r="38" spans="1:8" x14ac:dyDescent="0.2">
      <c r="A38" s="6" t="s">
        <v>80</v>
      </c>
      <c r="B38" s="6">
        <v>1590</v>
      </c>
      <c r="C38" s="6">
        <v>1848.3</v>
      </c>
      <c r="D38" s="6">
        <v>544.88</v>
      </c>
      <c r="E38" s="6">
        <v>569.85719496855347</v>
      </c>
      <c r="F38" s="6">
        <v>2509.7399999999998</v>
      </c>
      <c r="G38" s="6">
        <v>312.61</v>
      </c>
      <c r="H38" s="6">
        <v>5785.391805031446</v>
      </c>
    </row>
    <row r="39" spans="1:8" ht="13.5" thickBot="1" x14ac:dyDescent="0.25">
      <c r="A39" s="8" t="s">
        <v>134</v>
      </c>
      <c r="B39" s="8">
        <v>99358</v>
      </c>
      <c r="C39" s="8">
        <v>1354.7274351335575</v>
      </c>
      <c r="D39" s="8">
        <v>441.03287223977935</v>
      </c>
      <c r="E39" s="8">
        <v>527.54365979588954</v>
      </c>
      <c r="F39" s="8">
        <v>2523.7895609815014</v>
      </c>
      <c r="G39" s="8">
        <v>683.90441907043214</v>
      </c>
      <c r="H39" s="8">
        <v>5530.9979472211598</v>
      </c>
    </row>
    <row r="40" spans="1:8" ht="13.5" thickTop="1" x14ac:dyDescent="0.2">
      <c r="A40" s="6"/>
      <c r="B40" s="6"/>
      <c r="C40" s="6"/>
      <c r="D40" s="6"/>
      <c r="E40" s="6"/>
      <c r="F40" s="6"/>
      <c r="G40" s="6"/>
      <c r="H40" s="6"/>
    </row>
    <row r="41" spans="1:8" x14ac:dyDescent="0.2">
      <c r="A41" s="6"/>
      <c r="B41" s="6"/>
      <c r="C41" s="6"/>
      <c r="D41" s="6"/>
      <c r="E41" s="6"/>
      <c r="F41" s="6"/>
      <c r="G41" s="6"/>
      <c r="H41" s="6"/>
    </row>
    <row r="42" spans="1:8" x14ac:dyDescent="0.2">
      <c r="A42" s="6" t="s">
        <v>81</v>
      </c>
      <c r="B42" s="6">
        <v>22340</v>
      </c>
      <c r="C42" s="6">
        <v>1746.74</v>
      </c>
      <c r="D42" s="6">
        <v>634.87</v>
      </c>
      <c r="E42" s="6">
        <v>551.85599015219339</v>
      </c>
      <c r="F42" s="6">
        <v>2888.94</v>
      </c>
      <c r="G42" s="6">
        <v>326.17</v>
      </c>
      <c r="H42" s="6">
        <v>6148.5861589077886</v>
      </c>
    </row>
    <row r="43" spans="1:8" x14ac:dyDescent="0.2">
      <c r="A43" s="6" t="s">
        <v>82</v>
      </c>
      <c r="B43" s="6">
        <v>10792</v>
      </c>
      <c r="C43" s="6">
        <v>1279.19</v>
      </c>
      <c r="D43" s="6">
        <v>634.49</v>
      </c>
      <c r="E43" s="6">
        <v>534.62389269829498</v>
      </c>
      <c r="F43" s="6">
        <v>3180.9</v>
      </c>
      <c r="G43" s="6">
        <v>451.6</v>
      </c>
      <c r="H43" s="6">
        <v>6080.8020793180131</v>
      </c>
    </row>
    <row r="44" spans="1:8" x14ac:dyDescent="0.2">
      <c r="A44" s="6" t="s">
        <v>83</v>
      </c>
      <c r="B44" s="6">
        <v>5193</v>
      </c>
      <c r="C44" s="6">
        <v>1770.69</v>
      </c>
      <c r="D44" s="6">
        <v>754.89</v>
      </c>
      <c r="E44" s="6">
        <v>653.71677257847102</v>
      </c>
      <c r="F44" s="6">
        <v>3321.67</v>
      </c>
      <c r="G44" s="6">
        <v>678.22</v>
      </c>
      <c r="H44" s="6">
        <v>7179.1896052378206</v>
      </c>
    </row>
    <row r="45" spans="1:8" x14ac:dyDescent="0.2">
      <c r="A45" s="6" t="s">
        <v>84</v>
      </c>
      <c r="B45" s="6">
        <v>4967</v>
      </c>
      <c r="C45" s="6">
        <v>1940.33</v>
      </c>
      <c r="D45" s="6">
        <v>766.03</v>
      </c>
      <c r="E45" s="6">
        <v>852.63756593517212</v>
      </c>
      <c r="F45" s="6">
        <v>3921.97</v>
      </c>
      <c r="G45" s="6">
        <v>927.98</v>
      </c>
      <c r="H45" s="6">
        <v>8408.9425508355143</v>
      </c>
    </row>
    <row r="46" spans="1:8" x14ac:dyDescent="0.2">
      <c r="A46" s="6" t="s">
        <v>85</v>
      </c>
      <c r="B46" s="6">
        <v>1524</v>
      </c>
      <c r="C46" s="6">
        <v>3020.85</v>
      </c>
      <c r="D46" s="6">
        <v>1152.43</v>
      </c>
      <c r="E46" s="6">
        <v>1086.3925131233595</v>
      </c>
      <c r="F46" s="6">
        <v>5383.86</v>
      </c>
      <c r="G46" s="6">
        <v>1007.86</v>
      </c>
      <c r="H46" s="6">
        <v>11651.400787401575</v>
      </c>
    </row>
    <row r="47" spans="1:8" ht="13.5" thickBot="1" x14ac:dyDescent="0.25">
      <c r="A47" s="8" t="s">
        <v>135</v>
      </c>
      <c r="B47" s="8">
        <v>44816</v>
      </c>
      <c r="C47" s="8">
        <v>1701.7103193056053</v>
      </c>
      <c r="D47" s="8">
        <v>680.82324147625854</v>
      </c>
      <c r="E47" s="8">
        <v>611.02258233666544</v>
      </c>
      <c r="F47" s="8">
        <v>3208.7211368707603</v>
      </c>
      <c r="G47" s="8">
        <v>487.05052481256695</v>
      </c>
      <c r="H47" s="8">
        <v>6689.3278048018556</v>
      </c>
    </row>
    <row r="48" spans="1:8" ht="13.5" thickTop="1" x14ac:dyDescent="0.2">
      <c r="A48" s="6"/>
      <c r="B48" s="6"/>
      <c r="C48" s="6"/>
      <c r="D48" s="6"/>
      <c r="E48" s="6"/>
      <c r="F48" s="6"/>
      <c r="G48" s="6"/>
      <c r="H48" s="6"/>
    </row>
    <row r="49" spans="1:8" x14ac:dyDescent="0.2">
      <c r="A49" s="6"/>
      <c r="B49" s="6"/>
      <c r="C49" s="6"/>
      <c r="D49" s="6"/>
      <c r="E49" s="6"/>
      <c r="F49" s="6"/>
      <c r="G49" s="6"/>
      <c r="H49" s="6"/>
    </row>
    <row r="50" spans="1:8" x14ac:dyDescent="0.2">
      <c r="A50" s="6" t="s">
        <v>86</v>
      </c>
      <c r="B50" s="6">
        <v>12916</v>
      </c>
      <c r="C50" s="6">
        <v>1251.46</v>
      </c>
      <c r="D50" s="6">
        <v>557.48</v>
      </c>
      <c r="E50" s="6">
        <v>537.67269123567667</v>
      </c>
      <c r="F50" s="6">
        <v>2819.68</v>
      </c>
      <c r="G50" s="6">
        <v>358.77</v>
      </c>
      <c r="H50" s="6">
        <v>5525.0646817900288</v>
      </c>
    </row>
    <row r="51" spans="1:8" x14ac:dyDescent="0.2">
      <c r="A51" s="6" t="s">
        <v>87</v>
      </c>
      <c r="B51" s="6">
        <v>6812</v>
      </c>
      <c r="C51" s="6">
        <v>2314.87</v>
      </c>
      <c r="D51" s="6">
        <v>895.07</v>
      </c>
      <c r="E51" s="6">
        <v>762.06004257193183</v>
      </c>
      <c r="F51" s="6">
        <v>3244.84</v>
      </c>
      <c r="G51" s="6">
        <v>609.63</v>
      </c>
      <c r="H51" s="6">
        <v>7826.463200234879</v>
      </c>
    </row>
    <row r="52" spans="1:8" ht="13.5" thickBot="1" x14ac:dyDescent="0.25">
      <c r="A52" s="8" t="s">
        <v>136</v>
      </c>
      <c r="B52" s="8">
        <v>19728</v>
      </c>
      <c r="C52" s="8">
        <v>1618.6532410786699</v>
      </c>
      <c r="D52" s="8">
        <v>674.04794809407952</v>
      </c>
      <c r="E52" s="8">
        <v>615.15275192619629</v>
      </c>
      <c r="F52" s="8">
        <v>2966.4858703365776</v>
      </c>
      <c r="G52" s="8">
        <v>445.38863290754256</v>
      </c>
      <c r="H52" s="8">
        <v>6319.7284443430663</v>
      </c>
    </row>
    <row r="53" spans="1:8" ht="14.25" thickTop="1" thickBot="1" x14ac:dyDescent="0.25">
      <c r="A53" s="41"/>
      <c r="B53" s="41"/>
      <c r="C53" s="42"/>
      <c r="D53" s="42"/>
      <c r="E53" s="42"/>
      <c r="F53" s="42"/>
      <c r="G53" s="42"/>
      <c r="H53" s="42"/>
    </row>
    <row r="54" spans="1:8" ht="13.5" thickBot="1" x14ac:dyDescent="0.25">
      <c r="A54" s="31" t="s">
        <v>137</v>
      </c>
      <c r="B54" s="39">
        <v>163902</v>
      </c>
      <c r="C54" s="39">
        <v>1481.3708759502629</v>
      </c>
      <c r="D54" s="39">
        <v>534.64592518700204</v>
      </c>
      <c r="E54" s="27">
        <v>560.91447627240666</v>
      </c>
      <c r="F54" s="39">
        <v>2764.3565235323549</v>
      </c>
      <c r="G54" s="39">
        <v>601.36946797476537</v>
      </c>
      <c r="H54" s="39">
        <v>5942.6572689167915</v>
      </c>
    </row>
    <row r="55" spans="1:8" ht="13.5" thickTop="1" x14ac:dyDescent="0.2">
      <c r="A55" s="1"/>
      <c r="B55" s="1"/>
      <c r="C55" s="1"/>
      <c r="D55" s="1"/>
      <c r="E55" s="1"/>
      <c r="F55" s="1"/>
      <c r="G55" s="1"/>
      <c r="H55" s="1"/>
    </row>
    <row r="58" spans="1:8" x14ac:dyDescent="0.2">
      <c r="A58" s="36" t="s">
        <v>200</v>
      </c>
    </row>
    <row r="59" spans="1:8" x14ac:dyDescent="0.2">
      <c r="A59" s="36" t="s">
        <v>297</v>
      </c>
    </row>
    <row r="60" spans="1:8" ht="22.5" x14ac:dyDescent="0.2">
      <c r="A60" s="155" t="s">
        <v>88</v>
      </c>
      <c r="B60" s="14"/>
      <c r="C60" s="172" t="s">
        <v>175</v>
      </c>
      <c r="D60" s="172" t="s">
        <v>176</v>
      </c>
      <c r="E60" s="172" t="s">
        <v>177</v>
      </c>
      <c r="F60" s="172" t="s">
        <v>178</v>
      </c>
      <c r="G60" s="172" t="s">
        <v>179</v>
      </c>
      <c r="H60" s="43"/>
    </row>
    <row r="61" spans="1:8" x14ac:dyDescent="0.2">
      <c r="A61" s="40"/>
      <c r="B61" s="9"/>
      <c r="C61" s="9"/>
      <c r="D61" s="9"/>
      <c r="E61" s="9"/>
      <c r="F61" s="9"/>
      <c r="G61" s="9"/>
      <c r="H61" s="9"/>
    </row>
    <row r="62" spans="1:8" x14ac:dyDescent="0.2">
      <c r="A62" s="6" t="s">
        <v>102</v>
      </c>
      <c r="B62" s="9"/>
      <c r="C62" s="9">
        <v>0.28075871508871297</v>
      </c>
      <c r="D62" s="9">
        <v>7.563039982392615E-2</v>
      </c>
      <c r="E62" s="9">
        <v>9.9076577043537409E-2</v>
      </c>
      <c r="F62" s="9">
        <v>0.46719107545655536</v>
      </c>
      <c r="G62" s="9">
        <v>7.7342800756135741E-2</v>
      </c>
      <c r="H62" s="9"/>
    </row>
    <row r="63" spans="1:8" x14ac:dyDescent="0.2">
      <c r="A63" s="6" t="s">
        <v>76</v>
      </c>
      <c r="B63" s="9"/>
      <c r="C63" s="9">
        <v>0.20882302729912292</v>
      </c>
      <c r="D63" s="9">
        <v>7.6341727385061273E-2</v>
      </c>
      <c r="E63" s="9">
        <v>9.1500370102063383E-2</v>
      </c>
      <c r="F63" s="9">
        <v>0.47615176229548783</v>
      </c>
      <c r="G63" s="9">
        <v>0.14718474221835803</v>
      </c>
      <c r="H63" s="9"/>
    </row>
    <row r="64" spans="1:8" x14ac:dyDescent="0.2">
      <c r="A64" s="6" t="s">
        <v>77</v>
      </c>
      <c r="B64" s="9"/>
      <c r="C64" s="9">
        <v>0.21200587424478218</v>
      </c>
      <c r="D64" s="9">
        <v>7.6450914655475571E-2</v>
      </c>
      <c r="E64" s="9">
        <v>9.3492170852728235E-2</v>
      </c>
      <c r="F64" s="9">
        <v>0.42662488810735372</v>
      </c>
      <c r="G64" s="9">
        <v>0.19142739975469139</v>
      </c>
      <c r="H64" s="9"/>
    </row>
    <row r="65" spans="1:8" x14ac:dyDescent="0.2">
      <c r="A65" s="6" t="s">
        <v>78</v>
      </c>
      <c r="B65" s="9"/>
      <c r="C65" s="9">
        <v>0.2189411984020157</v>
      </c>
      <c r="D65" s="9">
        <v>8.3189712587273826E-2</v>
      </c>
      <c r="E65" s="9">
        <v>9.3192079361454808E-2</v>
      </c>
      <c r="F65" s="9">
        <v>0.45103616408115033</v>
      </c>
      <c r="G65" s="9">
        <v>0.15364170961368315</v>
      </c>
      <c r="H65" s="9"/>
    </row>
    <row r="66" spans="1:8" x14ac:dyDescent="0.2">
      <c r="A66" s="6" t="s">
        <v>79</v>
      </c>
      <c r="B66" s="9"/>
      <c r="C66" s="9">
        <v>0.27556609273083948</v>
      </c>
      <c r="D66" s="9">
        <v>0.10604763841381695</v>
      </c>
      <c r="E66" s="9">
        <v>9.6260859347599967E-2</v>
      </c>
      <c r="F66" s="9">
        <v>0.41166134305404195</v>
      </c>
      <c r="G66" s="9">
        <v>0.11046199437430372</v>
      </c>
      <c r="H66" s="9"/>
    </row>
    <row r="67" spans="1:8" x14ac:dyDescent="0.2">
      <c r="A67" s="6" t="s">
        <v>80</v>
      </c>
      <c r="B67" s="9"/>
      <c r="C67" s="9">
        <v>0.31947706608091231</v>
      </c>
      <c r="D67" s="9">
        <v>9.4182039585655741E-2</v>
      </c>
      <c r="E67" s="9">
        <v>9.849932626394628E-2</v>
      </c>
      <c r="F67" s="9">
        <v>0.43380640146399874</v>
      </c>
      <c r="G67" s="9">
        <v>5.4034369760078999E-2</v>
      </c>
      <c r="H67" s="9"/>
    </row>
    <row r="68" spans="1:8" ht="13.5" thickBot="1" x14ac:dyDescent="0.25">
      <c r="A68" s="8" t="s">
        <v>134</v>
      </c>
      <c r="B68" s="11"/>
      <c r="C68" s="11">
        <v>0.24493363549595765</v>
      </c>
      <c r="D68" s="11">
        <v>7.9738390150978014E-2</v>
      </c>
      <c r="E68" s="11">
        <v>9.5379471269001981E-2</v>
      </c>
      <c r="F68" s="11">
        <v>0.45629913174158448</v>
      </c>
      <c r="G68" s="11">
        <v>0.12364937134247789</v>
      </c>
      <c r="H68" s="9"/>
    </row>
    <row r="69" spans="1:8" ht="13.5" thickTop="1" x14ac:dyDescent="0.2">
      <c r="A69" s="6"/>
      <c r="B69" s="9"/>
      <c r="C69" s="9"/>
      <c r="D69" s="9"/>
      <c r="E69" s="9"/>
      <c r="F69" s="9"/>
      <c r="G69" s="9"/>
      <c r="H69" s="9"/>
    </row>
    <row r="70" spans="1:8" x14ac:dyDescent="0.2">
      <c r="A70" s="6"/>
      <c r="B70" s="9"/>
      <c r="C70" s="9"/>
      <c r="D70" s="9"/>
      <c r="E70" s="9"/>
      <c r="F70" s="9"/>
      <c r="G70" s="9"/>
      <c r="H70" s="9"/>
    </row>
    <row r="71" spans="1:8" x14ac:dyDescent="0.2">
      <c r="A71" s="6" t="s">
        <v>81</v>
      </c>
      <c r="B71" s="9"/>
      <c r="C71" s="9">
        <v>0.28408807404762532</v>
      </c>
      <c r="D71" s="9">
        <v>0.10325463181161243</v>
      </c>
      <c r="E71" s="9">
        <v>8.9753314971880133E-2</v>
      </c>
      <c r="F71" s="9">
        <v>0.46985435762571803</v>
      </c>
      <c r="G71" s="9">
        <v>5.3047967706764579E-2</v>
      </c>
      <c r="H71" s="9"/>
    </row>
    <row r="72" spans="1:8" x14ac:dyDescent="0.2">
      <c r="A72" s="6" t="s">
        <v>82</v>
      </c>
      <c r="B72" s="9"/>
      <c r="C72" s="9">
        <v>0.21036534051170211</v>
      </c>
      <c r="D72" s="9">
        <v>0.10434314284920135</v>
      </c>
      <c r="E72" s="9">
        <v>8.7919962814881694E-2</v>
      </c>
      <c r="F72" s="9">
        <v>0.52310533355769917</v>
      </c>
      <c r="G72" s="9">
        <v>7.4266518480510857E-2</v>
      </c>
      <c r="H72" s="9"/>
    </row>
    <row r="73" spans="1:8" x14ac:dyDescent="0.2">
      <c r="A73" s="6" t="s">
        <v>83</v>
      </c>
      <c r="B73" s="9"/>
      <c r="C73" s="9">
        <v>0.24664204420901953</v>
      </c>
      <c r="D73" s="9">
        <v>0.10514975108739912</v>
      </c>
      <c r="E73" s="9">
        <v>9.1057181732814227E-2</v>
      </c>
      <c r="F73" s="9">
        <v>0.46268035567364918</v>
      </c>
      <c r="G73" s="9">
        <v>9.4470272731783225E-2</v>
      </c>
      <c r="H73" s="9"/>
    </row>
    <row r="74" spans="1:8" x14ac:dyDescent="0.2">
      <c r="A74" s="6" t="s">
        <v>84</v>
      </c>
      <c r="B74" s="9"/>
      <c r="C74" s="9">
        <v>0.23074601690639548</v>
      </c>
      <c r="D74" s="9">
        <v>9.1097066648872169E-2</v>
      </c>
      <c r="E74" s="9">
        <v>0.1013965264693661</v>
      </c>
      <c r="F74" s="9">
        <v>0.46640466102486478</v>
      </c>
      <c r="G74" s="9">
        <v>0.11035632535125309</v>
      </c>
      <c r="H74" s="9"/>
    </row>
    <row r="75" spans="1:8" x14ac:dyDescent="0.2">
      <c r="A75" s="6" t="s">
        <v>85</v>
      </c>
      <c r="B75" s="9"/>
      <c r="C75" s="9">
        <v>0.25926925484070412</v>
      </c>
      <c r="D75" s="9">
        <v>9.8909137281252862E-2</v>
      </c>
      <c r="E75" s="9">
        <v>9.3241364960859802E-2</v>
      </c>
      <c r="F75" s="9">
        <v>0.46207834562016431</v>
      </c>
      <c r="G75" s="9">
        <v>8.6501187143933692E-2</v>
      </c>
      <c r="H75" s="9"/>
    </row>
    <row r="76" spans="1:8" ht="13.5" thickBot="1" x14ac:dyDescent="0.25">
      <c r="A76" s="8" t="s">
        <v>135</v>
      </c>
      <c r="B76" s="11"/>
      <c r="C76" s="11">
        <v>0.25439182664722343</v>
      </c>
      <c r="D76" s="11">
        <v>0.10177752703157072</v>
      </c>
      <c r="E76" s="11">
        <v>9.134289724866676E-2</v>
      </c>
      <c r="F76" s="11">
        <v>0.47967766425909303</v>
      </c>
      <c r="G76" s="11">
        <v>7.2810084813446196E-2</v>
      </c>
      <c r="H76" s="9"/>
    </row>
    <row r="77" spans="1:8" ht="13.5" thickTop="1" x14ac:dyDescent="0.2">
      <c r="A77" s="6"/>
      <c r="B77" s="9"/>
      <c r="C77" s="9"/>
      <c r="D77" s="9"/>
      <c r="E77" s="9"/>
      <c r="F77" s="9"/>
      <c r="G77" s="9"/>
      <c r="H77" s="9"/>
    </row>
    <row r="78" spans="1:8" x14ac:dyDescent="0.2">
      <c r="A78" s="6"/>
      <c r="B78" s="9"/>
      <c r="C78" s="9"/>
      <c r="D78" s="9"/>
      <c r="E78" s="9"/>
      <c r="F78" s="9"/>
      <c r="G78" s="9"/>
      <c r="H78" s="9"/>
    </row>
    <row r="79" spans="1:8" x14ac:dyDescent="0.2">
      <c r="A79" s="6" t="s">
        <v>86</v>
      </c>
      <c r="B79" s="9"/>
      <c r="C79" s="9">
        <v>0.22650594555474921</v>
      </c>
      <c r="D79" s="9">
        <v>0.10090017621646843</v>
      </c>
      <c r="E79" s="9">
        <v>9.7315184925849535E-2</v>
      </c>
      <c r="F79" s="9">
        <v>0.51034334662059933</v>
      </c>
      <c r="G79" s="9">
        <v>6.4934986405220593E-2</v>
      </c>
      <c r="H79" s="9"/>
    </row>
    <row r="80" spans="1:8" x14ac:dyDescent="0.2">
      <c r="A80" s="6" t="s">
        <v>87</v>
      </c>
      <c r="B80" s="9"/>
      <c r="C80" s="9">
        <v>0.2957747249013486</v>
      </c>
      <c r="D80" s="9">
        <v>0.11436455741248974</v>
      </c>
      <c r="E80" s="9">
        <v>9.7369657669771167E-2</v>
      </c>
      <c r="F80" s="9">
        <v>0.41459851237818629</v>
      </c>
      <c r="G80" s="9">
        <v>7.7893421894797185E-2</v>
      </c>
      <c r="H80" s="9"/>
    </row>
    <row r="81" spans="1:8" ht="13.5" thickBot="1" x14ac:dyDescent="0.25">
      <c r="A81" s="8" t="s">
        <v>136</v>
      </c>
      <c r="B81" s="11"/>
      <c r="C81" s="11">
        <v>0.25612702433876944</v>
      </c>
      <c r="D81" s="11">
        <v>0.10665773917824511</v>
      </c>
      <c r="E81" s="11">
        <v>9.7338478598211542E-2</v>
      </c>
      <c r="F81" s="11">
        <v>0.46940084474546484</v>
      </c>
      <c r="G81" s="11">
        <v>7.0475913139309038E-2</v>
      </c>
      <c r="H81" s="9"/>
    </row>
    <row r="82" spans="1:8" ht="14.25" thickTop="1" thickBot="1" x14ac:dyDescent="0.25">
      <c r="A82" s="41"/>
      <c r="B82" s="44"/>
      <c r="C82" s="44"/>
      <c r="D82" s="44"/>
      <c r="E82" s="44"/>
      <c r="F82" s="44"/>
      <c r="G82" s="44"/>
      <c r="H82" s="9"/>
    </row>
    <row r="83" spans="1:8" ht="13.5" thickBot="1" x14ac:dyDescent="0.25">
      <c r="A83" s="31" t="s">
        <v>137</v>
      </c>
      <c r="B83" s="45"/>
      <c r="C83" s="45">
        <v>0.24927752163979033</v>
      </c>
      <c r="D83" s="45">
        <v>8.9967484408612977E-2</v>
      </c>
      <c r="E83" s="45">
        <v>9.4387821960772167E-2</v>
      </c>
      <c r="F83" s="45">
        <v>0.46517179073936954</v>
      </c>
      <c r="G83" s="45">
        <v>0.10119538125145505</v>
      </c>
      <c r="H83" s="9"/>
    </row>
    <row r="84" spans="1:8" ht="13.5" thickTop="1" x14ac:dyDescent="0.2">
      <c r="A84" s="1"/>
      <c r="B84" s="1"/>
      <c r="C84" s="1"/>
      <c r="D84" s="9"/>
      <c r="E84" s="9"/>
      <c r="F84" s="9"/>
      <c r="G84" s="9"/>
      <c r="H84" s="1"/>
    </row>
  </sheetData>
  <phoneticPr fontId="0" type="noConversion"/>
  <pageMargins left="0.25" right="0.25" top="1" bottom="1" header="0.5" footer="0.5"/>
  <pageSetup orientation="landscape" r:id="rId1"/>
  <headerFooter alignWithMargins="0">
    <oddFooter>&amp;L&amp;Z&amp;F</oddFooter>
  </headerFooter>
  <rowBreaks count="2" manualBreakCount="2">
    <brk id="27" max="8" man="1"/>
    <brk id="54"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IV78"/>
  <sheetViews>
    <sheetView workbookViewId="0">
      <selection activeCell="C32" sqref="C32"/>
    </sheetView>
  </sheetViews>
  <sheetFormatPr defaultRowHeight="12.75" x14ac:dyDescent="0.2"/>
  <cols>
    <col min="1" max="1" width="27.140625" bestFit="1" customWidth="1"/>
    <col min="2" max="2" width="6.85546875" bestFit="1" customWidth="1"/>
    <col min="3" max="3" width="10.140625" bestFit="1" customWidth="1"/>
    <col min="4" max="5" width="8.7109375" bestFit="1" customWidth="1"/>
    <col min="6" max="6" width="9.5703125" bestFit="1" customWidth="1"/>
    <col min="7" max="7" width="8.7109375" bestFit="1" customWidth="1"/>
    <col min="8" max="8" width="11.140625" bestFit="1" customWidth="1"/>
  </cols>
  <sheetData>
    <row r="1" spans="1:9" x14ac:dyDescent="0.2">
      <c r="A1" s="36" t="s">
        <v>200</v>
      </c>
    </row>
    <row r="2" spans="1:9" x14ac:dyDescent="0.2">
      <c r="A2" s="36" t="s">
        <v>234</v>
      </c>
    </row>
    <row r="4" spans="1:9" x14ac:dyDescent="0.2">
      <c r="A4" s="22"/>
      <c r="B4" s="22"/>
      <c r="C4" s="23" t="s">
        <v>147</v>
      </c>
      <c r="D4" s="23" t="s">
        <v>148</v>
      </c>
      <c r="E4" s="23" t="s">
        <v>154</v>
      </c>
      <c r="F4" s="23" t="s">
        <v>155</v>
      </c>
      <c r="G4" s="23" t="s">
        <v>156</v>
      </c>
      <c r="H4" s="23" t="s">
        <v>113</v>
      </c>
      <c r="I4" s="23" t="s">
        <v>445</v>
      </c>
    </row>
    <row r="5" spans="1:9" x14ac:dyDescent="0.2">
      <c r="A5" s="156" t="s">
        <v>88</v>
      </c>
      <c r="B5" s="144" t="s">
        <v>128</v>
      </c>
      <c r="C5" s="144" t="s">
        <v>157</v>
      </c>
      <c r="D5" s="144" t="s">
        <v>152</v>
      </c>
      <c r="E5" s="144" t="s">
        <v>152</v>
      </c>
      <c r="F5" s="144" t="s">
        <v>152</v>
      </c>
      <c r="G5" s="144" t="s">
        <v>152</v>
      </c>
      <c r="H5" s="144" t="s">
        <v>152</v>
      </c>
      <c r="I5" s="141" t="s">
        <v>446</v>
      </c>
    </row>
    <row r="6" spans="1:9" x14ac:dyDescent="0.2">
      <c r="A6" s="1" t="s">
        <v>102</v>
      </c>
      <c r="B6" s="6">
        <v>40796</v>
      </c>
      <c r="C6" s="6">
        <v>57817445.359999999</v>
      </c>
      <c r="D6" s="6">
        <v>14235342.4</v>
      </c>
      <c r="E6" s="6">
        <v>19641712.07</v>
      </c>
      <c r="F6" s="6">
        <v>95322385.540000007</v>
      </c>
      <c r="G6" s="6">
        <v>15661865.380000001</v>
      </c>
      <c r="H6" s="6">
        <f>SUM(C6:G6)</f>
        <v>202678750.75</v>
      </c>
      <c r="I6" s="6">
        <f>H6/B6</f>
        <v>4968.1035089224433</v>
      </c>
    </row>
    <row r="7" spans="1:9" x14ac:dyDescent="0.2">
      <c r="A7" s="1" t="s">
        <v>76</v>
      </c>
      <c r="B7" s="6">
        <v>24993</v>
      </c>
      <c r="C7" s="6">
        <v>27071155.649999999</v>
      </c>
      <c r="D7" s="6">
        <v>9805866.5600000005</v>
      </c>
      <c r="E7" s="6">
        <v>12044712.119999999</v>
      </c>
      <c r="F7" s="6">
        <v>61888276.439999998</v>
      </c>
      <c r="G7" s="6">
        <v>16726082.34</v>
      </c>
      <c r="H7" s="6">
        <f t="shared" ref="H7:H23" si="0">SUM(C7:G7)</f>
        <v>127536093.11</v>
      </c>
      <c r="I7" s="6">
        <f t="shared" ref="I7:I25" si="1">H7/B7</f>
        <v>5102.8725287080379</v>
      </c>
    </row>
    <row r="8" spans="1:9" x14ac:dyDescent="0.2">
      <c r="A8" s="1" t="s">
        <v>77</v>
      </c>
      <c r="B8" s="6">
        <v>12810</v>
      </c>
      <c r="C8" s="6">
        <v>15595107.869999999</v>
      </c>
      <c r="D8" s="6">
        <v>6903036.7000000002</v>
      </c>
      <c r="E8" s="6">
        <v>7170945.4900000002</v>
      </c>
      <c r="F8" s="6">
        <v>31473686.440000001</v>
      </c>
      <c r="G8" s="6">
        <v>12362695.82</v>
      </c>
      <c r="H8" s="6">
        <f t="shared" si="0"/>
        <v>73505472.319999993</v>
      </c>
      <c r="I8" s="6">
        <f t="shared" si="1"/>
        <v>5738.1321092896169</v>
      </c>
    </row>
    <row r="9" spans="1:9" x14ac:dyDescent="0.2">
      <c r="A9" s="1" t="s">
        <v>78</v>
      </c>
      <c r="B9" s="6">
        <v>15459</v>
      </c>
      <c r="C9" s="6">
        <v>19079516.140000001</v>
      </c>
      <c r="D9" s="6">
        <v>6734585.0199999996</v>
      </c>
      <c r="E9" s="6">
        <v>7697423.3099999996</v>
      </c>
      <c r="F9" s="6">
        <v>39384164.609999999</v>
      </c>
      <c r="G9" s="6">
        <v>11029912.17</v>
      </c>
      <c r="H9" s="6">
        <f t="shared" si="0"/>
        <v>83925601.25</v>
      </c>
      <c r="I9" s="6">
        <f t="shared" si="1"/>
        <v>5428.9152758910668</v>
      </c>
    </row>
    <row r="10" spans="1:9" x14ac:dyDescent="0.2">
      <c r="A10" s="1" t="s">
        <v>79</v>
      </c>
      <c r="B10" s="6">
        <v>6391</v>
      </c>
      <c r="C10" s="6">
        <v>11200145.300000001</v>
      </c>
      <c r="D10" s="6">
        <v>4138839.09</v>
      </c>
      <c r="E10" s="6">
        <v>3815642.99</v>
      </c>
      <c r="F10" s="6">
        <v>16107377.85</v>
      </c>
      <c r="G10" s="6">
        <v>4268872.57</v>
      </c>
      <c r="H10" s="6">
        <f t="shared" si="0"/>
        <v>39530877.800000004</v>
      </c>
      <c r="I10" s="6">
        <f t="shared" si="1"/>
        <v>6185.3978720075111</v>
      </c>
    </row>
    <row r="11" spans="1:9" x14ac:dyDescent="0.2">
      <c r="A11" s="14" t="s">
        <v>80</v>
      </c>
      <c r="B11" s="7">
        <v>1696</v>
      </c>
      <c r="C11" s="7">
        <v>3229409.91</v>
      </c>
      <c r="D11" s="7">
        <v>868662.32</v>
      </c>
      <c r="E11" s="7">
        <v>916284.77</v>
      </c>
      <c r="F11" s="7">
        <v>3970005.23</v>
      </c>
      <c r="G11" s="7">
        <v>510381.31</v>
      </c>
      <c r="H11" s="7">
        <f t="shared" si="0"/>
        <v>9494743.540000001</v>
      </c>
      <c r="I11" s="6">
        <f t="shared" si="1"/>
        <v>5598.315766509435</v>
      </c>
    </row>
    <row r="12" spans="1:9" ht="13.5" thickBot="1" x14ac:dyDescent="0.25">
      <c r="A12" s="1" t="s">
        <v>171</v>
      </c>
      <c r="B12" s="25">
        <f t="shared" ref="B12:G12" si="2">SUM(B6:B11)</f>
        <v>102145</v>
      </c>
      <c r="C12" s="25">
        <f t="shared" si="2"/>
        <v>133992780.22999999</v>
      </c>
      <c r="D12" s="25">
        <f t="shared" si="2"/>
        <v>42686332.089999996</v>
      </c>
      <c r="E12" s="25">
        <f t="shared" si="2"/>
        <v>51286720.750000007</v>
      </c>
      <c r="F12" s="25">
        <f t="shared" si="2"/>
        <v>248145896.11000001</v>
      </c>
      <c r="G12" s="25">
        <f t="shared" si="2"/>
        <v>60559809.590000004</v>
      </c>
      <c r="H12" s="25">
        <f t="shared" si="0"/>
        <v>536671538.76999998</v>
      </c>
      <c r="I12" s="126">
        <f t="shared" si="1"/>
        <v>5254.0167288658276</v>
      </c>
    </row>
    <row r="13" spans="1:9" x14ac:dyDescent="0.2">
      <c r="A13" s="1"/>
      <c r="B13" s="6"/>
      <c r="C13" s="6"/>
      <c r="D13" s="6"/>
      <c r="E13" s="6"/>
      <c r="F13" s="6"/>
      <c r="G13" s="6"/>
      <c r="H13" s="6"/>
      <c r="I13" s="122"/>
    </row>
    <row r="14" spans="1:9" x14ac:dyDescent="0.2">
      <c r="A14" s="1" t="s">
        <v>81</v>
      </c>
      <c r="B14" s="6">
        <v>21977</v>
      </c>
      <c r="C14" s="6">
        <v>39745324.380000003</v>
      </c>
      <c r="D14" s="6">
        <v>13656136.93</v>
      </c>
      <c r="E14" s="6">
        <v>12517888.939999999</v>
      </c>
      <c r="F14" s="6">
        <v>61740633.75</v>
      </c>
      <c r="G14" s="6">
        <v>6399674.5899999999</v>
      </c>
      <c r="H14" s="6">
        <f t="shared" si="0"/>
        <v>134059658.59</v>
      </c>
      <c r="I14" s="6">
        <f t="shared" si="1"/>
        <v>6099.9981157573829</v>
      </c>
    </row>
    <row r="15" spans="1:9" x14ac:dyDescent="0.2">
      <c r="A15" s="1" t="s">
        <v>82</v>
      </c>
      <c r="B15" s="6">
        <v>10144</v>
      </c>
      <c r="C15" s="6">
        <v>13478625.060000001</v>
      </c>
      <c r="D15" s="6">
        <v>6051247.5899999999</v>
      </c>
      <c r="E15" s="6">
        <v>5833018.1200000001</v>
      </c>
      <c r="F15" s="6">
        <v>31540418.579999998</v>
      </c>
      <c r="G15" s="6">
        <v>3907387.72</v>
      </c>
      <c r="H15" s="6">
        <f t="shared" si="0"/>
        <v>60810697.069999993</v>
      </c>
      <c r="I15" s="6">
        <f t="shared" si="1"/>
        <v>5994.7453736198731</v>
      </c>
    </row>
    <row r="16" spans="1:9" x14ac:dyDescent="0.2">
      <c r="A16" s="1" t="s">
        <v>83</v>
      </c>
      <c r="B16" s="6">
        <v>5772</v>
      </c>
      <c r="C16" s="6">
        <v>8984249.7100000009</v>
      </c>
      <c r="D16" s="6">
        <v>5850129.2300000004</v>
      </c>
      <c r="E16" s="6">
        <v>3730998.46</v>
      </c>
      <c r="F16" s="6">
        <v>17903256.77</v>
      </c>
      <c r="G16" s="6">
        <v>2211033.27</v>
      </c>
      <c r="H16" s="6">
        <f t="shared" si="0"/>
        <v>38679667.440000005</v>
      </c>
      <c r="I16" s="6">
        <f t="shared" si="1"/>
        <v>6701.2590852390858</v>
      </c>
    </row>
    <row r="17" spans="1:256" x14ac:dyDescent="0.2">
      <c r="A17" s="1" t="s">
        <v>84</v>
      </c>
      <c r="B17" s="6">
        <v>5234</v>
      </c>
      <c r="C17" s="6">
        <v>9927907.9399999995</v>
      </c>
      <c r="D17" s="6">
        <v>4042088.59</v>
      </c>
      <c r="E17" s="6">
        <v>4103466.47</v>
      </c>
      <c r="F17" s="6">
        <v>20303401.030000001</v>
      </c>
      <c r="G17" s="6">
        <v>5067740.41</v>
      </c>
      <c r="H17" s="6">
        <f t="shared" si="0"/>
        <v>43444604.439999998</v>
      </c>
      <c r="I17" s="6">
        <f t="shared" si="1"/>
        <v>8300.4593886129151</v>
      </c>
    </row>
    <row r="18" spans="1:256" x14ac:dyDescent="0.2">
      <c r="A18" s="14" t="s">
        <v>85</v>
      </c>
      <c r="B18" s="7">
        <v>1591</v>
      </c>
      <c r="C18" s="7">
        <v>4514954.95</v>
      </c>
      <c r="D18" s="7">
        <v>1758887.24</v>
      </c>
      <c r="E18" s="7">
        <v>1752274.59</v>
      </c>
      <c r="F18" s="7">
        <v>8455593.7699999996</v>
      </c>
      <c r="G18" s="7">
        <v>1780622.42</v>
      </c>
      <c r="H18" s="7">
        <f t="shared" si="0"/>
        <v>18262332.969999999</v>
      </c>
      <c r="I18" s="6">
        <f t="shared" si="1"/>
        <v>11478.524808296668</v>
      </c>
    </row>
    <row r="19" spans="1:256" ht="13.5" thickBot="1" x14ac:dyDescent="0.25">
      <c r="A19" s="1" t="s">
        <v>172</v>
      </c>
      <c r="B19" s="25">
        <f t="shared" ref="B19:G19" si="3">SUM(B14:B18)</f>
        <v>44718</v>
      </c>
      <c r="C19" s="25">
        <f t="shared" si="3"/>
        <v>76651062.040000007</v>
      </c>
      <c r="D19" s="25">
        <f t="shared" si="3"/>
        <v>31358489.579999998</v>
      </c>
      <c r="E19" s="25">
        <f t="shared" si="3"/>
        <v>27937646.579999998</v>
      </c>
      <c r="F19" s="25">
        <f t="shared" si="3"/>
        <v>139943303.90000001</v>
      </c>
      <c r="G19" s="25">
        <f t="shared" si="3"/>
        <v>19366458.410000004</v>
      </c>
      <c r="H19" s="25">
        <f t="shared" si="0"/>
        <v>295256960.51000005</v>
      </c>
      <c r="I19" s="126">
        <f t="shared" si="1"/>
        <v>6602.6423478241431</v>
      </c>
    </row>
    <row r="20" spans="1:256" x14ac:dyDescent="0.2">
      <c r="A20" s="1"/>
      <c r="B20" s="6"/>
      <c r="C20" s="6"/>
      <c r="D20" s="6"/>
      <c r="E20" s="6"/>
      <c r="F20" s="6"/>
      <c r="G20" s="6"/>
      <c r="H20" s="6"/>
      <c r="I20" s="122"/>
    </row>
    <row r="21" spans="1:256" x14ac:dyDescent="0.2">
      <c r="A21" s="1" t="s">
        <v>86</v>
      </c>
      <c r="B21" s="6">
        <v>11672</v>
      </c>
      <c r="C21" s="6">
        <v>14023790.630000001</v>
      </c>
      <c r="D21" s="6">
        <v>4506897.22</v>
      </c>
      <c r="E21" s="6">
        <v>5876045.4299999997</v>
      </c>
      <c r="F21" s="6">
        <v>31083993.800000001</v>
      </c>
      <c r="G21" s="6">
        <v>4177894.67</v>
      </c>
      <c r="H21" s="6">
        <f t="shared" si="0"/>
        <v>59668621.75</v>
      </c>
      <c r="I21" s="6">
        <f t="shared" si="1"/>
        <v>5112.1163253941058</v>
      </c>
    </row>
    <row r="22" spans="1:256" x14ac:dyDescent="0.2">
      <c r="A22" s="1" t="s">
        <v>87</v>
      </c>
      <c r="B22" s="7">
        <v>6199</v>
      </c>
      <c r="C22" s="7">
        <v>13346831.99</v>
      </c>
      <c r="D22" s="7">
        <v>6355850.3899999997</v>
      </c>
      <c r="E22" s="7">
        <v>4506451.0999999996</v>
      </c>
      <c r="F22" s="7">
        <v>19245191.09</v>
      </c>
      <c r="G22" s="7">
        <v>3406746.41</v>
      </c>
      <c r="H22" s="7">
        <f t="shared" si="0"/>
        <v>46861070.979999989</v>
      </c>
      <c r="I22" s="6">
        <f t="shared" si="1"/>
        <v>7559.4565220196791</v>
      </c>
    </row>
    <row r="23" spans="1:256" ht="13.5" thickBot="1" x14ac:dyDescent="0.25">
      <c r="A23" s="8" t="s">
        <v>173</v>
      </c>
      <c r="B23" s="8">
        <f t="shared" ref="B23:G23" si="4">SUM(B21:B22)</f>
        <v>17871</v>
      </c>
      <c r="C23" s="8">
        <f t="shared" si="4"/>
        <v>27370622.620000001</v>
      </c>
      <c r="D23" s="8">
        <f t="shared" si="4"/>
        <v>10862747.609999999</v>
      </c>
      <c r="E23" s="8">
        <f t="shared" si="4"/>
        <v>10382496.529999999</v>
      </c>
      <c r="F23" s="8">
        <f t="shared" si="4"/>
        <v>50329184.890000001</v>
      </c>
      <c r="G23" s="8">
        <f t="shared" si="4"/>
        <v>7584641.0800000001</v>
      </c>
      <c r="H23" s="8">
        <f t="shared" si="0"/>
        <v>106529692.73</v>
      </c>
      <c r="I23" s="126">
        <f t="shared" si="1"/>
        <v>5961.0370281461592</v>
      </c>
    </row>
    <row r="24" spans="1:256" ht="13.5" thickTop="1" x14ac:dyDescent="0.2">
      <c r="B24" s="122"/>
      <c r="C24" s="122"/>
      <c r="D24" s="122"/>
      <c r="E24" s="122"/>
      <c r="F24" s="122"/>
      <c r="G24" s="122"/>
      <c r="H24" s="122"/>
      <c r="I24" s="122"/>
    </row>
    <row r="25" spans="1:256" ht="13.5" thickBot="1" x14ac:dyDescent="0.25">
      <c r="A25" s="26" t="s">
        <v>174</v>
      </c>
      <c r="B25" s="27">
        <f>SUM(B12+B19+B23)</f>
        <v>164734</v>
      </c>
      <c r="C25" s="27">
        <f t="shared" ref="C25:H25" si="5">SUM(C12+C19+C23)</f>
        <v>238014464.88999999</v>
      </c>
      <c r="D25" s="27">
        <f t="shared" si="5"/>
        <v>84907569.279999986</v>
      </c>
      <c r="E25" s="27">
        <f t="shared" si="5"/>
        <v>89606863.860000014</v>
      </c>
      <c r="F25" s="27">
        <f t="shared" si="5"/>
        <v>438418384.89999998</v>
      </c>
      <c r="G25" s="27">
        <f t="shared" si="5"/>
        <v>87510909.079999998</v>
      </c>
      <c r="H25" s="27">
        <f t="shared" si="5"/>
        <v>938458192.00999999</v>
      </c>
      <c r="I25" s="8">
        <f t="shared" si="1"/>
        <v>5696.8093533211113</v>
      </c>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ht="13.5" thickTop="1" x14ac:dyDescent="0.2">
      <c r="A26" s="1"/>
      <c r="B26" s="6"/>
      <c r="C26" s="6"/>
      <c r="D26" s="6"/>
      <c r="E26" s="6"/>
      <c r="F26" s="6"/>
      <c r="G26" s="6"/>
      <c r="H26" s="6"/>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x14ac:dyDescent="0.2">
      <c r="A27" s="36" t="s">
        <v>200</v>
      </c>
      <c r="B27" s="6"/>
      <c r="C27" s="6"/>
      <c r="D27" s="6"/>
      <c r="E27" s="6"/>
      <c r="F27" s="6"/>
      <c r="G27" s="6"/>
      <c r="H27" s="6"/>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x14ac:dyDescent="0.2">
      <c r="A28" s="36" t="s">
        <v>234</v>
      </c>
    </row>
    <row r="29" spans="1:256" x14ac:dyDescent="0.2">
      <c r="A29" s="22"/>
      <c r="B29" s="22"/>
      <c r="C29" s="23" t="s">
        <v>147</v>
      </c>
      <c r="D29" s="23" t="s">
        <v>148</v>
      </c>
      <c r="E29" s="23" t="s">
        <v>154</v>
      </c>
      <c r="F29" s="23" t="s">
        <v>155</v>
      </c>
      <c r="G29" s="23" t="s">
        <v>156</v>
      </c>
      <c r="H29" s="23" t="s">
        <v>113</v>
      </c>
    </row>
    <row r="30" spans="1:256" x14ac:dyDescent="0.2">
      <c r="A30" s="156" t="s">
        <v>88</v>
      </c>
      <c r="B30" s="144" t="s">
        <v>128</v>
      </c>
      <c r="C30" s="144" t="s">
        <v>157</v>
      </c>
      <c r="D30" s="144" t="s">
        <v>152</v>
      </c>
      <c r="E30" s="144" t="s">
        <v>152</v>
      </c>
      <c r="F30" s="144" t="s">
        <v>152</v>
      </c>
      <c r="G30" s="144" t="s">
        <v>152</v>
      </c>
      <c r="H30" s="144" t="s">
        <v>152</v>
      </c>
    </row>
    <row r="32" spans="1:256" x14ac:dyDescent="0.2">
      <c r="A32" s="1" t="s">
        <v>102</v>
      </c>
      <c r="B32" s="6">
        <v>40796</v>
      </c>
      <c r="C32" s="6">
        <v>1417.2331934503381</v>
      </c>
      <c r="D32" s="6">
        <v>348.93966075105402</v>
      </c>
      <c r="E32" s="6">
        <v>481.46171364839688</v>
      </c>
      <c r="F32" s="6">
        <v>2336.5620536327092</v>
      </c>
      <c r="G32" s="6">
        <v>383.90688743994514</v>
      </c>
      <c r="H32" s="6">
        <v>4968.1035089224433</v>
      </c>
    </row>
    <row r="33" spans="1:8" x14ac:dyDescent="0.2">
      <c r="A33" s="1" t="s">
        <v>76</v>
      </c>
      <c r="B33" s="6">
        <v>24993</v>
      </c>
      <c r="C33" s="6">
        <v>1083.1495078622013</v>
      </c>
      <c r="D33" s="6">
        <v>392.34451886528228</v>
      </c>
      <c r="E33" s="6">
        <v>481.92342335854033</v>
      </c>
      <c r="F33" s="6">
        <v>2476.224400432121</v>
      </c>
      <c r="G33" s="6">
        <v>669.23067818989318</v>
      </c>
      <c r="H33" s="6">
        <v>5102.8725287080379</v>
      </c>
    </row>
    <row r="34" spans="1:8" x14ac:dyDescent="0.2">
      <c r="A34" s="1" t="s">
        <v>77</v>
      </c>
      <c r="B34" s="6">
        <v>12810</v>
      </c>
      <c r="C34" s="6">
        <v>1217.4166955503513</v>
      </c>
      <c r="D34" s="6">
        <v>538.87874316939894</v>
      </c>
      <c r="E34" s="6">
        <v>559.79277829820455</v>
      </c>
      <c r="F34" s="6">
        <v>2456.9622513661202</v>
      </c>
      <c r="G34" s="6">
        <v>965.0816409055426</v>
      </c>
      <c r="H34" s="6">
        <v>5738.1321092896169</v>
      </c>
    </row>
    <row r="35" spans="1:8" x14ac:dyDescent="0.2">
      <c r="A35" s="1" t="s">
        <v>78</v>
      </c>
      <c r="B35" s="6">
        <v>15459</v>
      </c>
      <c r="C35" s="6">
        <v>1234.2011863639304</v>
      </c>
      <c r="D35" s="6">
        <v>435.64169868684905</v>
      </c>
      <c r="E35" s="6">
        <v>497.9250475451193</v>
      </c>
      <c r="F35" s="6">
        <v>2547.6527983698816</v>
      </c>
      <c r="G35" s="6">
        <v>713.49454492528628</v>
      </c>
      <c r="H35" s="6">
        <v>5428.9152758910668</v>
      </c>
    </row>
    <row r="36" spans="1:8" x14ac:dyDescent="0.2">
      <c r="A36" s="1" t="s">
        <v>79</v>
      </c>
      <c r="B36" s="6">
        <v>6391</v>
      </c>
      <c r="C36" s="6">
        <v>1752.4871381630419</v>
      </c>
      <c r="D36" s="6">
        <v>647.60430136128934</v>
      </c>
      <c r="E36" s="6">
        <v>597.03379596307309</v>
      </c>
      <c r="F36" s="6">
        <v>2520.3219918635582</v>
      </c>
      <c r="G36" s="6">
        <v>667.95064465654832</v>
      </c>
      <c r="H36" s="6">
        <v>6185.3978720075111</v>
      </c>
    </row>
    <row r="37" spans="1:8" x14ac:dyDescent="0.2">
      <c r="A37" s="14" t="s">
        <v>80</v>
      </c>
      <c r="B37" s="7">
        <v>1696</v>
      </c>
      <c r="C37" s="7">
        <v>1904.1332016509434</v>
      </c>
      <c r="D37" s="7">
        <v>512.18297169811319</v>
      </c>
      <c r="E37" s="7">
        <v>540.26224646226422</v>
      </c>
      <c r="F37" s="7">
        <v>2340.8049705188678</v>
      </c>
      <c r="G37" s="7">
        <v>300.9323761792453</v>
      </c>
      <c r="H37" s="7">
        <v>5598.315766509435</v>
      </c>
    </row>
    <row r="38" spans="1:8" x14ac:dyDescent="0.2">
      <c r="A38" s="1" t="s">
        <v>134</v>
      </c>
      <c r="B38" s="6">
        <v>102145</v>
      </c>
      <c r="C38" s="6">
        <v>1311.7899087571589</v>
      </c>
      <c r="D38" s="6">
        <v>417.8993792158206</v>
      </c>
      <c r="E38" s="6">
        <v>502.09722208624999</v>
      </c>
      <c r="F38" s="6">
        <v>2429.3494161241374</v>
      </c>
      <c r="G38" s="6">
        <v>592.88080268246119</v>
      </c>
      <c r="H38" s="6">
        <v>5254.0167288658276</v>
      </c>
    </row>
    <row r="39" spans="1:8" x14ac:dyDescent="0.2">
      <c r="A39" s="1"/>
      <c r="B39" s="6"/>
      <c r="C39" s="6"/>
      <c r="D39" s="6"/>
      <c r="E39" s="6"/>
      <c r="F39" s="6"/>
      <c r="G39" s="6"/>
      <c r="H39" s="6"/>
    </row>
    <row r="40" spans="1:8" x14ac:dyDescent="0.2">
      <c r="A40" s="1" t="s">
        <v>81</v>
      </c>
      <c r="B40" s="6">
        <v>21977</v>
      </c>
      <c r="C40" s="6">
        <v>1808.4963543704785</v>
      </c>
      <c r="D40" s="6">
        <v>621.38312463029524</v>
      </c>
      <c r="E40" s="6">
        <v>569.59043272512167</v>
      </c>
      <c r="F40" s="6">
        <v>2809.3294694453293</v>
      </c>
      <c r="G40" s="6">
        <v>291.19873458615825</v>
      </c>
      <c r="H40" s="6">
        <v>6099.9981157573829</v>
      </c>
    </row>
    <row r="41" spans="1:8" x14ac:dyDescent="0.2">
      <c r="A41" s="1" t="s">
        <v>82</v>
      </c>
      <c r="B41" s="6">
        <v>10144</v>
      </c>
      <c r="C41" s="6">
        <v>1328.7288111198739</v>
      </c>
      <c r="D41" s="6">
        <v>596.53465989747633</v>
      </c>
      <c r="E41" s="6">
        <v>575.02150236593059</v>
      </c>
      <c r="F41" s="6">
        <v>3109.268393138801</v>
      </c>
      <c r="G41" s="6">
        <v>385.19200709779182</v>
      </c>
      <c r="H41" s="6">
        <v>5994.7453736198731</v>
      </c>
    </row>
    <row r="42" spans="1:8" x14ac:dyDescent="0.2">
      <c r="A42" s="1" t="s">
        <v>83</v>
      </c>
      <c r="B42" s="6">
        <v>5772</v>
      </c>
      <c r="C42" s="6">
        <v>1556.5228187803189</v>
      </c>
      <c r="D42" s="6">
        <v>1013.5359026334027</v>
      </c>
      <c r="E42" s="6">
        <v>646.39612959112958</v>
      </c>
      <c r="F42" s="6">
        <v>3101.7423371448372</v>
      </c>
      <c r="G42" s="6">
        <v>383.06189708939712</v>
      </c>
      <c r="H42" s="6">
        <v>6701.2590852390858</v>
      </c>
    </row>
    <row r="43" spans="1:8" x14ac:dyDescent="0.2">
      <c r="A43" s="1" t="s">
        <v>84</v>
      </c>
      <c r="B43" s="6">
        <v>5234</v>
      </c>
      <c r="C43" s="6">
        <v>1896.810840657241</v>
      </c>
      <c r="D43" s="6">
        <v>772.27523691249519</v>
      </c>
      <c r="E43" s="6">
        <v>784.00200038211699</v>
      </c>
      <c r="F43" s="6">
        <v>3879.1366125334353</v>
      </c>
      <c r="G43" s="6">
        <v>968.2346981276271</v>
      </c>
      <c r="H43" s="6">
        <v>8300.4593886129151</v>
      </c>
    </row>
    <row r="44" spans="1:8" x14ac:dyDescent="0.2">
      <c r="A44" s="14" t="s">
        <v>85</v>
      </c>
      <c r="B44" s="7">
        <v>1591</v>
      </c>
      <c r="C44" s="7">
        <v>2837.8095223130108</v>
      </c>
      <c r="D44" s="7">
        <v>1105.5230923947204</v>
      </c>
      <c r="E44" s="7">
        <v>1101.3668070395977</v>
      </c>
      <c r="F44" s="7">
        <v>5314.6409616593337</v>
      </c>
      <c r="G44" s="7">
        <v>1119.1844248900063</v>
      </c>
      <c r="H44" s="7">
        <v>11478.524808296668</v>
      </c>
    </row>
    <row r="45" spans="1:8" x14ac:dyDescent="0.2">
      <c r="A45" s="1" t="s">
        <v>135</v>
      </c>
      <c r="B45" s="6">
        <v>44718</v>
      </c>
      <c r="C45" s="6">
        <v>1714.0986189006665</v>
      </c>
      <c r="D45" s="6">
        <v>701.24982289011132</v>
      </c>
      <c r="E45" s="6">
        <v>624.75170132832409</v>
      </c>
      <c r="F45" s="6">
        <v>3129.4624960865872</v>
      </c>
      <c r="G45" s="6">
        <v>433.07970861845348</v>
      </c>
      <c r="H45" s="6">
        <v>6602.6423478241431</v>
      </c>
    </row>
    <row r="46" spans="1:8" x14ac:dyDescent="0.2">
      <c r="A46" s="1"/>
      <c r="B46" s="6"/>
      <c r="C46" s="6"/>
      <c r="D46" s="6"/>
      <c r="E46" s="6"/>
      <c r="F46" s="6"/>
      <c r="G46" s="6"/>
      <c r="H46" s="6"/>
    </row>
    <row r="47" spans="1:8" x14ac:dyDescent="0.2">
      <c r="A47" s="1" t="s">
        <v>86</v>
      </c>
      <c r="B47" s="6">
        <v>11672</v>
      </c>
      <c r="C47" s="6">
        <v>1201.4899443111722</v>
      </c>
      <c r="D47" s="6">
        <v>386.12895990404382</v>
      </c>
      <c r="E47" s="6">
        <v>503.43089701850579</v>
      </c>
      <c r="F47" s="6">
        <v>2663.1248971898563</v>
      </c>
      <c r="G47" s="6">
        <v>357.94162697052775</v>
      </c>
      <c r="H47" s="6">
        <v>5112.1163253941058</v>
      </c>
    </row>
    <row r="48" spans="1:8" x14ac:dyDescent="0.2">
      <c r="A48" s="14" t="s">
        <v>87</v>
      </c>
      <c r="B48" s="7">
        <v>6199</v>
      </c>
      <c r="C48" s="7">
        <v>2153.0621051782546</v>
      </c>
      <c r="D48" s="7">
        <v>1025.3025310533956</v>
      </c>
      <c r="E48" s="7">
        <v>726.96420390385538</v>
      </c>
      <c r="F48" s="7">
        <v>3104.5638151314729</v>
      </c>
      <c r="G48" s="7">
        <v>549.5638667527021</v>
      </c>
      <c r="H48" s="7">
        <v>7559.4565220196791</v>
      </c>
    </row>
    <row r="49" spans="1:8" x14ac:dyDescent="0.2">
      <c r="A49" s="1" t="s">
        <v>136</v>
      </c>
      <c r="B49" s="6">
        <v>17871</v>
      </c>
      <c r="C49" s="6">
        <v>1531.5663712159364</v>
      </c>
      <c r="D49" s="6">
        <v>607.84218062783282</v>
      </c>
      <c r="E49" s="6">
        <v>580.96897375636502</v>
      </c>
      <c r="F49" s="6">
        <v>2816.2489446589448</v>
      </c>
      <c r="G49" s="6">
        <v>424.41055788707962</v>
      </c>
      <c r="H49" s="6">
        <v>5961.0370281461592</v>
      </c>
    </row>
    <row r="50" spans="1:8" ht="13.5" thickBot="1" x14ac:dyDescent="0.25">
      <c r="A50" s="24"/>
      <c r="B50" s="25"/>
      <c r="C50" s="25"/>
      <c r="D50" s="25"/>
      <c r="E50" s="25"/>
      <c r="F50" s="25"/>
      <c r="G50" s="25"/>
      <c r="H50" s="25"/>
    </row>
    <row r="51" spans="1:8" ht="13.5" thickBot="1" x14ac:dyDescent="0.25">
      <c r="A51" s="26" t="s">
        <v>137</v>
      </c>
      <c r="B51" s="27">
        <v>164734</v>
      </c>
      <c r="C51" s="27">
        <v>1444.841167518545</v>
      </c>
      <c r="D51" s="27">
        <v>515.42225211553159</v>
      </c>
      <c r="E51" s="27">
        <v>543.9488136025351</v>
      </c>
      <c r="F51" s="27">
        <v>2661.371574174123</v>
      </c>
      <c r="G51" s="27">
        <v>531.2255459103767</v>
      </c>
      <c r="H51" s="27">
        <v>5696.8093533211113</v>
      </c>
    </row>
    <row r="52" spans="1:8" ht="13.5" thickTop="1" x14ac:dyDescent="0.2">
      <c r="A52" s="1"/>
      <c r="B52" s="6"/>
      <c r="C52" s="6"/>
      <c r="D52" s="6"/>
      <c r="E52" s="6"/>
      <c r="F52" s="6"/>
      <c r="G52" s="6"/>
      <c r="H52" s="6"/>
    </row>
    <row r="53" spans="1:8" x14ac:dyDescent="0.2">
      <c r="A53" s="36" t="s">
        <v>200</v>
      </c>
      <c r="B53" s="6"/>
      <c r="C53" s="6"/>
      <c r="D53" s="6"/>
      <c r="E53" s="6"/>
      <c r="F53" s="6"/>
      <c r="G53" s="6"/>
      <c r="H53" s="6"/>
    </row>
    <row r="54" spans="1:8" x14ac:dyDescent="0.2">
      <c r="A54" s="36" t="s">
        <v>234</v>
      </c>
    </row>
    <row r="55" spans="1:8" x14ac:dyDescent="0.2">
      <c r="A55" s="22"/>
      <c r="B55" s="22"/>
      <c r="C55" s="23" t="s">
        <v>147</v>
      </c>
      <c r="D55" s="23" t="s">
        <v>148</v>
      </c>
      <c r="E55" s="23" t="s">
        <v>149</v>
      </c>
      <c r="F55" s="23" t="s">
        <v>150</v>
      </c>
      <c r="G55" s="23" t="s">
        <v>151</v>
      </c>
      <c r="H55" s="1"/>
    </row>
    <row r="56" spans="1:8" x14ac:dyDescent="0.2">
      <c r="A56" s="156" t="s">
        <v>88</v>
      </c>
      <c r="B56" s="144"/>
      <c r="C56" s="144" t="s">
        <v>153</v>
      </c>
      <c r="D56" s="144" t="s">
        <v>152</v>
      </c>
      <c r="E56" s="144" t="s">
        <v>152</v>
      </c>
      <c r="F56" s="144" t="s">
        <v>152</v>
      </c>
      <c r="G56" s="144" t="s">
        <v>152</v>
      </c>
      <c r="H56" s="1"/>
    </row>
    <row r="58" spans="1:8" x14ac:dyDescent="0.2">
      <c r="A58" s="1" t="s">
        <v>102</v>
      </c>
      <c r="B58" s="1"/>
      <c r="C58" s="28">
        <v>0.28526643837131505</v>
      </c>
      <c r="D58" s="28">
        <v>7.0235988466097257E-2</v>
      </c>
      <c r="E58" s="28">
        <v>9.6910564118424233E-2</v>
      </c>
      <c r="F58" s="28">
        <v>0.47031267553833589</v>
      </c>
      <c r="G58" s="28">
        <v>7.7274333505827575E-2</v>
      </c>
    </row>
    <row r="59" spans="1:8" x14ac:dyDescent="0.2">
      <c r="A59" s="1" t="s">
        <v>76</v>
      </c>
      <c r="B59" s="1"/>
      <c r="C59" s="28">
        <v>0.21226270140368109</v>
      </c>
      <c r="D59" s="28">
        <v>7.6886991916417194E-2</v>
      </c>
      <c r="E59" s="28">
        <v>9.4441595522386151E-2</v>
      </c>
      <c r="F59" s="28">
        <v>0.48526087737862023</v>
      </c>
      <c r="G59" s="28">
        <v>0.13114783377889536</v>
      </c>
    </row>
    <row r="60" spans="1:8" x14ac:dyDescent="0.2">
      <c r="A60" s="1" t="s">
        <v>77</v>
      </c>
      <c r="B60" s="1"/>
      <c r="C60" s="28">
        <v>0.21216254215887476</v>
      </c>
      <c r="D60" s="28">
        <v>9.3911874614562046E-2</v>
      </c>
      <c r="E60" s="28">
        <v>9.7556620802079635E-2</v>
      </c>
      <c r="F60" s="28">
        <v>0.42818154140935127</v>
      </c>
      <c r="G60" s="28">
        <v>0.16818742101513243</v>
      </c>
    </row>
    <row r="61" spans="1:8" x14ac:dyDescent="0.2">
      <c r="A61" s="1" t="s">
        <v>78</v>
      </c>
      <c r="B61" s="1"/>
      <c r="C61" s="28">
        <v>0.22733845043499168</v>
      </c>
      <c r="D61" s="28">
        <v>8.0244703876935275E-2</v>
      </c>
      <c r="E61" s="28">
        <v>9.1717225677903608E-2</v>
      </c>
      <c r="F61" s="28">
        <v>0.46927473885687532</v>
      </c>
      <c r="G61" s="28">
        <v>0.13142488115329409</v>
      </c>
    </row>
    <row r="62" spans="1:8" x14ac:dyDescent="0.2">
      <c r="A62" s="1" t="s">
        <v>79</v>
      </c>
      <c r="B62" s="1"/>
      <c r="C62" s="28">
        <v>0.28332650129008774</v>
      </c>
      <c r="D62" s="28">
        <v>0.10469889160923211</v>
      </c>
      <c r="E62" s="28">
        <v>9.6523103010882294E-2</v>
      </c>
      <c r="F62" s="28">
        <v>0.40746319703530587</v>
      </c>
      <c r="G62" s="28">
        <v>0.10798830705449197</v>
      </c>
    </row>
    <row r="63" spans="1:8" x14ac:dyDescent="0.2">
      <c r="A63" s="14" t="s">
        <v>80</v>
      </c>
      <c r="B63" s="14"/>
      <c r="C63" s="29">
        <v>0.34012608096205615</v>
      </c>
      <c r="D63" s="29">
        <v>9.1488760738028294E-2</v>
      </c>
      <c r="E63" s="29">
        <v>9.6504425437066624E-2</v>
      </c>
      <c r="F63" s="29">
        <v>0.41812664168072927</v>
      </c>
      <c r="G63" s="29">
        <v>5.3754091182119483E-2</v>
      </c>
    </row>
    <row r="64" spans="1:8" x14ac:dyDescent="0.2">
      <c r="A64" s="1" t="s">
        <v>108</v>
      </c>
      <c r="B64" s="1"/>
      <c r="C64" s="28">
        <v>0.24967372135496263</v>
      </c>
      <c r="D64" s="28">
        <v>7.9539027144672148E-2</v>
      </c>
      <c r="E64" s="28">
        <v>9.5564450590288952E-2</v>
      </c>
      <c r="F64" s="28">
        <v>0.46237945965744104</v>
      </c>
      <c r="G64" s="28">
        <v>0.11284334125263529</v>
      </c>
    </row>
    <row r="65" spans="1:7" x14ac:dyDescent="0.2">
      <c r="A65" s="1"/>
      <c r="B65" s="1"/>
      <c r="C65" s="28"/>
      <c r="D65" s="28"/>
      <c r="E65" s="28"/>
      <c r="F65" s="28"/>
      <c r="G65" s="28"/>
    </row>
    <row r="66" spans="1:7" x14ac:dyDescent="0.2">
      <c r="A66" s="1" t="s">
        <v>81</v>
      </c>
      <c r="B66" s="1"/>
      <c r="C66" s="28">
        <v>0.29647490377067653</v>
      </c>
      <c r="D66" s="28">
        <v>0.10186611747061886</v>
      </c>
      <c r="E66" s="28">
        <v>9.3375509617579719E-2</v>
      </c>
      <c r="F66" s="28">
        <v>0.46054595692223743</v>
      </c>
      <c r="G66" s="28">
        <v>4.7737512218887411E-2</v>
      </c>
    </row>
    <row r="67" spans="1:7" x14ac:dyDescent="0.2">
      <c r="A67" s="1" t="s">
        <v>82</v>
      </c>
      <c r="B67" s="1"/>
      <c r="C67" s="28">
        <v>0.22164891555978347</v>
      </c>
      <c r="D67" s="28">
        <v>9.95095909365145E-2</v>
      </c>
      <c r="E67" s="28">
        <v>9.5920921828696284E-2</v>
      </c>
      <c r="F67" s="28">
        <v>0.51866563120783515</v>
      </c>
      <c r="G67" s="28">
        <v>6.4254940467170688E-2</v>
      </c>
    </row>
    <row r="68" spans="1:7" x14ac:dyDescent="0.2">
      <c r="A68" s="1" t="s">
        <v>83</v>
      </c>
      <c r="B68" s="1"/>
      <c r="C68" s="28">
        <v>0.23227318910992167</v>
      </c>
      <c r="D68" s="28">
        <v>0.15124559276717503</v>
      </c>
      <c r="E68" s="28">
        <v>9.6458907403677505E-2</v>
      </c>
      <c r="F68" s="28">
        <v>0.46285963543434228</v>
      </c>
      <c r="G68" s="28">
        <v>5.7162675284883474E-2</v>
      </c>
    </row>
    <row r="69" spans="1:7" x14ac:dyDescent="0.2">
      <c r="A69" s="1" t="s">
        <v>84</v>
      </c>
      <c r="B69" s="1"/>
      <c r="C69" s="28">
        <v>0.22851877852199406</v>
      </c>
      <c r="D69" s="28">
        <v>9.3040059682955645E-2</v>
      </c>
      <c r="E69" s="28">
        <v>9.445284455673135E-2</v>
      </c>
      <c r="F69" s="28">
        <v>0.46733999058595183</v>
      </c>
      <c r="G69" s="28">
        <v>0.11664832665236716</v>
      </c>
    </row>
    <row r="70" spans="1:7" x14ac:dyDescent="0.2">
      <c r="A70" s="14" t="s">
        <v>85</v>
      </c>
      <c r="B70" s="14"/>
      <c r="C70" s="29">
        <v>0.24722772043510716</v>
      </c>
      <c r="D70" s="29">
        <v>9.6312297168678784E-2</v>
      </c>
      <c r="E70" s="29">
        <v>9.595020487680879E-2</v>
      </c>
      <c r="F70" s="29">
        <v>0.46300731587197647</v>
      </c>
      <c r="G70" s="29">
        <v>9.7502461647428831E-2</v>
      </c>
    </row>
    <row r="71" spans="1:7" x14ac:dyDescent="0.2">
      <c r="A71" s="1" t="s">
        <v>109</v>
      </c>
      <c r="B71" s="1"/>
      <c r="C71" s="28">
        <v>0.25960797641349392</v>
      </c>
      <c r="D71" s="28">
        <v>0.10620745240293131</v>
      </c>
      <c r="E71" s="28">
        <v>9.4621466439751487E-2</v>
      </c>
      <c r="F71" s="28">
        <v>0.47397122715845436</v>
      </c>
      <c r="G71" s="28">
        <v>6.559187758536883E-2</v>
      </c>
    </row>
    <row r="72" spans="1:7" x14ac:dyDescent="0.2">
      <c r="A72" s="1"/>
      <c r="B72" s="1"/>
      <c r="C72" s="28"/>
      <c r="D72" s="28"/>
      <c r="E72" s="28"/>
      <c r="F72" s="28"/>
      <c r="G72" s="28"/>
    </row>
    <row r="73" spans="1:7" x14ac:dyDescent="0.2">
      <c r="A73" s="1" t="s">
        <v>86</v>
      </c>
      <c r="B73" s="1"/>
      <c r="C73" s="28">
        <v>0.23502789604822741</v>
      </c>
      <c r="D73" s="28">
        <v>7.553211533665094E-2</v>
      </c>
      <c r="E73" s="28">
        <v>9.84779815196586E-2</v>
      </c>
      <c r="F73" s="28">
        <v>0.52094372030639369</v>
      </c>
      <c r="G73" s="28">
        <v>7.0018286789069323E-2</v>
      </c>
    </row>
    <row r="74" spans="1:7" x14ac:dyDescent="0.2">
      <c r="A74" s="14" t="s">
        <v>87</v>
      </c>
      <c r="B74" s="14"/>
      <c r="C74" s="29">
        <v>0.28481704986418993</v>
      </c>
      <c r="D74" s="29">
        <v>0.13563177829872125</v>
      </c>
      <c r="E74" s="29">
        <v>9.6166199486207318E-2</v>
      </c>
      <c r="F74" s="29">
        <v>0.41068611296173163</v>
      </c>
      <c r="G74" s="29">
        <v>7.2698859389150078E-2</v>
      </c>
    </row>
    <row r="75" spans="1:7" x14ac:dyDescent="0.2">
      <c r="A75" s="1" t="s">
        <v>110</v>
      </c>
      <c r="B75" s="1"/>
      <c r="C75" s="28">
        <v>0.25692951813323039</v>
      </c>
      <c r="D75" s="28">
        <v>0.10196920062025977</v>
      </c>
      <c r="E75" s="28">
        <v>9.7461057700734044E-2</v>
      </c>
      <c r="F75" s="28">
        <v>0.47244278660935923</v>
      </c>
      <c r="G75" s="28">
        <v>7.1197436936416475E-2</v>
      </c>
    </row>
    <row r="76" spans="1:7" ht="13.5" thickBot="1" x14ac:dyDescent="0.25">
      <c r="A76" s="24"/>
      <c r="B76" s="24"/>
      <c r="C76" s="30"/>
      <c r="D76" s="30"/>
      <c r="E76" s="30"/>
      <c r="F76" s="30"/>
      <c r="G76" s="30"/>
    </row>
    <row r="77" spans="1:7" ht="13.5" thickBot="1" x14ac:dyDescent="0.25">
      <c r="A77" s="31" t="s">
        <v>111</v>
      </c>
      <c r="B77" s="31"/>
      <c r="C77" s="32">
        <v>0.25362287517595006</v>
      </c>
      <c r="D77" s="32">
        <v>9.0475601367114744E-2</v>
      </c>
      <c r="E77" s="32">
        <v>9.5483064267443879E-2</v>
      </c>
      <c r="F77" s="32">
        <v>0.46716879732382188</v>
      </c>
      <c r="G77" s="32">
        <v>9.324966186566945E-2</v>
      </c>
    </row>
    <row r="78" spans="1:7" ht="13.5" thickTop="1" x14ac:dyDescent="0.2">
      <c r="A78" s="1"/>
      <c r="B78" s="1"/>
      <c r="C78" s="1"/>
      <c r="D78" s="1"/>
      <c r="E78" s="1"/>
      <c r="F78" s="1"/>
      <c r="G78" s="1"/>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Q78"/>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 min="11" max="11" width="16.5703125" bestFit="1" customWidth="1"/>
    <col min="12" max="12" width="6.5703125" bestFit="1" customWidth="1"/>
    <col min="13" max="13" width="9.85546875" bestFit="1" customWidth="1"/>
    <col min="14" max="14" width="10.7109375" bestFit="1" customWidth="1"/>
    <col min="15" max="15" width="9" bestFit="1" customWidth="1"/>
    <col min="16" max="17" width="8.7109375" bestFit="1" customWidth="1"/>
  </cols>
  <sheetData>
    <row r="1" spans="1:17" x14ac:dyDescent="0.2">
      <c r="A1" s="36" t="s">
        <v>200</v>
      </c>
    </row>
    <row r="2" spans="1:17" x14ac:dyDescent="0.2">
      <c r="A2" s="36" t="s">
        <v>298</v>
      </c>
    </row>
    <row r="4" spans="1:17" ht="22.5" x14ac:dyDescent="0.2">
      <c r="A4" s="173" t="s">
        <v>88</v>
      </c>
      <c r="B4" s="144" t="s">
        <v>122</v>
      </c>
      <c r="C4" s="144" t="s">
        <v>116</v>
      </c>
      <c r="D4" s="144" t="s">
        <v>117</v>
      </c>
      <c r="E4" s="144" t="s">
        <v>120</v>
      </c>
      <c r="F4" s="144" t="s">
        <v>118</v>
      </c>
      <c r="G4" s="144" t="s">
        <v>119</v>
      </c>
      <c r="H4" s="144" t="s">
        <v>113</v>
      </c>
      <c r="I4" s="141" t="s">
        <v>450</v>
      </c>
      <c r="J4" s="21"/>
      <c r="K4" s="6" t="s">
        <v>88</v>
      </c>
      <c r="L4" s="19" t="s">
        <v>122</v>
      </c>
      <c r="M4" s="6" t="s">
        <v>116</v>
      </c>
      <c r="N4" s="6" t="s">
        <v>117</v>
      </c>
      <c r="O4" s="6" t="s">
        <v>120</v>
      </c>
      <c r="P4" s="6" t="s">
        <v>118</v>
      </c>
      <c r="Q4" s="6" t="s">
        <v>119</v>
      </c>
    </row>
    <row r="5" spans="1:17" x14ac:dyDescent="0.2">
      <c r="A5" s="6" t="s">
        <v>102</v>
      </c>
      <c r="B5" s="6">
        <v>41227</v>
      </c>
      <c r="C5" s="6">
        <v>47572955.619999997</v>
      </c>
      <c r="D5" s="6">
        <v>13368192.34</v>
      </c>
      <c r="E5" s="6">
        <v>18811933.120000001</v>
      </c>
      <c r="F5" s="6">
        <v>96434676.010000005</v>
      </c>
      <c r="G5" s="6">
        <v>15660855.630000001</v>
      </c>
      <c r="H5" s="6">
        <v>191848612.72</v>
      </c>
      <c r="I5" s="6">
        <f>H5/B5</f>
        <v>4653.4701220074221</v>
      </c>
      <c r="J5" s="6"/>
      <c r="K5" s="6" t="s">
        <v>102</v>
      </c>
      <c r="L5" s="6">
        <v>41227</v>
      </c>
      <c r="M5" s="6">
        <v>47572955.619999997</v>
      </c>
      <c r="N5" s="6">
        <v>13368192.34</v>
      </c>
      <c r="O5" s="6">
        <v>18811933.120000001</v>
      </c>
      <c r="P5" s="6">
        <v>96434676.010000005</v>
      </c>
      <c r="Q5" s="6">
        <v>15660855.630000001</v>
      </c>
    </row>
    <row r="6" spans="1:17" x14ac:dyDescent="0.2">
      <c r="A6" s="6" t="s">
        <v>76</v>
      </c>
      <c r="B6" s="6">
        <v>24918</v>
      </c>
      <c r="C6" s="6">
        <v>23959758.48</v>
      </c>
      <c r="D6" s="6">
        <v>8640939.0899999999</v>
      </c>
      <c r="E6" s="6">
        <v>11842720.18</v>
      </c>
      <c r="F6" s="6">
        <v>61801533.369999997</v>
      </c>
      <c r="G6" s="6">
        <v>15089216.640000001</v>
      </c>
      <c r="H6" s="6">
        <v>121334167.76000001</v>
      </c>
      <c r="I6" s="6">
        <f t="shared" ref="I6:I22" si="0">H6/B6</f>
        <v>4869.3381394975522</v>
      </c>
      <c r="J6" s="6"/>
      <c r="K6" s="6" t="s">
        <v>76</v>
      </c>
      <c r="L6" s="6">
        <v>24918</v>
      </c>
      <c r="M6" s="6">
        <v>23959758.48</v>
      </c>
      <c r="N6" s="6">
        <v>8640939.0899999999</v>
      </c>
      <c r="O6" s="6">
        <v>11842720.18</v>
      </c>
      <c r="P6" s="6">
        <v>61801533.369999997</v>
      </c>
      <c r="Q6" s="6">
        <v>15089216.640000001</v>
      </c>
    </row>
    <row r="7" spans="1:17" x14ac:dyDescent="0.2">
      <c r="A7" s="6" t="s">
        <v>77</v>
      </c>
      <c r="B7" s="6">
        <v>14206</v>
      </c>
      <c r="C7" s="6">
        <v>15719492.859999999</v>
      </c>
      <c r="D7" s="6">
        <v>6896867.8499999996</v>
      </c>
      <c r="E7" s="6">
        <v>7528613.9500000002</v>
      </c>
      <c r="F7" s="6">
        <v>35131149.399999999</v>
      </c>
      <c r="G7" s="6">
        <v>12910667.57</v>
      </c>
      <c r="H7" s="6">
        <v>78186791.629999995</v>
      </c>
      <c r="I7" s="6">
        <f t="shared" si="0"/>
        <v>5503.7865430099955</v>
      </c>
      <c r="J7" s="6"/>
      <c r="K7" s="6" t="s">
        <v>77</v>
      </c>
      <c r="L7" s="6">
        <v>14206</v>
      </c>
      <c r="M7" s="6">
        <v>15719492.859999999</v>
      </c>
      <c r="N7" s="6">
        <v>6896867.8499999996</v>
      </c>
      <c r="O7" s="6">
        <v>7528613.9500000002</v>
      </c>
      <c r="P7" s="6">
        <v>35131149.399999999</v>
      </c>
      <c r="Q7" s="6">
        <v>12910667.57</v>
      </c>
    </row>
    <row r="8" spans="1:17" x14ac:dyDescent="0.2">
      <c r="A8" s="6" t="s">
        <v>78</v>
      </c>
      <c r="B8" s="6">
        <v>14270</v>
      </c>
      <c r="C8" s="6">
        <v>15820402.939999999</v>
      </c>
      <c r="D8" s="6">
        <v>5611683.1100000003</v>
      </c>
      <c r="E8" s="6">
        <v>6941571.21</v>
      </c>
      <c r="F8" s="6">
        <v>35740353.07</v>
      </c>
      <c r="G8" s="6">
        <v>11319688.23</v>
      </c>
      <c r="H8" s="6">
        <v>75433698.560000002</v>
      </c>
      <c r="I8" s="6">
        <f t="shared" si="0"/>
        <v>5286.1736902592856</v>
      </c>
      <c r="J8" s="6"/>
      <c r="K8" s="6" t="s">
        <v>78</v>
      </c>
      <c r="L8" s="6">
        <v>14270</v>
      </c>
      <c r="M8" s="6">
        <v>15820402.939999999</v>
      </c>
      <c r="N8" s="6">
        <v>5611683.1100000003</v>
      </c>
      <c r="O8" s="6">
        <v>6941571.21</v>
      </c>
      <c r="P8" s="6">
        <v>35740353.07</v>
      </c>
      <c r="Q8" s="6">
        <v>11319688.23</v>
      </c>
    </row>
    <row r="9" spans="1:17" x14ac:dyDescent="0.2">
      <c r="A9" s="6" t="s">
        <v>79</v>
      </c>
      <c r="B9" s="6">
        <v>6317</v>
      </c>
      <c r="C9" s="6">
        <v>9912313.4800000004</v>
      </c>
      <c r="D9" s="6">
        <v>3398903.43</v>
      </c>
      <c r="E9" s="6">
        <v>3739458.83</v>
      </c>
      <c r="F9" s="6">
        <v>16122597.300000001</v>
      </c>
      <c r="G9" s="6">
        <v>3704051.55</v>
      </c>
      <c r="H9" s="6">
        <v>36877324.590000004</v>
      </c>
      <c r="I9" s="6">
        <f t="shared" si="0"/>
        <v>5837.7908168434387</v>
      </c>
      <c r="J9" s="6"/>
      <c r="K9" s="6" t="s">
        <v>79</v>
      </c>
      <c r="L9" s="6">
        <v>6317</v>
      </c>
      <c r="M9" s="6">
        <v>9912313.4800000004</v>
      </c>
      <c r="N9" s="6">
        <v>3398903.43</v>
      </c>
      <c r="O9" s="6">
        <v>3739458.83</v>
      </c>
      <c r="P9" s="6">
        <v>16122597.300000001</v>
      </c>
      <c r="Q9" s="6">
        <v>3704051.55</v>
      </c>
    </row>
    <row r="10" spans="1:17" x14ac:dyDescent="0.2">
      <c r="A10" s="7" t="s">
        <v>80</v>
      </c>
      <c r="B10" s="7">
        <v>1733</v>
      </c>
      <c r="C10" s="7">
        <v>2920592.62</v>
      </c>
      <c r="D10" s="7">
        <v>793626.32</v>
      </c>
      <c r="E10" s="7">
        <v>892584.87</v>
      </c>
      <c r="F10" s="7">
        <v>3934389.13</v>
      </c>
      <c r="G10" s="7">
        <v>257950</v>
      </c>
      <c r="H10" s="7">
        <v>8799142.9399999995</v>
      </c>
      <c r="I10" s="7">
        <f t="shared" si="0"/>
        <v>5077.405043277553</v>
      </c>
      <c r="J10" s="6"/>
      <c r="K10" s="6" t="s">
        <v>80</v>
      </c>
      <c r="L10" s="6">
        <v>1733</v>
      </c>
      <c r="M10" s="6">
        <v>2920592.62</v>
      </c>
      <c r="N10" s="6">
        <v>793626.32</v>
      </c>
      <c r="O10" s="6">
        <v>892584.87</v>
      </c>
      <c r="P10" s="6">
        <v>3934389.13</v>
      </c>
      <c r="Q10" s="6">
        <v>257950</v>
      </c>
    </row>
    <row r="11" spans="1:17" x14ac:dyDescent="0.2">
      <c r="A11" s="6" t="s">
        <v>103</v>
      </c>
      <c r="B11" s="6">
        <v>102671</v>
      </c>
      <c r="C11" s="6">
        <v>115905516</v>
      </c>
      <c r="D11" s="6">
        <v>38710212.140000001</v>
      </c>
      <c r="E11" s="6">
        <v>49756882.159999996</v>
      </c>
      <c r="F11" s="6">
        <v>249164698.28</v>
      </c>
      <c r="G11" s="6">
        <v>58942429.620000005</v>
      </c>
      <c r="H11" s="6">
        <v>512479738.19999999</v>
      </c>
      <c r="I11" s="6">
        <f t="shared" si="0"/>
        <v>4991.4750825452174</v>
      </c>
      <c r="J11" s="6"/>
      <c r="K11" s="6" t="s">
        <v>81</v>
      </c>
      <c r="L11" s="6">
        <v>21487</v>
      </c>
      <c r="M11" s="6">
        <v>32660425.899999999</v>
      </c>
      <c r="N11" s="6">
        <v>12128995.48</v>
      </c>
      <c r="O11" s="6">
        <v>11856674.25</v>
      </c>
      <c r="P11" s="6">
        <v>59891666.039999999</v>
      </c>
      <c r="Q11" s="6">
        <v>6819812</v>
      </c>
    </row>
    <row r="12" spans="1:17" x14ac:dyDescent="0.2">
      <c r="A12" s="6"/>
      <c r="B12" s="6"/>
      <c r="C12" s="6"/>
      <c r="D12" s="6"/>
      <c r="E12" s="6"/>
      <c r="F12" s="6"/>
      <c r="G12" s="6"/>
      <c r="H12" s="6"/>
      <c r="I12" s="6"/>
      <c r="J12" s="6"/>
      <c r="K12" s="6" t="s">
        <v>82</v>
      </c>
      <c r="L12" s="6">
        <v>10286</v>
      </c>
      <c r="M12" s="6">
        <v>12884502.210000001</v>
      </c>
      <c r="N12" s="6">
        <v>6462790.9400000004</v>
      </c>
      <c r="O12" s="6">
        <v>5935546.1699999999</v>
      </c>
      <c r="P12" s="6">
        <v>31830985.66</v>
      </c>
      <c r="Q12" s="6">
        <v>4478302.66</v>
      </c>
    </row>
    <row r="13" spans="1:17" x14ac:dyDescent="0.2">
      <c r="A13" s="6" t="s">
        <v>81</v>
      </c>
      <c r="B13" s="6">
        <v>21487</v>
      </c>
      <c r="C13" s="6">
        <v>32660425.899999999</v>
      </c>
      <c r="D13" s="6">
        <v>12128995.48</v>
      </c>
      <c r="E13" s="6">
        <v>11856674.25</v>
      </c>
      <c r="F13" s="6">
        <v>59891666.039999999</v>
      </c>
      <c r="G13" s="6">
        <v>6819812</v>
      </c>
      <c r="H13" s="6">
        <v>123357573.66999999</v>
      </c>
      <c r="I13" s="6">
        <f t="shared" si="0"/>
        <v>5741.0328882580161</v>
      </c>
      <c r="J13" s="6"/>
      <c r="K13" s="6" t="s">
        <v>83</v>
      </c>
      <c r="L13" s="6">
        <v>4524</v>
      </c>
      <c r="M13" s="6">
        <v>6576668.6699999999</v>
      </c>
      <c r="N13" s="6">
        <v>2860186.37</v>
      </c>
      <c r="O13" s="6">
        <v>2821592.57</v>
      </c>
      <c r="P13" s="6">
        <v>14484910.289999999</v>
      </c>
      <c r="Q13" s="6">
        <v>2132665.2000000002</v>
      </c>
    </row>
    <row r="14" spans="1:17" x14ac:dyDescent="0.2">
      <c r="A14" s="6" t="s">
        <v>82</v>
      </c>
      <c r="B14" s="6">
        <v>10286</v>
      </c>
      <c r="C14" s="6">
        <v>12884502.210000001</v>
      </c>
      <c r="D14" s="6">
        <v>6462790.9400000004</v>
      </c>
      <c r="E14" s="6">
        <v>5935546.1699999999</v>
      </c>
      <c r="F14" s="6">
        <v>31830985.66</v>
      </c>
      <c r="G14" s="6">
        <v>4478302.66</v>
      </c>
      <c r="H14" s="6">
        <v>61592127.640000001</v>
      </c>
      <c r="I14" s="6">
        <f t="shared" si="0"/>
        <v>5987.957188411433</v>
      </c>
      <c r="J14" s="6"/>
      <c r="K14" s="6" t="s">
        <v>84</v>
      </c>
      <c r="L14" s="6">
        <v>5074</v>
      </c>
      <c r="M14" s="6">
        <v>9237930.6400000006</v>
      </c>
      <c r="N14" s="6">
        <v>3535820.74</v>
      </c>
      <c r="O14" s="6">
        <v>3968587.5</v>
      </c>
      <c r="P14" s="6">
        <v>19395179.530000001</v>
      </c>
      <c r="Q14" s="6">
        <v>4379441.01</v>
      </c>
    </row>
    <row r="15" spans="1:17" x14ac:dyDescent="0.2">
      <c r="A15" s="6" t="s">
        <v>83</v>
      </c>
      <c r="B15" s="6">
        <v>4524</v>
      </c>
      <c r="C15" s="6">
        <v>6576668.6699999999</v>
      </c>
      <c r="D15" s="6">
        <v>2860186.37</v>
      </c>
      <c r="E15" s="6">
        <v>2821592.57</v>
      </c>
      <c r="F15" s="6">
        <v>14484910.289999999</v>
      </c>
      <c r="G15" s="6">
        <v>2132665.2000000002</v>
      </c>
      <c r="H15" s="6">
        <v>28876023.099999998</v>
      </c>
      <c r="I15" s="6">
        <f t="shared" si="0"/>
        <v>6382.8521441202474</v>
      </c>
      <c r="J15" s="6"/>
      <c r="K15" s="6" t="s">
        <v>85</v>
      </c>
      <c r="L15" s="6">
        <v>1489</v>
      </c>
      <c r="M15" s="6">
        <v>4120299.65</v>
      </c>
      <c r="N15" s="6">
        <v>1381353.74</v>
      </c>
      <c r="O15" s="6">
        <v>1689201.51</v>
      </c>
      <c r="P15" s="6">
        <v>7853503.3200000003</v>
      </c>
      <c r="Q15" s="6">
        <v>1662179.11</v>
      </c>
    </row>
    <row r="16" spans="1:17" x14ac:dyDescent="0.2">
      <c r="A16" s="6" t="s">
        <v>84</v>
      </c>
      <c r="B16" s="6">
        <v>5074</v>
      </c>
      <c r="C16" s="6">
        <v>9237930.6400000006</v>
      </c>
      <c r="D16" s="6">
        <v>3535820.74</v>
      </c>
      <c r="E16" s="6">
        <v>3968587.5</v>
      </c>
      <c r="F16" s="6">
        <v>19395179.530000001</v>
      </c>
      <c r="G16" s="6">
        <v>4379441.01</v>
      </c>
      <c r="H16" s="6">
        <v>40516959.420000002</v>
      </c>
      <c r="I16" s="6">
        <f t="shared" si="0"/>
        <v>7985.2107646826962</v>
      </c>
      <c r="J16" s="6"/>
      <c r="K16" s="6" t="s">
        <v>86</v>
      </c>
      <c r="L16" s="6">
        <v>11491</v>
      </c>
      <c r="M16" s="6">
        <v>12695514.640000001</v>
      </c>
      <c r="N16" s="6">
        <v>4312274.1900000004</v>
      </c>
      <c r="O16" s="6">
        <v>5942724.2400000002</v>
      </c>
      <c r="P16" s="6">
        <v>30451482.75</v>
      </c>
      <c r="Q16" s="6">
        <v>4244526.71</v>
      </c>
    </row>
    <row r="17" spans="1:17" x14ac:dyDescent="0.2">
      <c r="A17" s="7" t="s">
        <v>85</v>
      </c>
      <c r="B17" s="7">
        <v>1489</v>
      </c>
      <c r="C17" s="7">
        <v>4120299.65</v>
      </c>
      <c r="D17" s="7">
        <v>1381353.74</v>
      </c>
      <c r="E17" s="7">
        <v>1689201.51</v>
      </c>
      <c r="F17" s="7">
        <v>7853503.3200000003</v>
      </c>
      <c r="G17" s="7">
        <v>1662179.11</v>
      </c>
      <c r="H17" s="7">
        <v>16706537.329999998</v>
      </c>
      <c r="I17" s="7">
        <f t="shared" si="0"/>
        <v>11219.971343183342</v>
      </c>
      <c r="J17" s="6"/>
      <c r="K17" s="6" t="s">
        <v>87</v>
      </c>
      <c r="L17" s="6">
        <v>6746</v>
      </c>
      <c r="M17" s="6">
        <v>13734487.220000001</v>
      </c>
      <c r="N17" s="6">
        <v>5580250.6600000001</v>
      </c>
      <c r="O17" s="6">
        <v>4934478.07</v>
      </c>
      <c r="P17" s="6">
        <v>20985323.469999999</v>
      </c>
      <c r="Q17" s="6">
        <v>3102310.71</v>
      </c>
    </row>
    <row r="18" spans="1:17" x14ac:dyDescent="0.2">
      <c r="A18" s="6" t="s">
        <v>104</v>
      </c>
      <c r="B18" s="6">
        <v>42860</v>
      </c>
      <c r="C18" s="6">
        <v>65479827.07</v>
      </c>
      <c r="D18" s="6">
        <v>26369147.27</v>
      </c>
      <c r="E18" s="6">
        <v>26271602.000000004</v>
      </c>
      <c r="F18" s="6">
        <v>133456244.84</v>
      </c>
      <c r="G18" s="6">
        <v>19472399.979999997</v>
      </c>
      <c r="H18" s="6">
        <v>271049221.15999997</v>
      </c>
      <c r="I18" s="6">
        <f t="shared" si="0"/>
        <v>6324.0602230517961</v>
      </c>
      <c r="J18" s="6"/>
      <c r="K18" s="6"/>
      <c r="L18" s="6"/>
      <c r="M18" s="6"/>
      <c r="N18" s="6"/>
      <c r="O18" s="6"/>
      <c r="P18" s="6"/>
      <c r="Q18" s="6"/>
    </row>
    <row r="19" spans="1:17" x14ac:dyDescent="0.2">
      <c r="A19" s="6"/>
      <c r="B19" s="6"/>
      <c r="C19" s="6"/>
      <c r="D19" s="6"/>
      <c r="E19" s="6"/>
      <c r="F19" s="6"/>
      <c r="G19" s="6"/>
      <c r="H19" s="6"/>
      <c r="I19" s="6"/>
      <c r="J19" s="6"/>
      <c r="K19" s="6"/>
      <c r="L19" s="6">
        <v>163768</v>
      </c>
      <c r="M19" s="6">
        <v>207815344.93000004</v>
      </c>
      <c r="N19" s="6"/>
      <c r="O19" s="6"/>
      <c r="P19" s="6"/>
      <c r="Q19" s="6"/>
    </row>
    <row r="20" spans="1:17" x14ac:dyDescent="0.2">
      <c r="A20" s="6" t="s">
        <v>86</v>
      </c>
      <c r="B20" s="6">
        <v>11491</v>
      </c>
      <c r="C20" s="6">
        <v>12695514.640000001</v>
      </c>
      <c r="D20" s="6">
        <v>4312274.1900000004</v>
      </c>
      <c r="E20" s="6">
        <v>5942724.2400000002</v>
      </c>
      <c r="F20" s="6">
        <v>30451482.75</v>
      </c>
      <c r="G20" s="6">
        <v>4244526.71</v>
      </c>
      <c r="H20" s="6">
        <v>57646522.530000001</v>
      </c>
      <c r="I20" s="6">
        <f t="shared" si="0"/>
        <v>5016.6671769210689</v>
      </c>
      <c r="J20" s="6"/>
    </row>
    <row r="21" spans="1:17" x14ac:dyDescent="0.2">
      <c r="A21" s="7" t="s">
        <v>87</v>
      </c>
      <c r="B21" s="7">
        <v>6746</v>
      </c>
      <c r="C21" s="7">
        <v>13734487.220000001</v>
      </c>
      <c r="D21" s="7">
        <v>5580250.6600000001</v>
      </c>
      <c r="E21" s="7">
        <v>4934478.07</v>
      </c>
      <c r="F21" s="7">
        <v>20985323.469999999</v>
      </c>
      <c r="G21" s="7">
        <v>3102310.71</v>
      </c>
      <c r="H21" s="7">
        <v>48336850.130000003</v>
      </c>
      <c r="I21" s="7">
        <f t="shared" si="0"/>
        <v>7165.2609146160694</v>
      </c>
      <c r="J21" s="6"/>
    </row>
    <row r="22" spans="1:17" x14ac:dyDescent="0.2">
      <c r="A22" s="6" t="s">
        <v>105</v>
      </c>
      <c r="B22" s="6">
        <v>18237</v>
      </c>
      <c r="C22" s="6">
        <v>26430001.859999999</v>
      </c>
      <c r="D22" s="6">
        <v>9892524.8500000015</v>
      </c>
      <c r="E22" s="6">
        <v>10877202.310000001</v>
      </c>
      <c r="F22" s="6">
        <v>51436806.219999999</v>
      </c>
      <c r="G22" s="6">
        <v>7346837.4199999999</v>
      </c>
      <c r="H22" s="6">
        <v>105983372.66</v>
      </c>
      <c r="I22" s="6">
        <f t="shared" si="0"/>
        <v>5811.4477523715523</v>
      </c>
      <c r="J22" s="6"/>
    </row>
    <row r="23" spans="1:17" x14ac:dyDescent="0.2">
      <c r="I23" s="6"/>
      <c r="J23" s="6"/>
    </row>
    <row r="24" spans="1:17" ht="13.5" thickBot="1" x14ac:dyDescent="0.25">
      <c r="A24" s="8" t="s">
        <v>114</v>
      </c>
      <c r="B24" s="8">
        <v>163768</v>
      </c>
      <c r="C24" s="8">
        <v>207815344.93000001</v>
      </c>
      <c r="D24" s="8">
        <v>74971884.25999999</v>
      </c>
      <c r="E24" s="8">
        <v>86905686.469999999</v>
      </c>
      <c r="F24" s="8">
        <v>434057749.34000003</v>
      </c>
      <c r="G24" s="8">
        <v>85761667.019999996</v>
      </c>
      <c r="H24" s="8">
        <v>889512332.01999986</v>
      </c>
      <c r="I24" s="8">
        <f>H24/B24</f>
        <v>5431.5393240437688</v>
      </c>
      <c r="J24" s="6"/>
    </row>
    <row r="25" spans="1:17" ht="13.5" thickTop="1" x14ac:dyDescent="0.2">
      <c r="A25" s="6"/>
      <c r="B25" s="6"/>
      <c r="C25" s="6"/>
      <c r="D25" s="6"/>
      <c r="E25" s="6"/>
      <c r="F25" s="6"/>
      <c r="G25" s="6"/>
      <c r="H25" s="6"/>
      <c r="I25" s="6"/>
      <c r="J25" s="6"/>
    </row>
    <row r="26" spans="1:17" x14ac:dyDescent="0.2">
      <c r="A26" s="36" t="s">
        <v>200</v>
      </c>
      <c r="I26" s="6"/>
      <c r="J26" s="6"/>
    </row>
    <row r="27" spans="1:17" x14ac:dyDescent="0.2">
      <c r="A27" s="36" t="s">
        <v>298</v>
      </c>
      <c r="I27" s="6"/>
      <c r="J27" s="6"/>
    </row>
    <row r="28" spans="1:17" x14ac:dyDescent="0.2">
      <c r="I28" s="6"/>
      <c r="J28" s="6"/>
    </row>
    <row r="29" spans="1:17" x14ac:dyDescent="0.2">
      <c r="A29" s="173" t="s">
        <v>88</v>
      </c>
      <c r="B29" s="144" t="s">
        <v>122</v>
      </c>
      <c r="C29" s="144" t="s">
        <v>116</v>
      </c>
      <c r="D29" s="144" t="s">
        <v>117</v>
      </c>
      <c r="E29" s="144" t="s">
        <v>120</v>
      </c>
      <c r="F29" s="144" t="s">
        <v>118</v>
      </c>
      <c r="G29" s="144" t="s">
        <v>119</v>
      </c>
      <c r="H29" s="144" t="s">
        <v>113</v>
      </c>
      <c r="I29" s="6"/>
      <c r="J29" s="6"/>
    </row>
    <row r="30" spans="1:17" x14ac:dyDescent="0.2">
      <c r="A30" s="6" t="s">
        <v>102</v>
      </c>
      <c r="B30" s="6">
        <v>41227</v>
      </c>
      <c r="C30" s="6">
        <v>1153.9271744245275</v>
      </c>
      <c r="D30" s="6">
        <v>324.25818856574574</v>
      </c>
      <c r="E30" s="6">
        <v>456.30128605040386</v>
      </c>
      <c r="F30" s="6">
        <v>2339.1145610886069</v>
      </c>
      <c r="G30" s="6">
        <v>379.86891187813814</v>
      </c>
      <c r="H30" s="6">
        <v>4653.4701220074221</v>
      </c>
      <c r="I30" s="6"/>
      <c r="J30" s="6"/>
    </row>
    <row r="31" spans="1:17" x14ac:dyDescent="0.2">
      <c r="A31" s="6" t="s">
        <v>76</v>
      </c>
      <c r="B31" s="6">
        <v>24918</v>
      </c>
      <c r="C31" s="6">
        <v>961.54420418974235</v>
      </c>
      <c r="D31" s="6">
        <v>346.77498555261258</v>
      </c>
      <c r="E31" s="6">
        <v>475.2676852074805</v>
      </c>
      <c r="F31" s="6">
        <v>2480.1963789228671</v>
      </c>
      <c r="G31" s="6">
        <v>605.55488562484948</v>
      </c>
      <c r="H31" s="6">
        <v>4869.3381394975522</v>
      </c>
      <c r="I31" s="6"/>
      <c r="J31" s="6"/>
    </row>
    <row r="32" spans="1:17" x14ac:dyDescent="0.2">
      <c r="A32" s="6" t="s">
        <v>77</v>
      </c>
      <c r="B32" s="6">
        <v>14206</v>
      </c>
      <c r="C32" s="6">
        <v>1106.5389877516541</v>
      </c>
      <c r="D32" s="6">
        <v>485.48978248627338</v>
      </c>
      <c r="E32" s="6">
        <v>529.96015416021396</v>
      </c>
      <c r="F32" s="6">
        <v>2472.9796846402928</v>
      </c>
      <c r="G32" s="6">
        <v>908.81793397156139</v>
      </c>
      <c r="H32" s="6">
        <v>5503.7865430099955</v>
      </c>
      <c r="I32" s="6"/>
      <c r="J32" s="6"/>
    </row>
    <row r="33" spans="1:10" x14ac:dyDescent="0.2">
      <c r="A33" s="6" t="s">
        <v>78</v>
      </c>
      <c r="B33" s="6">
        <v>14270</v>
      </c>
      <c r="C33" s="6">
        <v>1108.6477182901192</v>
      </c>
      <c r="D33" s="6">
        <v>393.25039313244571</v>
      </c>
      <c r="E33" s="6">
        <v>486.44507428170988</v>
      </c>
      <c r="F33" s="6">
        <v>2504.5797526278907</v>
      </c>
      <c r="G33" s="6">
        <v>793.25075192711984</v>
      </c>
      <c r="H33" s="6">
        <v>5286.1736902592856</v>
      </c>
      <c r="I33" s="6"/>
      <c r="J33" s="6"/>
    </row>
    <row r="34" spans="1:10" x14ac:dyDescent="0.2">
      <c r="A34" s="6" t="s">
        <v>79</v>
      </c>
      <c r="B34" s="6">
        <v>6317</v>
      </c>
      <c r="C34" s="6">
        <v>1569.1488807978471</v>
      </c>
      <c r="D34" s="6">
        <v>538.0565822384043</v>
      </c>
      <c r="E34" s="6">
        <v>591.96752097514639</v>
      </c>
      <c r="F34" s="6">
        <v>2552.2553902168752</v>
      </c>
      <c r="G34" s="6">
        <v>586.36244261516538</v>
      </c>
      <c r="H34" s="6">
        <v>5837.7908168434387</v>
      </c>
      <c r="I34" s="6"/>
      <c r="J34" s="6"/>
    </row>
    <row r="35" spans="1:10" x14ac:dyDescent="0.2">
      <c r="A35" s="7" t="s">
        <v>80</v>
      </c>
      <c r="B35" s="7">
        <v>1733</v>
      </c>
      <c r="C35" s="7">
        <v>1685.2813733410271</v>
      </c>
      <c r="D35" s="7">
        <v>457.94940565493363</v>
      </c>
      <c r="E35" s="7">
        <v>515.05185804962491</v>
      </c>
      <c r="F35" s="7">
        <v>2270.276474321985</v>
      </c>
      <c r="G35" s="7">
        <v>148.84593190998268</v>
      </c>
      <c r="H35" s="7">
        <v>5077.405043277553</v>
      </c>
      <c r="I35" s="6"/>
      <c r="J35" s="6"/>
    </row>
    <row r="36" spans="1:10" x14ac:dyDescent="0.2">
      <c r="A36" s="6" t="s">
        <v>103</v>
      </c>
      <c r="B36" s="6">
        <v>102671</v>
      </c>
      <c r="C36" s="6">
        <v>1128.9021827000809</v>
      </c>
      <c r="D36" s="6">
        <v>377.03160717242457</v>
      </c>
      <c r="E36" s="6">
        <v>484.62450117365171</v>
      </c>
      <c r="F36" s="6">
        <v>2426.8264483641924</v>
      </c>
      <c r="G36" s="6">
        <v>574.09034313486768</v>
      </c>
      <c r="H36" s="6">
        <v>4991.4750825452174</v>
      </c>
      <c r="I36" s="6"/>
      <c r="J36" s="6"/>
    </row>
    <row r="37" spans="1:10" x14ac:dyDescent="0.2">
      <c r="I37" s="6"/>
      <c r="J37" s="6"/>
    </row>
    <row r="38" spans="1:10" x14ac:dyDescent="0.2">
      <c r="A38" s="6" t="s">
        <v>81</v>
      </c>
      <c r="B38" s="6">
        <v>21487</v>
      </c>
      <c r="C38" s="6">
        <v>1520.0086517429143</v>
      </c>
      <c r="D38" s="6">
        <v>564.48063852562018</v>
      </c>
      <c r="E38" s="6">
        <v>551.8068715967795</v>
      </c>
      <c r="F38" s="6">
        <v>2787.3442565272026</v>
      </c>
      <c r="G38" s="6">
        <v>317.39246986550006</v>
      </c>
      <c r="H38" s="6">
        <v>5741.0328882580161</v>
      </c>
      <c r="I38" s="6"/>
      <c r="J38" s="6"/>
    </row>
    <row r="39" spans="1:10" x14ac:dyDescent="0.2">
      <c r="A39" s="6" t="s">
        <v>82</v>
      </c>
      <c r="B39" s="6">
        <v>10286</v>
      </c>
      <c r="C39" s="6">
        <v>1252.6251419405016</v>
      </c>
      <c r="D39" s="6">
        <v>628.30944390433604</v>
      </c>
      <c r="E39" s="6">
        <v>577.050959556679</v>
      </c>
      <c r="F39" s="6">
        <v>3094.5932004666538</v>
      </c>
      <c r="G39" s="6">
        <v>435.37844254326268</v>
      </c>
      <c r="H39" s="6">
        <v>5987.957188411433</v>
      </c>
      <c r="I39" s="6"/>
      <c r="J39" s="6"/>
    </row>
    <row r="40" spans="1:10" x14ac:dyDescent="0.2">
      <c r="A40" s="6" t="s">
        <v>83</v>
      </c>
      <c r="B40" s="6">
        <v>4524</v>
      </c>
      <c r="C40" s="6">
        <v>1453.7287068965518</v>
      </c>
      <c r="D40" s="6">
        <v>632.22510389036256</v>
      </c>
      <c r="E40" s="6">
        <v>623.69420203359857</v>
      </c>
      <c r="F40" s="6">
        <v>3201.7927254641909</v>
      </c>
      <c r="G40" s="6">
        <v>471.4114058355438</v>
      </c>
      <c r="H40" s="6">
        <v>6382.8521441202474</v>
      </c>
      <c r="I40" s="6"/>
      <c r="J40" s="6"/>
    </row>
    <row r="41" spans="1:10" x14ac:dyDescent="0.2">
      <c r="A41" s="6" t="s">
        <v>84</v>
      </c>
      <c r="B41" s="6">
        <v>5074</v>
      </c>
      <c r="C41" s="6">
        <v>1820.6406464327947</v>
      </c>
      <c r="D41" s="6">
        <v>696.85075679936938</v>
      </c>
      <c r="E41" s="6">
        <v>782.14180134016556</v>
      </c>
      <c r="F41" s="6">
        <v>3822.4634469846278</v>
      </c>
      <c r="G41" s="6">
        <v>863.11411312573898</v>
      </c>
      <c r="H41" s="6">
        <v>7985.2107646826962</v>
      </c>
      <c r="I41" s="6"/>
      <c r="J41" s="6"/>
    </row>
    <row r="42" spans="1:10" x14ac:dyDescent="0.2">
      <c r="A42" s="7" t="s">
        <v>85</v>
      </c>
      <c r="B42" s="7">
        <v>1489</v>
      </c>
      <c r="C42" s="7">
        <v>2767.1589321692409</v>
      </c>
      <c r="D42" s="7">
        <v>927.70566823371394</v>
      </c>
      <c r="E42" s="7">
        <v>1134.4536668905305</v>
      </c>
      <c r="F42" s="7">
        <v>5274.3474278038957</v>
      </c>
      <c r="G42" s="7">
        <v>1116.3056480859639</v>
      </c>
      <c r="H42" s="7">
        <v>11219.971343183342</v>
      </c>
      <c r="I42" s="6"/>
      <c r="J42" s="6"/>
    </row>
    <row r="43" spans="1:10" x14ac:dyDescent="0.2">
      <c r="A43" s="6" t="s">
        <v>104</v>
      </c>
      <c r="B43" s="6">
        <v>42860</v>
      </c>
      <c r="C43" s="6">
        <v>1527.7607809146057</v>
      </c>
      <c r="D43" s="6">
        <v>615.23908702753147</v>
      </c>
      <c r="E43" s="6">
        <v>612.96318245450311</v>
      </c>
      <c r="F43" s="6">
        <v>3113.7714615025666</v>
      </c>
      <c r="G43" s="6">
        <v>454.32571115258975</v>
      </c>
      <c r="H43" s="6">
        <v>6324.0602230517961</v>
      </c>
      <c r="I43" s="6"/>
      <c r="J43" s="6"/>
    </row>
    <row r="44" spans="1:10" x14ac:dyDescent="0.2">
      <c r="I44" s="6"/>
      <c r="J44" s="6"/>
    </row>
    <row r="45" spans="1:10" x14ac:dyDescent="0.2">
      <c r="A45" s="6" t="s">
        <v>86</v>
      </c>
      <c r="B45" s="6">
        <v>11491</v>
      </c>
      <c r="C45" s="6">
        <v>1104.8224384300759</v>
      </c>
      <c r="D45" s="6">
        <v>375.27405708815598</v>
      </c>
      <c r="E45" s="6">
        <v>517.16336611260988</v>
      </c>
      <c r="F45" s="6">
        <v>2650.0289574449571</v>
      </c>
      <c r="G45" s="6">
        <v>369.37835784527022</v>
      </c>
      <c r="H45" s="6">
        <v>5016.6671769210689</v>
      </c>
      <c r="I45" s="6"/>
      <c r="J45" s="6"/>
    </row>
    <row r="46" spans="1:10" x14ac:dyDescent="0.2">
      <c r="A46" s="7" t="s">
        <v>87</v>
      </c>
      <c r="B46" s="7">
        <v>6746</v>
      </c>
      <c r="C46" s="7">
        <v>2035.9453335309813</v>
      </c>
      <c r="D46" s="7">
        <v>827.19399051289656</v>
      </c>
      <c r="E46" s="7">
        <v>731.46725022235398</v>
      </c>
      <c r="F46" s="7">
        <v>3110.7802356952266</v>
      </c>
      <c r="G46" s="7">
        <v>459.87410465461011</v>
      </c>
      <c r="H46" s="7">
        <v>7165.2609146160694</v>
      </c>
    </row>
    <row r="47" spans="1:10" x14ac:dyDescent="0.2">
      <c r="A47" s="6" t="s">
        <v>105</v>
      </c>
      <c r="B47" s="6">
        <v>18237</v>
      </c>
      <c r="C47" s="6">
        <v>1449.2516236223062</v>
      </c>
      <c r="D47" s="6">
        <v>542.44255359982458</v>
      </c>
      <c r="E47" s="6">
        <v>596.4359439600812</v>
      </c>
      <c r="F47" s="6">
        <v>2820.4642331523823</v>
      </c>
      <c r="G47" s="6">
        <v>402.85339803695786</v>
      </c>
      <c r="H47" s="6">
        <v>5811.4477523715523</v>
      </c>
    </row>
    <row r="49" spans="1:8" ht="13.5" thickBot="1" x14ac:dyDescent="0.25">
      <c r="A49" s="8" t="s">
        <v>114</v>
      </c>
      <c r="B49" s="8">
        <v>163768</v>
      </c>
      <c r="C49" s="8">
        <v>1268.9618541473303</v>
      </c>
      <c r="D49" s="8">
        <v>457.79324568902342</v>
      </c>
      <c r="E49" s="8">
        <v>530.66341696790585</v>
      </c>
      <c r="F49" s="8">
        <v>2650.4430007083192</v>
      </c>
      <c r="G49" s="8">
        <v>523.67780653119041</v>
      </c>
      <c r="H49" s="8">
        <v>5431.5393240437688</v>
      </c>
    </row>
    <row r="50" spans="1:8" ht="13.5" thickTop="1" x14ac:dyDescent="0.2">
      <c r="A50" s="6"/>
      <c r="B50" s="6"/>
      <c r="C50" s="6"/>
      <c r="D50" s="6"/>
      <c r="E50" s="6"/>
      <c r="F50" s="6"/>
      <c r="G50" s="6"/>
      <c r="H50" s="6"/>
    </row>
    <row r="54" spans="1:8" x14ac:dyDescent="0.2">
      <c r="A54" s="36" t="s">
        <v>200</v>
      </c>
    </row>
    <row r="55" spans="1:8" x14ac:dyDescent="0.2">
      <c r="A55" s="36" t="s">
        <v>298</v>
      </c>
    </row>
    <row r="57" spans="1:8" x14ac:dyDescent="0.2">
      <c r="A57" s="173" t="s">
        <v>88</v>
      </c>
      <c r="B57" s="144"/>
      <c r="C57" s="144" t="s">
        <v>116</v>
      </c>
      <c r="D57" s="144" t="s">
        <v>117</v>
      </c>
      <c r="E57" s="144" t="s">
        <v>120</v>
      </c>
      <c r="F57" s="144" t="s">
        <v>118</v>
      </c>
      <c r="G57" s="144" t="s">
        <v>119</v>
      </c>
      <c r="H57" s="5"/>
    </row>
    <row r="58" spans="1:8" x14ac:dyDescent="0.2">
      <c r="A58" s="6" t="s">
        <v>102</v>
      </c>
      <c r="B58" s="6"/>
      <c r="C58" s="9">
        <v>0.24797132981843328</v>
      </c>
      <c r="D58" s="9">
        <v>6.9680943481778862E-2</v>
      </c>
      <c r="E58" s="9">
        <v>9.8056133183802158E-2</v>
      </c>
      <c r="F58" s="9">
        <v>0.50266027282013703</v>
      </c>
      <c r="G58" s="9">
        <v>8.1631320695848719E-2</v>
      </c>
      <c r="H58" s="9"/>
    </row>
    <row r="59" spans="1:8" x14ac:dyDescent="0.2">
      <c r="A59" s="6" t="s">
        <v>76</v>
      </c>
      <c r="B59" s="6"/>
      <c r="C59" s="9">
        <v>0.19746917889932375</v>
      </c>
      <c r="D59" s="9">
        <v>7.121604119864941E-2</v>
      </c>
      <c r="E59" s="9">
        <v>9.760416541056266E-2</v>
      </c>
      <c r="F59" s="9">
        <v>0.50934979413419601</v>
      </c>
      <c r="G59" s="9">
        <v>0.12436082035726816</v>
      </c>
      <c r="H59" s="9"/>
    </row>
    <row r="60" spans="1:8" x14ac:dyDescent="0.2">
      <c r="A60" s="6" t="s">
        <v>77</v>
      </c>
      <c r="B60" s="6"/>
      <c r="C60" s="9">
        <v>0.20105049116721249</v>
      </c>
      <c r="D60" s="9">
        <v>8.8210140181192651E-2</v>
      </c>
      <c r="E60" s="9">
        <v>9.6290099555783493E-2</v>
      </c>
      <c r="F60" s="9">
        <v>0.44932332773353373</v>
      </c>
      <c r="G60" s="9">
        <v>0.16512594136227765</v>
      </c>
      <c r="H60" s="9"/>
    </row>
    <row r="61" spans="1:8" x14ac:dyDescent="0.2">
      <c r="A61" s="6" t="s">
        <v>78</v>
      </c>
      <c r="B61" s="6"/>
      <c r="C61" s="9">
        <v>0.20972593472155476</v>
      </c>
      <c r="D61" s="9">
        <v>7.4392257268632592E-2</v>
      </c>
      <c r="E61" s="9">
        <v>9.2022151140828262E-2</v>
      </c>
      <c r="F61" s="9">
        <v>0.47379823278282057</v>
      </c>
      <c r="G61" s="9">
        <v>0.15006142408616374</v>
      </c>
      <c r="H61" s="9"/>
    </row>
    <row r="62" spans="1:8" x14ac:dyDescent="0.2">
      <c r="A62" s="6" t="s">
        <v>79</v>
      </c>
      <c r="B62" s="6"/>
      <c r="C62" s="9">
        <v>0.26879155660570658</v>
      </c>
      <c r="D62" s="9">
        <v>9.2167842103211522E-2</v>
      </c>
      <c r="E62" s="9">
        <v>0.10140266062072263</v>
      </c>
      <c r="F62" s="9">
        <v>0.43719541694659581</v>
      </c>
      <c r="G62" s="9">
        <v>0.10044252372376343</v>
      </c>
      <c r="H62" s="9"/>
    </row>
    <row r="63" spans="1:8" x14ac:dyDescent="0.2">
      <c r="A63" s="7" t="s">
        <v>80</v>
      </c>
      <c r="B63" s="7"/>
      <c r="C63" s="10">
        <v>0.33191785153566333</v>
      </c>
      <c r="D63" s="10">
        <v>9.0193593331943309E-2</v>
      </c>
      <c r="E63" s="10">
        <v>0.10143997842589883</v>
      </c>
      <c r="F63" s="10">
        <v>0.44713322159078372</v>
      </c>
      <c r="G63" s="10">
        <v>2.9315355115710848E-2</v>
      </c>
      <c r="H63" s="9"/>
    </row>
    <row r="64" spans="1:8" x14ac:dyDescent="0.2">
      <c r="A64" s="6" t="s">
        <v>103</v>
      </c>
      <c r="B64" s="6"/>
      <c r="C64" s="9">
        <v>0.22616604591451533</v>
      </c>
      <c r="D64" s="9">
        <v>7.5535107545838198E-2</v>
      </c>
      <c r="E64" s="9">
        <v>9.7090437828357426E-2</v>
      </c>
      <c r="F64" s="9">
        <v>0.48619424283026219</v>
      </c>
      <c r="G64" s="9">
        <v>0.11501416588102682</v>
      </c>
      <c r="H64" s="9"/>
    </row>
    <row r="65" spans="1:8" x14ac:dyDescent="0.2">
      <c r="A65" s="6"/>
      <c r="B65" s="6"/>
      <c r="C65" s="9"/>
      <c r="D65" s="9"/>
      <c r="E65" s="9"/>
      <c r="F65" s="9"/>
      <c r="G65" s="9"/>
      <c r="H65" s="9"/>
    </row>
    <row r="66" spans="1:8" x14ac:dyDescent="0.2">
      <c r="A66" s="6" t="s">
        <v>81</v>
      </c>
      <c r="B66" s="6"/>
      <c r="C66" s="9">
        <v>0.26476222682015077</v>
      </c>
      <c r="D66" s="9">
        <v>9.8323881697340146E-2</v>
      </c>
      <c r="E66" s="9">
        <v>9.6116305608591024E-2</v>
      </c>
      <c r="F66" s="9">
        <v>0.48551267877738247</v>
      </c>
      <c r="G66" s="9">
        <v>5.5284907096535635E-2</v>
      </c>
      <c r="H66" s="9"/>
    </row>
    <row r="67" spans="1:8" x14ac:dyDescent="0.2">
      <c r="A67" s="6" t="s">
        <v>82</v>
      </c>
      <c r="B67" s="6"/>
      <c r="C67" s="9">
        <v>0.20919073108350247</v>
      </c>
      <c r="D67" s="9">
        <v>0.10492884703990719</v>
      </c>
      <c r="E67" s="9">
        <v>9.6368584710901539E-2</v>
      </c>
      <c r="F67" s="9">
        <v>0.51680282658928456</v>
      </c>
      <c r="G67" s="9">
        <v>7.2709010576404234E-2</v>
      </c>
      <c r="H67" s="9"/>
    </row>
    <row r="68" spans="1:8" x14ac:dyDescent="0.2">
      <c r="A68" s="6" t="s">
        <v>83</v>
      </c>
      <c r="B68" s="6"/>
      <c r="C68" s="9">
        <v>0.22775534730750371</v>
      </c>
      <c r="D68" s="9">
        <v>9.9050563856904528E-2</v>
      </c>
      <c r="E68" s="9">
        <v>9.7714029394858043E-2</v>
      </c>
      <c r="F68" s="9">
        <v>0.5016241412412501</v>
      </c>
      <c r="G68" s="9">
        <v>7.3855918199483644E-2</v>
      </c>
      <c r="H68" s="9"/>
    </row>
    <row r="69" spans="1:8" x14ac:dyDescent="0.2">
      <c r="A69" s="6" t="s">
        <v>84</v>
      </c>
      <c r="B69" s="6"/>
      <c r="C69" s="9">
        <v>0.22800157692583339</v>
      </c>
      <c r="D69" s="9">
        <v>8.7267672367701082E-2</v>
      </c>
      <c r="E69" s="9">
        <v>9.7948798646549567E-2</v>
      </c>
      <c r="F69" s="9">
        <v>0.47869286855780557</v>
      </c>
      <c r="G69" s="9">
        <v>0.10808908350211043</v>
      </c>
      <c r="H69" s="9"/>
    </row>
    <row r="70" spans="1:8" x14ac:dyDescent="0.2">
      <c r="A70" s="7" t="s">
        <v>85</v>
      </c>
      <c r="B70" s="7"/>
      <c r="C70" s="10">
        <v>0.24662798571677452</v>
      </c>
      <c r="D70" s="10">
        <v>8.2683425817957956E-2</v>
      </c>
      <c r="E70" s="10">
        <v>0.10111021072970602</v>
      </c>
      <c r="F70" s="10">
        <v>0.4700856416187113</v>
      </c>
      <c r="G70" s="10">
        <v>9.9492736116850403E-2</v>
      </c>
      <c r="H70" s="9"/>
    </row>
    <row r="71" spans="1:8" x14ac:dyDescent="0.2">
      <c r="A71" s="6" t="s">
        <v>104</v>
      </c>
      <c r="B71" s="6"/>
      <c r="C71" s="9">
        <v>0.24157910061415505</v>
      </c>
      <c r="D71" s="9">
        <v>9.7285456704685858E-2</v>
      </c>
      <c r="E71" s="9">
        <v>9.6925576423227994E-2</v>
      </c>
      <c r="F71" s="9">
        <v>0.49236904009113891</v>
      </c>
      <c r="G71" s="9">
        <v>7.1840826166792285E-2</v>
      </c>
      <c r="H71" s="9"/>
    </row>
    <row r="72" spans="1:8" x14ac:dyDescent="0.2">
      <c r="A72" s="6"/>
      <c r="B72" s="6"/>
      <c r="C72" s="9"/>
      <c r="D72" s="9"/>
      <c r="E72" s="9"/>
      <c r="F72" s="9"/>
      <c r="G72" s="9"/>
      <c r="H72" s="9"/>
    </row>
    <row r="73" spans="1:8" x14ac:dyDescent="0.2">
      <c r="A73" s="6" t="s">
        <v>86</v>
      </c>
      <c r="B73" s="6"/>
      <c r="C73" s="9">
        <v>0.22023036399798601</v>
      </c>
      <c r="D73" s="9">
        <v>7.4805452276081985E-2</v>
      </c>
      <c r="E73" s="9">
        <v>0.10308903259355026</v>
      </c>
      <c r="F73" s="9">
        <v>0.52824492117720812</v>
      </c>
      <c r="G73" s="9">
        <v>7.3630229955173668E-2</v>
      </c>
      <c r="H73" s="9"/>
    </row>
    <row r="74" spans="1:8" x14ac:dyDescent="0.2">
      <c r="A74" s="7" t="s">
        <v>87</v>
      </c>
      <c r="B74" s="7"/>
      <c r="C74" s="10">
        <v>0.28414113007077729</v>
      </c>
      <c r="D74" s="10">
        <v>0.11544506199705074</v>
      </c>
      <c r="E74" s="10">
        <v>0.10208522186962785</v>
      </c>
      <c r="F74" s="10">
        <v>0.43414751713363242</v>
      </c>
      <c r="G74" s="10">
        <v>6.4181068928911594E-2</v>
      </c>
      <c r="H74" s="9"/>
    </row>
    <row r="75" spans="1:8" x14ac:dyDescent="0.2">
      <c r="A75" s="6" t="s">
        <v>105</v>
      </c>
      <c r="B75" s="6"/>
      <c r="C75" s="9">
        <v>0.24937875816415822</v>
      </c>
      <c r="D75" s="9">
        <v>9.3340347657511522E-2</v>
      </c>
      <c r="E75" s="9">
        <v>0.10263121503874588</v>
      </c>
      <c r="F75" s="9">
        <v>0.48532901840189463</v>
      </c>
      <c r="G75" s="9">
        <v>6.9320660737689721E-2</v>
      </c>
      <c r="H75" s="9"/>
    </row>
    <row r="76" spans="1:8" x14ac:dyDescent="0.2">
      <c r="A76" s="6"/>
      <c r="B76" s="6"/>
      <c r="C76" s="9"/>
      <c r="D76" s="9"/>
      <c r="E76" s="9"/>
      <c r="F76" s="9"/>
      <c r="G76" s="9"/>
      <c r="H76" s="9"/>
    </row>
    <row r="77" spans="1:8" ht="13.5" thickBot="1" x14ac:dyDescent="0.25">
      <c r="A77" s="8" t="s">
        <v>114</v>
      </c>
      <c r="B77" s="8"/>
      <c r="C77" s="11">
        <v>0.23362840227079329</v>
      </c>
      <c r="D77" s="11">
        <v>8.4284255047645931E-2</v>
      </c>
      <c r="E77" s="11">
        <v>9.7700372824112799E-2</v>
      </c>
      <c r="F77" s="11">
        <v>0.48797271686418914</v>
      </c>
      <c r="G77" s="11">
        <v>9.6414252993258912E-2</v>
      </c>
      <c r="H77" s="9"/>
    </row>
    <row r="78" spans="1:8" ht="13.5" thickTop="1" x14ac:dyDescent="0.2">
      <c r="A78" s="6"/>
      <c r="B78" s="6"/>
      <c r="C78" s="6"/>
      <c r="D78" s="6"/>
      <c r="E78" s="6"/>
      <c r="F78" s="6"/>
      <c r="G78" s="6"/>
      <c r="H78"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P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7" width="10.42578125" bestFit="1" customWidth="1"/>
    <col min="8" max="8" width="9.5703125" bestFit="1" customWidth="1"/>
  </cols>
  <sheetData>
    <row r="1" spans="1:16" x14ac:dyDescent="0.2">
      <c r="A1" s="36" t="s">
        <v>200</v>
      </c>
    </row>
    <row r="2" spans="1:16" x14ac:dyDescent="0.2">
      <c r="A2" s="36" t="s">
        <v>294</v>
      </c>
    </row>
    <row r="4" spans="1:16" ht="22.5" x14ac:dyDescent="0.2">
      <c r="A4" s="173" t="s">
        <v>88</v>
      </c>
      <c r="B4" s="144" t="s">
        <v>121</v>
      </c>
      <c r="C4" s="144" t="s">
        <v>116</v>
      </c>
      <c r="D4" s="144" t="s">
        <v>117</v>
      </c>
      <c r="E4" s="144" t="s">
        <v>120</v>
      </c>
      <c r="F4" s="144" t="s">
        <v>118</v>
      </c>
      <c r="G4" s="144" t="s">
        <v>119</v>
      </c>
      <c r="H4" s="144" t="s">
        <v>113</v>
      </c>
      <c r="I4" s="141" t="s">
        <v>444</v>
      </c>
      <c r="J4" s="3"/>
      <c r="K4" s="2"/>
      <c r="L4" s="1"/>
      <c r="M4" s="1"/>
      <c r="N4" s="1"/>
      <c r="O4" s="4"/>
      <c r="P4" s="4"/>
    </row>
    <row r="5" spans="1:16" x14ac:dyDescent="0.2">
      <c r="A5" s="6" t="s">
        <v>102</v>
      </c>
      <c r="B5" s="1">
        <v>41482</v>
      </c>
      <c r="C5" s="1">
        <v>46881744.710000001</v>
      </c>
      <c r="D5" s="1">
        <v>12709670.789999999</v>
      </c>
      <c r="E5" s="1">
        <v>19776949.699999999</v>
      </c>
      <c r="F5" s="1">
        <v>97847049.640000001</v>
      </c>
      <c r="G5" s="1">
        <v>15048867.66</v>
      </c>
      <c r="H5" s="6">
        <v>192264282.5</v>
      </c>
      <c r="I5" s="6">
        <f>H5/B5</f>
        <v>4634.8845884962157</v>
      </c>
      <c r="J5" s="1"/>
      <c r="K5" s="1"/>
      <c r="L5" s="1"/>
      <c r="M5" s="1"/>
      <c r="N5" s="1"/>
      <c r="O5" s="1"/>
      <c r="P5" s="1"/>
    </row>
    <row r="6" spans="1:16" x14ac:dyDescent="0.2">
      <c r="A6" s="6" t="s">
        <v>76</v>
      </c>
      <c r="B6" s="1">
        <v>24927</v>
      </c>
      <c r="C6" s="1">
        <v>21342816.379999999</v>
      </c>
      <c r="D6" s="1">
        <v>8190499.5099999998</v>
      </c>
      <c r="E6" s="1">
        <v>11663238.699999999</v>
      </c>
      <c r="F6" s="1">
        <v>61493494.020000003</v>
      </c>
      <c r="G6" s="1">
        <v>15585783.029999999</v>
      </c>
      <c r="H6" s="6">
        <v>118275831.64000002</v>
      </c>
      <c r="I6" s="6">
        <f t="shared" ref="I6:I24" si="0">H6/B6</f>
        <v>4744.8883395514913</v>
      </c>
      <c r="J6" s="1"/>
      <c r="K6" s="1"/>
      <c r="L6" s="1"/>
      <c r="M6" s="1"/>
      <c r="N6" s="1"/>
      <c r="O6" s="1"/>
      <c r="P6" s="1"/>
    </row>
    <row r="7" spans="1:16" x14ac:dyDescent="0.2">
      <c r="A7" s="6" t="s">
        <v>77</v>
      </c>
      <c r="B7" s="1">
        <v>14333</v>
      </c>
      <c r="C7" s="1">
        <v>14638157.890000001</v>
      </c>
      <c r="D7" s="1">
        <v>6280073.7300000004</v>
      </c>
      <c r="E7" s="1">
        <v>7510790.75</v>
      </c>
      <c r="F7" s="1">
        <v>35153090.219999999</v>
      </c>
      <c r="G7" s="1">
        <v>13208513.380000001</v>
      </c>
      <c r="H7" s="6">
        <v>76790625.969999999</v>
      </c>
      <c r="I7" s="6">
        <f t="shared" si="0"/>
        <v>5357.6101283750786</v>
      </c>
      <c r="J7" s="1"/>
      <c r="K7" s="1"/>
      <c r="L7" s="1"/>
      <c r="M7" s="1"/>
      <c r="N7" s="1"/>
      <c r="O7" s="1"/>
      <c r="P7" s="1"/>
    </row>
    <row r="8" spans="1:16" x14ac:dyDescent="0.2">
      <c r="A8" s="6" t="s">
        <v>78</v>
      </c>
      <c r="B8" s="1">
        <v>14333</v>
      </c>
      <c r="C8" s="1">
        <v>14686257.01</v>
      </c>
      <c r="D8" s="1">
        <v>5360931.71</v>
      </c>
      <c r="E8" s="1">
        <v>6859094.7699999996</v>
      </c>
      <c r="F8" s="1">
        <v>35921235.780000001</v>
      </c>
      <c r="G8" s="1">
        <v>8192112.3899999997</v>
      </c>
      <c r="H8" s="6">
        <v>71019631.659999996</v>
      </c>
      <c r="I8" s="6">
        <f t="shared" si="0"/>
        <v>4954.9732547268541</v>
      </c>
      <c r="J8" s="1"/>
      <c r="K8" s="1"/>
      <c r="L8" s="1"/>
      <c r="M8" s="1"/>
      <c r="N8" s="1"/>
      <c r="O8" s="1"/>
      <c r="P8" s="1"/>
    </row>
    <row r="9" spans="1:16" x14ac:dyDescent="0.2">
      <c r="A9" s="6" t="s">
        <v>79</v>
      </c>
      <c r="B9" s="1">
        <v>6853</v>
      </c>
      <c r="C9" s="1">
        <v>10651934.91</v>
      </c>
      <c r="D9" s="1">
        <v>3666203.82</v>
      </c>
      <c r="E9" s="1">
        <v>4051301.18</v>
      </c>
      <c r="F9" s="1">
        <v>17537347.640000001</v>
      </c>
      <c r="G9" s="1">
        <v>4362162.67</v>
      </c>
      <c r="H9" s="6">
        <v>40268950.219999999</v>
      </c>
      <c r="I9" s="6">
        <f t="shared" si="0"/>
        <v>5876.1053874215668</v>
      </c>
      <c r="J9" s="1"/>
      <c r="K9" s="1"/>
      <c r="L9" s="1"/>
      <c r="M9" s="1"/>
      <c r="N9" s="1"/>
      <c r="O9" s="1"/>
      <c r="P9" s="1"/>
    </row>
    <row r="10" spans="1:16" x14ac:dyDescent="0.2">
      <c r="A10" s="7" t="s">
        <v>80</v>
      </c>
      <c r="B10" s="14">
        <v>1707</v>
      </c>
      <c r="C10" s="14">
        <v>2544312.7400000002</v>
      </c>
      <c r="D10" s="14">
        <v>709980.02</v>
      </c>
      <c r="E10" s="14">
        <v>852629.09</v>
      </c>
      <c r="F10" s="14">
        <v>3919657.94</v>
      </c>
      <c r="G10" s="14">
        <v>176500.4</v>
      </c>
      <c r="H10" s="7">
        <v>8203080.1900000004</v>
      </c>
      <c r="I10" s="6">
        <f t="shared" si="0"/>
        <v>4805.5537141183368</v>
      </c>
      <c r="J10" s="1"/>
      <c r="K10" s="1"/>
      <c r="L10" s="1"/>
      <c r="M10" s="1"/>
      <c r="N10" s="1"/>
      <c r="O10" s="1"/>
      <c r="P10" s="1"/>
    </row>
    <row r="11" spans="1:16" ht="13.5" thickBot="1" x14ac:dyDescent="0.25">
      <c r="A11" s="8" t="s">
        <v>103</v>
      </c>
      <c r="B11" s="8">
        <v>103635</v>
      </c>
      <c r="C11" s="8">
        <v>110745223.64</v>
      </c>
      <c r="D11" s="8">
        <v>36917359.579999998</v>
      </c>
      <c r="E11" s="8">
        <v>50714004.190000005</v>
      </c>
      <c r="F11" s="8">
        <v>251871875.24000001</v>
      </c>
      <c r="G11" s="8">
        <v>56573939.530000001</v>
      </c>
      <c r="H11" s="8">
        <v>506822402.18000001</v>
      </c>
      <c r="I11" s="8">
        <f t="shared" si="0"/>
        <v>4890.4559480870366</v>
      </c>
      <c r="J11" s="1"/>
      <c r="K11" s="1"/>
      <c r="L11" s="1"/>
      <c r="M11" s="1"/>
      <c r="N11" s="1"/>
      <c r="O11" s="1"/>
      <c r="P11" s="1"/>
    </row>
    <row r="12" spans="1:16" ht="13.5" thickTop="1" x14ac:dyDescent="0.2">
      <c r="A12" s="6"/>
      <c r="B12" s="6"/>
      <c r="C12" s="6"/>
      <c r="D12" s="6"/>
      <c r="E12" s="6"/>
      <c r="F12" s="6"/>
      <c r="G12" s="6"/>
      <c r="H12" s="6"/>
      <c r="I12" s="6"/>
      <c r="J12" s="1"/>
      <c r="K12" s="1"/>
      <c r="L12" s="1"/>
      <c r="M12" s="1"/>
      <c r="N12" s="1"/>
      <c r="O12" s="1"/>
      <c r="P12" s="1"/>
    </row>
    <row r="13" spans="1:16" x14ac:dyDescent="0.2">
      <c r="A13" s="6" t="s">
        <v>81</v>
      </c>
      <c r="B13" s="1">
        <v>20897</v>
      </c>
      <c r="C13" s="1">
        <v>32688942.300000001</v>
      </c>
      <c r="D13" s="1">
        <v>11770455.869999999</v>
      </c>
      <c r="E13" s="1">
        <v>11540295.09</v>
      </c>
      <c r="F13" s="1">
        <v>58290039.049999997</v>
      </c>
      <c r="G13" s="1">
        <v>6092221.9400000004</v>
      </c>
      <c r="H13" s="6">
        <v>120381954.25</v>
      </c>
      <c r="I13" s="6">
        <f t="shared" si="0"/>
        <v>5760.7290161267165</v>
      </c>
      <c r="J13" s="1"/>
      <c r="K13" s="1"/>
      <c r="L13" s="1"/>
      <c r="M13" s="1"/>
      <c r="N13" s="1"/>
      <c r="O13" s="1"/>
      <c r="P13" s="1"/>
    </row>
    <row r="14" spans="1:16" x14ac:dyDescent="0.2">
      <c r="A14" s="6" t="s">
        <v>82</v>
      </c>
      <c r="B14" s="1">
        <v>10092</v>
      </c>
      <c r="C14" s="1">
        <v>11466548.699999999</v>
      </c>
      <c r="D14" s="1">
        <v>6281704.7999999998</v>
      </c>
      <c r="E14" s="1">
        <v>5851886.2999999998</v>
      </c>
      <c r="F14" s="1">
        <v>30754996.5</v>
      </c>
      <c r="G14" s="1">
        <v>4804460.0199999996</v>
      </c>
      <c r="H14" s="6">
        <v>59159596.319999993</v>
      </c>
      <c r="I14" s="6">
        <f t="shared" si="0"/>
        <v>5862.028965517241</v>
      </c>
      <c r="J14" s="1"/>
      <c r="K14" s="1"/>
      <c r="L14" s="1"/>
      <c r="M14" s="1"/>
      <c r="N14" s="1"/>
      <c r="O14" s="1"/>
      <c r="P14" s="1"/>
    </row>
    <row r="15" spans="1:16" x14ac:dyDescent="0.2">
      <c r="A15" s="6" t="s">
        <v>83</v>
      </c>
      <c r="B15" s="1">
        <v>4243</v>
      </c>
      <c r="C15" s="1">
        <v>5595070.0300000003</v>
      </c>
      <c r="D15" s="1">
        <v>2396101.2799999998</v>
      </c>
      <c r="E15" s="1">
        <v>2618943.58</v>
      </c>
      <c r="F15" s="1">
        <v>13576766.98</v>
      </c>
      <c r="G15" s="1">
        <v>1004879.89</v>
      </c>
      <c r="H15" s="6">
        <v>25191761.760000002</v>
      </c>
      <c r="I15" s="6">
        <f t="shared" si="0"/>
        <v>5937.2523591798263</v>
      </c>
      <c r="J15" s="1"/>
      <c r="K15" s="1"/>
      <c r="L15" s="1"/>
      <c r="M15" s="1"/>
      <c r="N15" s="1"/>
      <c r="O15" s="1"/>
      <c r="P15" s="1"/>
    </row>
    <row r="16" spans="1:16" x14ac:dyDescent="0.2">
      <c r="A16" s="6" t="s">
        <v>84</v>
      </c>
      <c r="B16" s="1">
        <v>5294</v>
      </c>
      <c r="C16" s="1">
        <v>8786971.5500000007</v>
      </c>
      <c r="D16" s="1">
        <v>3749616.76</v>
      </c>
      <c r="E16" s="1">
        <v>4401397.2</v>
      </c>
      <c r="F16" s="1">
        <v>20253174.670000002</v>
      </c>
      <c r="G16" s="1">
        <v>5222318.12</v>
      </c>
      <c r="H16" s="6">
        <v>42413478.300000004</v>
      </c>
      <c r="I16" s="6">
        <f t="shared" si="0"/>
        <v>8011.6128258405752</v>
      </c>
      <c r="J16" s="1"/>
      <c r="K16" s="1"/>
      <c r="L16" s="1"/>
      <c r="M16" s="1"/>
      <c r="N16" s="1"/>
      <c r="O16" s="1"/>
      <c r="P16" s="1"/>
    </row>
    <row r="17" spans="1:16" x14ac:dyDescent="0.2">
      <c r="A17" s="6" t="s">
        <v>85</v>
      </c>
      <c r="B17" s="1">
        <v>1450</v>
      </c>
      <c r="C17" s="1">
        <v>3917915.89</v>
      </c>
      <c r="D17" s="1">
        <v>1398661.85</v>
      </c>
      <c r="E17" s="1">
        <v>1666670.96</v>
      </c>
      <c r="F17" s="1">
        <v>7852662.2199999997</v>
      </c>
      <c r="G17" s="1">
        <v>1630715.39</v>
      </c>
      <c r="H17" s="6">
        <v>16466626.310000001</v>
      </c>
      <c r="I17" s="6">
        <f t="shared" si="0"/>
        <v>11356.294006896553</v>
      </c>
      <c r="J17" s="1"/>
      <c r="K17" s="1"/>
      <c r="L17" s="1"/>
      <c r="M17" s="1"/>
      <c r="N17" s="1"/>
      <c r="O17" s="1"/>
      <c r="P17" s="1"/>
    </row>
    <row r="18" spans="1:16" ht="13.5" thickBot="1" x14ac:dyDescent="0.25">
      <c r="A18" s="8" t="s">
        <v>104</v>
      </c>
      <c r="B18" s="8">
        <v>41976</v>
      </c>
      <c r="C18" s="8">
        <v>62455448.469999999</v>
      </c>
      <c r="D18" s="8">
        <v>25596540.560000002</v>
      </c>
      <c r="E18" s="8">
        <v>26079193.129999999</v>
      </c>
      <c r="F18" s="8">
        <v>130727639.42</v>
      </c>
      <c r="G18" s="8">
        <v>18754595.360000003</v>
      </c>
      <c r="H18" s="8">
        <v>263613416.94</v>
      </c>
      <c r="I18" s="8">
        <f t="shared" si="0"/>
        <v>6280.0985548885074</v>
      </c>
      <c r="J18" s="6"/>
      <c r="K18" s="6"/>
      <c r="L18" s="6"/>
      <c r="M18" s="6"/>
      <c r="N18" s="6"/>
      <c r="O18" s="6"/>
      <c r="P18" s="6"/>
    </row>
    <row r="19" spans="1:16" ht="13.5" thickTop="1" x14ac:dyDescent="0.2">
      <c r="I19" s="6"/>
    </row>
    <row r="20" spans="1:16" x14ac:dyDescent="0.2">
      <c r="A20" s="6" t="s">
        <v>86</v>
      </c>
      <c r="B20" s="1">
        <v>10074</v>
      </c>
      <c r="C20" s="1">
        <v>10808758.880000001</v>
      </c>
      <c r="D20" s="1">
        <v>3228509.02</v>
      </c>
      <c r="E20" s="1">
        <v>5102813.72</v>
      </c>
      <c r="F20" s="1">
        <v>26624850.559999999</v>
      </c>
      <c r="G20" s="1">
        <v>3778768.62</v>
      </c>
      <c r="H20" s="6">
        <v>49543700.799999997</v>
      </c>
      <c r="I20" s="6">
        <f t="shared" si="0"/>
        <v>4917.9770498312482</v>
      </c>
    </row>
    <row r="21" spans="1:16" x14ac:dyDescent="0.2">
      <c r="A21" s="6" t="s">
        <v>87</v>
      </c>
      <c r="B21" s="1">
        <v>6884</v>
      </c>
      <c r="C21" s="1">
        <v>12994215.880000001</v>
      </c>
      <c r="D21" s="1">
        <v>5245137.83</v>
      </c>
      <c r="E21" s="1">
        <v>5065498.18</v>
      </c>
      <c r="F21" s="1">
        <v>21367754.98</v>
      </c>
      <c r="G21" s="1">
        <v>3184023.37</v>
      </c>
      <c r="H21" s="6">
        <v>47856630.240000002</v>
      </c>
      <c r="I21" s="6">
        <f t="shared" si="0"/>
        <v>6951.8637768739109</v>
      </c>
    </row>
    <row r="22" spans="1:16" ht="13.5" thickBot="1" x14ac:dyDescent="0.25">
      <c r="A22" s="8" t="s">
        <v>105</v>
      </c>
      <c r="B22" s="8">
        <v>16958</v>
      </c>
      <c r="C22" s="8">
        <v>23802974.760000002</v>
      </c>
      <c r="D22" s="8">
        <v>8473646.8499999996</v>
      </c>
      <c r="E22" s="8">
        <v>10168311.899999999</v>
      </c>
      <c r="F22" s="8">
        <v>47992605.539999999</v>
      </c>
      <c r="G22" s="8">
        <v>6962791.9900000002</v>
      </c>
      <c r="H22" s="8">
        <v>97400331.039999992</v>
      </c>
      <c r="I22" s="8">
        <f t="shared" si="0"/>
        <v>5743.6213610095529</v>
      </c>
    </row>
    <row r="23" spans="1:16" ht="13.5" thickTop="1" x14ac:dyDescent="0.2">
      <c r="I23" s="6"/>
    </row>
    <row r="24" spans="1:16" ht="13.5" thickBot="1" x14ac:dyDescent="0.25">
      <c r="A24" s="8" t="s">
        <v>114</v>
      </c>
      <c r="B24" s="8">
        <v>162569</v>
      </c>
      <c r="C24" s="8">
        <v>197003646.87</v>
      </c>
      <c r="D24" s="8">
        <v>70987546.989999995</v>
      </c>
      <c r="E24" s="8">
        <v>86961509.219999999</v>
      </c>
      <c r="F24" s="8">
        <v>430592120.20000005</v>
      </c>
      <c r="G24" s="8">
        <v>82291326.879999995</v>
      </c>
      <c r="H24" s="8">
        <v>867836150.15999997</v>
      </c>
      <c r="I24" s="8">
        <f t="shared" si="0"/>
        <v>5338.2634460444488</v>
      </c>
    </row>
    <row r="25" spans="1:16" ht="13.5" thickTop="1" x14ac:dyDescent="0.2">
      <c r="A25" s="6"/>
      <c r="B25" s="6"/>
      <c r="C25" s="6"/>
      <c r="D25" s="6"/>
      <c r="E25" s="6"/>
      <c r="F25" s="6"/>
      <c r="G25" s="6"/>
      <c r="H25" s="6"/>
      <c r="I25" s="6"/>
    </row>
    <row r="26" spans="1:16" x14ac:dyDescent="0.2">
      <c r="A26" s="36" t="s">
        <v>200</v>
      </c>
      <c r="I26" s="6"/>
    </row>
    <row r="27" spans="1:16" x14ac:dyDescent="0.2">
      <c r="A27" s="36" t="s">
        <v>294</v>
      </c>
      <c r="I27" s="6"/>
    </row>
    <row r="28" spans="1:16" x14ac:dyDescent="0.2">
      <c r="I28" s="6"/>
    </row>
    <row r="29" spans="1:16" x14ac:dyDescent="0.2">
      <c r="A29" s="173" t="s">
        <v>88</v>
      </c>
      <c r="B29" s="144" t="s">
        <v>121</v>
      </c>
      <c r="C29" s="144" t="s">
        <v>116</v>
      </c>
      <c r="D29" s="144" t="s">
        <v>117</v>
      </c>
      <c r="E29" s="144" t="s">
        <v>120</v>
      </c>
      <c r="F29" s="144" t="s">
        <v>118</v>
      </c>
      <c r="G29" s="144" t="s">
        <v>119</v>
      </c>
      <c r="H29" s="144" t="s">
        <v>113</v>
      </c>
      <c r="I29" s="6"/>
    </row>
    <row r="30" spans="1:16" x14ac:dyDescent="0.2">
      <c r="A30" s="6" t="s">
        <v>102</v>
      </c>
      <c r="B30" s="1">
        <v>41482</v>
      </c>
      <c r="C30" s="6">
        <v>1130.1707899811968</v>
      </c>
      <c r="D30" s="6">
        <v>306.39001952654161</v>
      </c>
      <c r="E30" s="6">
        <v>476.75979219902604</v>
      </c>
      <c r="F30" s="6">
        <v>2358.7833190299407</v>
      </c>
      <c r="G30" s="6">
        <v>362.78066775951015</v>
      </c>
      <c r="H30" s="6">
        <v>4634.8845884962157</v>
      </c>
      <c r="I30" s="6"/>
    </row>
    <row r="31" spans="1:16" x14ac:dyDescent="0.2">
      <c r="A31" s="6" t="s">
        <v>76</v>
      </c>
      <c r="B31" s="1">
        <v>24927</v>
      </c>
      <c r="C31" s="6">
        <v>856.21279656597255</v>
      </c>
      <c r="D31" s="6">
        <v>328.57943234243993</v>
      </c>
      <c r="E31" s="6">
        <v>467.89580374694106</v>
      </c>
      <c r="F31" s="6">
        <v>2466.9432350463353</v>
      </c>
      <c r="G31" s="6">
        <v>625.25707184980138</v>
      </c>
      <c r="H31" s="6">
        <v>4744.8883395514913</v>
      </c>
      <c r="I31" s="6"/>
    </row>
    <row r="32" spans="1:16" x14ac:dyDescent="0.2">
      <c r="A32" s="6" t="s">
        <v>77</v>
      </c>
      <c r="B32" s="1">
        <v>14333</v>
      </c>
      <c r="C32" s="6">
        <v>1021.2905804786159</v>
      </c>
      <c r="D32" s="6">
        <v>438.15486848531367</v>
      </c>
      <c r="E32" s="6">
        <v>524.0208435079885</v>
      </c>
      <c r="F32" s="6">
        <v>2452.5982153073328</v>
      </c>
      <c r="G32" s="6">
        <v>921.54562059582781</v>
      </c>
      <c r="H32" s="6">
        <v>5357.6101283750786</v>
      </c>
      <c r="I32" s="6"/>
    </row>
    <row r="33" spans="1:9" x14ac:dyDescent="0.2">
      <c r="A33" s="6" t="s">
        <v>78</v>
      </c>
      <c r="B33" s="1">
        <v>14333</v>
      </c>
      <c r="C33" s="6">
        <v>1024.6464110793274</v>
      </c>
      <c r="D33" s="6">
        <v>374.0271897020861</v>
      </c>
      <c r="E33" s="6">
        <v>478.5526247122026</v>
      </c>
      <c r="F33" s="6">
        <v>2506.1910123491243</v>
      </c>
      <c r="G33" s="6">
        <v>571.55601688411355</v>
      </c>
      <c r="H33" s="6">
        <v>4954.9732547268541</v>
      </c>
      <c r="I33" s="6"/>
    </row>
    <row r="34" spans="1:9" x14ac:dyDescent="0.2">
      <c r="A34" s="6" t="s">
        <v>79</v>
      </c>
      <c r="B34" s="1">
        <v>6853</v>
      </c>
      <c r="C34" s="6">
        <v>1554.3462585728878</v>
      </c>
      <c r="D34" s="6">
        <v>534.97793958850139</v>
      </c>
      <c r="E34" s="6">
        <v>591.17192178607911</v>
      </c>
      <c r="F34" s="6">
        <v>2559.075972566759</v>
      </c>
      <c r="G34" s="6">
        <v>636.53329490733984</v>
      </c>
      <c r="H34" s="6">
        <v>5876.1053874215668</v>
      </c>
      <c r="I34" s="6"/>
    </row>
    <row r="35" spans="1:9" x14ac:dyDescent="0.2">
      <c r="A35" s="7" t="s">
        <v>80</v>
      </c>
      <c r="B35" s="14">
        <v>1707</v>
      </c>
      <c r="C35" s="7">
        <v>1490.5171294669012</v>
      </c>
      <c r="D35" s="7">
        <v>415.92268306971295</v>
      </c>
      <c r="E35" s="7">
        <v>499.48980082015231</v>
      </c>
      <c r="F35" s="7">
        <v>2296.2260925600467</v>
      </c>
      <c r="G35" s="7">
        <v>103.39800820152314</v>
      </c>
      <c r="H35" s="7">
        <v>4805.5537141183368</v>
      </c>
      <c r="I35" s="6"/>
    </row>
    <row r="36" spans="1:9" x14ac:dyDescent="0.2">
      <c r="A36" s="6" t="s">
        <v>103</v>
      </c>
      <c r="B36" s="6">
        <v>103635</v>
      </c>
      <c r="C36" s="6">
        <v>1068.6083238288222</v>
      </c>
      <c r="D36" s="6">
        <v>356.22482346697541</v>
      </c>
      <c r="E36" s="6">
        <v>489.35209330824534</v>
      </c>
      <c r="F36" s="6">
        <v>2430.3746344381725</v>
      </c>
      <c r="G36" s="6">
        <v>545.89607304482081</v>
      </c>
      <c r="H36" s="6">
        <v>4890.4559480870366</v>
      </c>
      <c r="I36" s="6"/>
    </row>
    <row r="37" spans="1:9" x14ac:dyDescent="0.2">
      <c r="I37" s="6"/>
    </row>
    <row r="38" spans="1:9" x14ac:dyDescent="0.2">
      <c r="A38" s="6" t="s">
        <v>81</v>
      </c>
      <c r="B38" s="1">
        <v>20897</v>
      </c>
      <c r="C38" s="6">
        <v>1564.2887639374073</v>
      </c>
      <c r="D38" s="6">
        <v>563.26055749629131</v>
      </c>
      <c r="E38" s="6">
        <v>552.24649901899795</v>
      </c>
      <c r="F38" s="6">
        <v>2789.3974757142173</v>
      </c>
      <c r="G38" s="6">
        <v>291.53571995980286</v>
      </c>
      <c r="H38" s="6">
        <v>5760.7290161267165</v>
      </c>
      <c r="I38" s="6"/>
    </row>
    <row r="39" spans="1:9" x14ac:dyDescent="0.2">
      <c r="A39" s="6" t="s">
        <v>82</v>
      </c>
      <c r="B39" s="1">
        <v>10092</v>
      </c>
      <c r="C39" s="6">
        <v>1136.201813317479</v>
      </c>
      <c r="D39" s="6">
        <v>622.4439952437574</v>
      </c>
      <c r="E39" s="6">
        <v>579.85397344431226</v>
      </c>
      <c r="F39" s="6">
        <v>3047.4629904875151</v>
      </c>
      <c r="G39" s="6">
        <v>476.06619302417749</v>
      </c>
      <c r="H39" s="6">
        <v>5862.028965517241</v>
      </c>
      <c r="I39" s="6"/>
    </row>
    <row r="40" spans="1:9" x14ac:dyDescent="0.2">
      <c r="A40" s="6" t="s">
        <v>83</v>
      </c>
      <c r="B40" s="1">
        <v>4243</v>
      </c>
      <c r="C40" s="6">
        <v>1318.6589747819939</v>
      </c>
      <c r="D40" s="6">
        <v>564.71866132453442</v>
      </c>
      <c r="E40" s="6">
        <v>617.23864718359653</v>
      </c>
      <c r="F40" s="6">
        <v>3199.8036719302381</v>
      </c>
      <c r="G40" s="6">
        <v>236.83240395946265</v>
      </c>
      <c r="H40" s="6">
        <v>5937.2523591798263</v>
      </c>
      <c r="I40" s="6"/>
    </row>
    <row r="41" spans="1:9" x14ac:dyDescent="0.2">
      <c r="A41" s="6" t="s">
        <v>84</v>
      </c>
      <c r="B41" s="1">
        <v>5294</v>
      </c>
      <c r="C41" s="6">
        <v>1659.7981771817153</v>
      </c>
      <c r="D41" s="6">
        <v>708.27668303740074</v>
      </c>
      <c r="E41" s="6">
        <v>831.393502077824</v>
      </c>
      <c r="F41" s="6">
        <v>3825.6846751038915</v>
      </c>
      <c r="G41" s="6">
        <v>986.45978843974308</v>
      </c>
      <c r="H41" s="6">
        <v>8011.6128258405752</v>
      </c>
      <c r="I41" s="6"/>
    </row>
    <row r="42" spans="1:9" x14ac:dyDescent="0.2">
      <c r="A42" s="7" t="s">
        <v>85</v>
      </c>
      <c r="B42" s="14">
        <v>1450</v>
      </c>
      <c r="C42" s="7">
        <v>2702.01095862069</v>
      </c>
      <c r="D42" s="7">
        <v>964.59437931034495</v>
      </c>
      <c r="E42" s="7">
        <v>1149.428248275862</v>
      </c>
      <c r="F42" s="7">
        <v>5415.6291172413794</v>
      </c>
      <c r="G42" s="7">
        <v>1124.6313034482757</v>
      </c>
      <c r="H42" s="7">
        <v>11356.294006896553</v>
      </c>
      <c r="I42" s="6"/>
    </row>
    <row r="43" spans="1:9" x14ac:dyDescent="0.2">
      <c r="A43" s="6" t="s">
        <v>104</v>
      </c>
      <c r="B43" s="6">
        <v>41976</v>
      </c>
      <c r="C43" s="6">
        <v>1487.8847072136459</v>
      </c>
      <c r="D43" s="6">
        <v>609.78989327234615</v>
      </c>
      <c r="E43" s="6">
        <v>621.28819158566796</v>
      </c>
      <c r="F43" s="6">
        <v>3114.3424676005338</v>
      </c>
      <c r="G43" s="6">
        <v>446.79329521631416</v>
      </c>
      <c r="H43" s="6">
        <v>6280.0985548885074</v>
      </c>
      <c r="I43" s="6"/>
    </row>
    <row r="44" spans="1:9" x14ac:dyDescent="0.2">
      <c r="I44" s="6"/>
    </row>
    <row r="45" spans="1:9" x14ac:dyDescent="0.2">
      <c r="A45" s="6" t="s">
        <v>86</v>
      </c>
      <c r="B45" s="1">
        <v>10074</v>
      </c>
      <c r="C45" s="6">
        <v>1072.9361604129442</v>
      </c>
      <c r="D45" s="6">
        <v>320.47935477466746</v>
      </c>
      <c r="E45" s="6">
        <v>506.53302759579111</v>
      </c>
      <c r="F45" s="6">
        <v>2642.9273932896563</v>
      </c>
      <c r="G45" s="6">
        <v>375.1011137581894</v>
      </c>
      <c r="H45" s="6">
        <v>4917.9770498312482</v>
      </c>
      <c r="I45" s="6"/>
    </row>
    <row r="46" spans="1:9" x14ac:dyDescent="0.2">
      <c r="A46" s="7" t="s">
        <v>87</v>
      </c>
      <c r="B46" s="14">
        <v>6884</v>
      </c>
      <c r="C46" s="7">
        <v>1887.5967286461362</v>
      </c>
      <c r="D46" s="7">
        <v>761.93170104590354</v>
      </c>
      <c r="E46" s="7">
        <v>735.83645845438696</v>
      </c>
      <c r="F46" s="7">
        <v>3103.97370424172</v>
      </c>
      <c r="G46" s="7">
        <v>462.5251844857641</v>
      </c>
      <c r="H46" s="7">
        <v>6951.8637768739109</v>
      </c>
    </row>
    <row r="47" spans="1:9" x14ac:dyDescent="0.2">
      <c r="A47" s="6" t="s">
        <v>105</v>
      </c>
      <c r="B47" s="6">
        <v>16958</v>
      </c>
      <c r="C47" s="6">
        <v>1403.6428092935489</v>
      </c>
      <c r="D47" s="6">
        <v>499.68432893029836</v>
      </c>
      <c r="E47" s="6">
        <v>599.6174018162518</v>
      </c>
      <c r="F47" s="6">
        <v>2830.0864217478475</v>
      </c>
      <c r="G47" s="6">
        <v>410.59039922160633</v>
      </c>
      <c r="H47" s="6">
        <v>5743.6213610095529</v>
      </c>
    </row>
    <row r="49" spans="1:8" ht="13.5" thickBot="1" x14ac:dyDescent="0.25">
      <c r="A49" s="8" t="s">
        <v>114</v>
      </c>
      <c r="B49" s="8">
        <v>162569</v>
      </c>
      <c r="C49" s="8">
        <v>1211.8155790464357</v>
      </c>
      <c r="D49" s="8">
        <v>436.66103002417429</v>
      </c>
      <c r="E49" s="8">
        <v>534.9206135241036</v>
      </c>
      <c r="F49" s="8">
        <v>2648.6729954665407</v>
      </c>
      <c r="G49" s="8">
        <v>506.19322798319479</v>
      </c>
      <c r="H49" s="8">
        <v>5338.2634460444488</v>
      </c>
    </row>
    <row r="50" spans="1:8" ht="13.5" thickTop="1" x14ac:dyDescent="0.2">
      <c r="A50" s="6"/>
      <c r="B50" s="6"/>
      <c r="C50" s="6"/>
      <c r="D50" s="6"/>
      <c r="E50" s="6"/>
      <c r="F50" s="6"/>
      <c r="G50" s="6"/>
      <c r="H50" s="6"/>
    </row>
    <row r="52" spans="1:8" x14ac:dyDescent="0.2">
      <c r="A52" s="36" t="s">
        <v>200</v>
      </c>
    </row>
    <row r="53" spans="1:8" x14ac:dyDescent="0.2">
      <c r="A53" s="36" t="s">
        <v>294</v>
      </c>
    </row>
    <row r="55" spans="1:8" x14ac:dyDescent="0.2">
      <c r="A55" s="173" t="s">
        <v>88</v>
      </c>
      <c r="B55" s="144"/>
      <c r="C55" s="144" t="s">
        <v>116</v>
      </c>
      <c r="D55" s="144" t="s">
        <v>117</v>
      </c>
      <c r="E55" s="144" t="s">
        <v>120</v>
      </c>
      <c r="F55" s="144" t="s">
        <v>118</v>
      </c>
      <c r="G55" s="144" t="s">
        <v>119</v>
      </c>
      <c r="H55" s="5"/>
    </row>
    <row r="56" spans="1:8" x14ac:dyDescent="0.2">
      <c r="A56" s="6" t="s">
        <v>102</v>
      </c>
      <c r="B56" s="6"/>
      <c r="C56" s="9">
        <v>0.24384011476494602</v>
      </c>
      <c r="D56" s="9">
        <v>6.6105210103181794E-2</v>
      </c>
      <c r="E56" s="9">
        <v>0.10286335788863954</v>
      </c>
      <c r="F56" s="9">
        <v>0.50891953704401638</v>
      </c>
      <c r="G56" s="9">
        <v>7.8271780199216143E-2</v>
      </c>
      <c r="H56" s="9"/>
    </row>
    <row r="57" spans="1:8" x14ac:dyDescent="0.2">
      <c r="A57" s="6" t="s">
        <v>76</v>
      </c>
      <c r="B57" s="6"/>
      <c r="C57" s="9">
        <v>0.18044951436031173</v>
      </c>
      <c r="D57" s="9">
        <v>6.9249139037379073E-2</v>
      </c>
      <c r="E57" s="9">
        <v>9.8610498343395941E-2</v>
      </c>
      <c r="F57" s="9">
        <v>0.51991597241243448</v>
      </c>
      <c r="G57" s="9">
        <v>0.13177487584647851</v>
      </c>
      <c r="H57" s="9"/>
    </row>
    <row r="58" spans="1:8" x14ac:dyDescent="0.2">
      <c r="A58" s="6" t="s">
        <v>77</v>
      </c>
      <c r="B58" s="6"/>
      <c r="C58" s="9">
        <v>0.19062428135067852</v>
      </c>
      <c r="D58" s="9">
        <v>8.1781775453340547E-2</v>
      </c>
      <c r="E58" s="9">
        <v>9.7808692859650076E-2</v>
      </c>
      <c r="F58" s="9">
        <v>0.45777840427727928</v>
      </c>
      <c r="G58" s="9">
        <v>0.17200684605905159</v>
      </c>
      <c r="H58" s="9"/>
    </row>
    <row r="59" spans="1:8" x14ac:dyDescent="0.2">
      <c r="A59" s="6" t="s">
        <v>78</v>
      </c>
      <c r="B59" s="6"/>
      <c r="C59" s="9">
        <v>0.20679151196262344</v>
      </c>
      <c r="D59" s="9">
        <v>7.548520859225194E-2</v>
      </c>
      <c r="E59" s="9">
        <v>9.6580263930926724E-2</v>
      </c>
      <c r="F59" s="9">
        <v>0.50579304539299264</v>
      </c>
      <c r="G59" s="9">
        <v>0.11534997012120521</v>
      </c>
      <c r="H59" s="9"/>
    </row>
    <row r="60" spans="1:8" x14ac:dyDescent="0.2">
      <c r="A60" s="6" t="s">
        <v>79</v>
      </c>
      <c r="B60" s="6"/>
      <c r="C60" s="9">
        <v>0.26451980624788191</v>
      </c>
      <c r="D60" s="9">
        <v>9.1042944997834621E-2</v>
      </c>
      <c r="E60" s="9">
        <v>0.10060607882417255</v>
      </c>
      <c r="F60" s="9">
        <v>0.435505458776273</v>
      </c>
      <c r="G60" s="9">
        <v>0.10832571115383798</v>
      </c>
      <c r="H60" s="9"/>
    </row>
    <row r="61" spans="1:8" x14ac:dyDescent="0.2">
      <c r="A61" s="7" t="s">
        <v>80</v>
      </c>
      <c r="B61" s="7"/>
      <c r="C61" s="10">
        <v>0.31016553307642358</v>
      </c>
      <c r="D61" s="10">
        <v>8.655041808143045E-2</v>
      </c>
      <c r="E61" s="10">
        <v>0.10394011398784093</v>
      </c>
      <c r="F61" s="10">
        <v>0.47782757808198378</v>
      </c>
      <c r="G61" s="10">
        <v>2.1516356772321152E-2</v>
      </c>
      <c r="H61" s="9"/>
    </row>
    <row r="62" spans="1:8" x14ac:dyDescent="0.2">
      <c r="A62" s="6" t="s">
        <v>103</v>
      </c>
      <c r="B62" s="6"/>
      <c r="C62" s="9">
        <v>0.21850893560278808</v>
      </c>
      <c r="D62" s="9">
        <v>7.2840820416001748E-2</v>
      </c>
      <c r="E62" s="9">
        <v>0.10006267278609504</v>
      </c>
      <c r="F62" s="9">
        <v>0.49696279043037778</v>
      </c>
      <c r="G62" s="9">
        <v>0.11162478076473727</v>
      </c>
      <c r="H62" s="9"/>
    </row>
    <row r="63" spans="1:8" x14ac:dyDescent="0.2">
      <c r="A63" s="6"/>
      <c r="B63" s="6"/>
      <c r="C63" s="9"/>
      <c r="D63" s="9"/>
      <c r="E63" s="9"/>
      <c r="F63" s="9"/>
      <c r="G63" s="9"/>
      <c r="H63" s="9"/>
    </row>
    <row r="64" spans="1:8" x14ac:dyDescent="0.2">
      <c r="A64" s="6" t="s">
        <v>81</v>
      </c>
      <c r="B64" s="6"/>
      <c r="C64" s="9">
        <v>0.27154354241595147</v>
      </c>
      <c r="D64" s="9">
        <v>9.7775916193850954E-2</v>
      </c>
      <c r="E64" s="9">
        <v>9.586399524661314E-2</v>
      </c>
      <c r="F64" s="9">
        <v>0.48420911101798303</v>
      </c>
      <c r="G64" s="9">
        <v>5.060743512560148E-2</v>
      </c>
      <c r="H64" s="9"/>
    </row>
    <row r="65" spans="1:8" x14ac:dyDescent="0.2">
      <c r="A65" s="6" t="s">
        <v>82</v>
      </c>
      <c r="B65" s="6"/>
      <c r="C65" s="9">
        <v>0.19382398483546648</v>
      </c>
      <c r="D65" s="9">
        <v>0.10618234725642225</v>
      </c>
      <c r="E65" s="9">
        <v>9.891694102080377E-2</v>
      </c>
      <c r="F65" s="9">
        <v>0.51986488098470518</v>
      </c>
      <c r="G65" s="9">
        <v>8.1211845902602331E-2</v>
      </c>
      <c r="H65" s="9"/>
    </row>
    <row r="66" spans="1:8" x14ac:dyDescent="0.2">
      <c r="A66" s="6" t="s">
        <v>83</v>
      </c>
      <c r="B66" s="6"/>
      <c r="C66" s="9">
        <v>0.22209919589204624</v>
      </c>
      <c r="D66" s="9">
        <v>9.5114478408754186E-2</v>
      </c>
      <c r="E66" s="9">
        <v>0.10396031865299761</v>
      </c>
      <c r="F66" s="9">
        <v>0.53893678057711192</v>
      </c>
      <c r="G66" s="9">
        <v>3.9889226469089947E-2</v>
      </c>
      <c r="H66" s="9"/>
    </row>
    <row r="67" spans="1:8" x14ac:dyDescent="0.2">
      <c r="A67" s="6" t="s">
        <v>84</v>
      </c>
      <c r="B67" s="6"/>
      <c r="C67" s="9">
        <v>0.2071740376454812</v>
      </c>
      <c r="D67" s="9">
        <v>8.8406254574975501E-2</v>
      </c>
      <c r="E67" s="9">
        <v>0.10377354973972978</v>
      </c>
      <c r="F67" s="9">
        <v>0.477517418560788</v>
      </c>
      <c r="G67" s="9">
        <v>0.12312873947902545</v>
      </c>
      <c r="H67" s="9"/>
    </row>
    <row r="68" spans="1:8" x14ac:dyDescent="0.2">
      <c r="A68" s="7" t="s">
        <v>85</v>
      </c>
      <c r="B68" s="7"/>
      <c r="C68" s="10">
        <v>0.23793069790019422</v>
      </c>
      <c r="D68" s="10">
        <v>8.493918691472388E-2</v>
      </c>
      <c r="E68" s="10">
        <v>0.10121508368644092</v>
      </c>
      <c r="F68" s="10">
        <v>0.47688348980332207</v>
      </c>
      <c r="G68" s="10">
        <v>9.9031541695318873E-2</v>
      </c>
      <c r="H68" s="9"/>
    </row>
    <row r="69" spans="1:8" x14ac:dyDescent="0.2">
      <c r="A69" s="6" t="s">
        <v>104</v>
      </c>
      <c r="B69" s="6"/>
      <c r="C69" s="9">
        <v>0.2369205983328809</v>
      </c>
      <c r="D69" s="9">
        <v>9.7098777661327948E-2</v>
      </c>
      <c r="E69" s="9">
        <v>9.8929688149885717E-2</v>
      </c>
      <c r="F69" s="9">
        <v>0.49590662318130191</v>
      </c>
      <c r="G69" s="9">
        <v>7.1144312674603596E-2</v>
      </c>
      <c r="H69" s="9"/>
    </row>
    <row r="70" spans="1:8" x14ac:dyDescent="0.2">
      <c r="A70" s="6"/>
      <c r="B70" s="6"/>
      <c r="C70" s="9"/>
      <c r="D70" s="9"/>
      <c r="E70" s="9"/>
      <c r="F70" s="9"/>
      <c r="G70" s="9"/>
      <c r="H70" s="9"/>
    </row>
    <row r="71" spans="1:8" x14ac:dyDescent="0.2">
      <c r="A71" s="6" t="s">
        <v>86</v>
      </c>
      <c r="B71" s="6"/>
      <c r="C71" s="9">
        <v>0.21816615847155288</v>
      </c>
      <c r="D71" s="9">
        <v>6.5164873997462874E-2</v>
      </c>
      <c r="E71" s="9">
        <v>0.10299621622129609</v>
      </c>
      <c r="F71" s="9">
        <v>0.5374013271128103</v>
      </c>
      <c r="G71" s="9">
        <v>7.6271424196877935E-2</v>
      </c>
      <c r="H71" s="9"/>
    </row>
    <row r="72" spans="1:8" x14ac:dyDescent="0.2">
      <c r="A72" s="7" t="s">
        <v>87</v>
      </c>
      <c r="B72" s="7"/>
      <c r="C72" s="10">
        <v>0.27152383723706164</v>
      </c>
      <c r="D72" s="10">
        <v>0.10960106893644085</v>
      </c>
      <c r="E72" s="10">
        <v>0.10584736440064066</v>
      </c>
      <c r="F72" s="10">
        <v>0.4464951851570233</v>
      </c>
      <c r="G72" s="10">
        <v>6.6532544268833579E-2</v>
      </c>
      <c r="H72" s="9"/>
    </row>
    <row r="73" spans="1:8" x14ac:dyDescent="0.2">
      <c r="A73" s="6" t="s">
        <v>105</v>
      </c>
      <c r="B73" s="6"/>
      <c r="C73" s="9">
        <v>0.24438289383456702</v>
      </c>
      <c r="D73" s="9">
        <v>8.6998131931605799E-2</v>
      </c>
      <c r="E73" s="9">
        <v>0.10439709795056153</v>
      </c>
      <c r="F73" s="9">
        <v>0.49273554850948686</v>
      </c>
      <c r="G73" s="9">
        <v>7.1486327773778793E-2</v>
      </c>
      <c r="H73" s="9"/>
    </row>
    <row r="74" spans="1:8" x14ac:dyDescent="0.2">
      <c r="A74" s="6"/>
      <c r="B74" s="6"/>
      <c r="C74" s="9"/>
      <c r="D74" s="9"/>
      <c r="E74" s="9"/>
      <c r="F74" s="9"/>
      <c r="G74" s="9"/>
      <c r="H74" s="9"/>
    </row>
    <row r="75" spans="1:8" ht="13.5" thickBot="1" x14ac:dyDescent="0.25">
      <c r="A75" s="8" t="s">
        <v>114</v>
      </c>
      <c r="B75" s="8"/>
      <c r="C75" s="11">
        <v>0.22700557799266499</v>
      </c>
      <c r="D75" s="11">
        <v>8.1798329070426778E-2</v>
      </c>
      <c r="E75" s="11">
        <v>0.10020498593423102</v>
      </c>
      <c r="F75" s="11">
        <v>0.49616753130255437</v>
      </c>
      <c r="G75" s="11">
        <v>9.4823575700122911E-2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I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s>
  <sheetData>
    <row r="1" spans="1:9" x14ac:dyDescent="0.2">
      <c r="A1" s="36" t="s">
        <v>200</v>
      </c>
    </row>
    <row r="2" spans="1:9" x14ac:dyDescent="0.2">
      <c r="A2" s="36" t="s">
        <v>233</v>
      </c>
    </row>
    <row r="4" spans="1:9" ht="22.5" x14ac:dyDescent="0.2">
      <c r="A4" s="173" t="s">
        <v>88</v>
      </c>
      <c r="B4" s="144" t="s">
        <v>101</v>
      </c>
      <c r="C4" s="144" t="s">
        <v>116</v>
      </c>
      <c r="D4" s="144" t="s">
        <v>117</v>
      </c>
      <c r="E4" s="144" t="s">
        <v>120</v>
      </c>
      <c r="F4" s="144" t="s">
        <v>118</v>
      </c>
      <c r="G4" s="144" t="s">
        <v>119</v>
      </c>
      <c r="H4" s="144" t="s">
        <v>113</v>
      </c>
      <c r="I4" s="141" t="s">
        <v>443</v>
      </c>
    </row>
    <row r="5" spans="1:9" x14ac:dyDescent="0.2">
      <c r="A5" s="6" t="s">
        <v>102</v>
      </c>
      <c r="B5" s="6">
        <v>40537</v>
      </c>
      <c r="C5" s="6">
        <v>41283243.490000002</v>
      </c>
      <c r="D5" s="6">
        <v>11082979.74</v>
      </c>
      <c r="E5" s="6">
        <v>18659174.359999999</v>
      </c>
      <c r="F5" s="6">
        <v>100723963.48</v>
      </c>
      <c r="G5" s="6">
        <v>13482311.58</v>
      </c>
      <c r="H5" s="6">
        <v>185231672.65000001</v>
      </c>
      <c r="I5" s="6">
        <f>H5/B5</f>
        <v>4569.4469904038287</v>
      </c>
    </row>
    <row r="6" spans="1:9" x14ac:dyDescent="0.2">
      <c r="A6" s="6" t="s">
        <v>76</v>
      </c>
      <c r="B6" s="6">
        <v>24977</v>
      </c>
      <c r="C6" s="6">
        <v>20713824.91</v>
      </c>
      <c r="D6" s="6">
        <v>8117346.8700000001</v>
      </c>
      <c r="E6" s="6">
        <v>11917242.310000001</v>
      </c>
      <c r="F6" s="6">
        <v>63242269.659999996</v>
      </c>
      <c r="G6" s="6">
        <v>16391252.720000001</v>
      </c>
      <c r="H6" s="6">
        <v>120381936.47</v>
      </c>
      <c r="I6" s="6">
        <f t="shared" ref="I6:I24" si="0">H6/B6</f>
        <v>4819.7115934659887</v>
      </c>
    </row>
    <row r="7" spans="1:9" x14ac:dyDescent="0.2">
      <c r="A7" s="6" t="s">
        <v>77</v>
      </c>
      <c r="B7" s="6">
        <v>14910</v>
      </c>
      <c r="C7" s="6">
        <v>13339077.6</v>
      </c>
      <c r="D7" s="6">
        <v>4925274.9000000004</v>
      </c>
      <c r="E7" s="6">
        <v>7638350.1399999997</v>
      </c>
      <c r="F7" s="6">
        <v>37613508.25</v>
      </c>
      <c r="G7" s="6">
        <v>11583869.199999999</v>
      </c>
      <c r="H7" s="6">
        <v>75100080.090000004</v>
      </c>
      <c r="I7" s="6">
        <f t="shared" si="0"/>
        <v>5036.8933661971832</v>
      </c>
    </row>
    <row r="8" spans="1:9" x14ac:dyDescent="0.2">
      <c r="A8" s="6" t="s">
        <v>78</v>
      </c>
      <c r="B8" s="6">
        <v>14190</v>
      </c>
      <c r="C8" s="6">
        <v>14341261.09</v>
      </c>
      <c r="D8" s="6">
        <v>5247701.53</v>
      </c>
      <c r="E8" s="6">
        <v>6920950.8799999999</v>
      </c>
      <c r="F8" s="6">
        <v>35652595.299999997</v>
      </c>
      <c r="G8" s="6">
        <v>8422406.25</v>
      </c>
      <c r="H8" s="6">
        <v>70584915.049999997</v>
      </c>
      <c r="I8" s="6">
        <f t="shared" si="0"/>
        <v>4974.2716737138826</v>
      </c>
    </row>
    <row r="9" spans="1:9" x14ac:dyDescent="0.2">
      <c r="A9" s="6" t="s">
        <v>79</v>
      </c>
      <c r="B9" s="6">
        <v>6867</v>
      </c>
      <c r="C9" s="6">
        <v>10328881.16</v>
      </c>
      <c r="D9" s="6">
        <v>4256051.2000000002</v>
      </c>
      <c r="E9" s="6">
        <v>4121904.99</v>
      </c>
      <c r="F9" s="6">
        <v>16754433.23</v>
      </c>
      <c r="G9" s="6">
        <v>4029629.96</v>
      </c>
      <c r="H9" s="6">
        <v>39490900.539999999</v>
      </c>
      <c r="I9" s="6">
        <f t="shared" si="0"/>
        <v>5750.8228542303768</v>
      </c>
    </row>
    <row r="10" spans="1:9" x14ac:dyDescent="0.2">
      <c r="A10" s="7" t="s">
        <v>80</v>
      </c>
      <c r="B10" s="7">
        <v>1788</v>
      </c>
      <c r="C10" s="7">
        <v>2225744.9</v>
      </c>
      <c r="D10" s="7">
        <v>791590.96</v>
      </c>
      <c r="E10" s="7">
        <v>896401.89</v>
      </c>
      <c r="F10" s="7">
        <v>4088924.2</v>
      </c>
      <c r="G10" s="7">
        <v>222903.34</v>
      </c>
      <c r="H10" s="7">
        <v>8225565.29</v>
      </c>
      <c r="I10" s="6">
        <f t="shared" si="0"/>
        <v>4600.4280145413868</v>
      </c>
    </row>
    <row r="11" spans="1:9" ht="13.5" thickBot="1" x14ac:dyDescent="0.25">
      <c r="A11" s="8" t="s">
        <v>103</v>
      </c>
      <c r="B11" s="8">
        <v>103269</v>
      </c>
      <c r="C11" s="8">
        <v>102232033.15000001</v>
      </c>
      <c r="D11" s="8">
        <v>34420945.200000003</v>
      </c>
      <c r="E11" s="8">
        <v>50154024.570000008</v>
      </c>
      <c r="F11" s="8">
        <v>258075694.11999997</v>
      </c>
      <c r="G11" s="8">
        <v>54132373.050000004</v>
      </c>
      <c r="H11" s="8">
        <v>499015070.09000009</v>
      </c>
      <c r="I11" s="8">
        <f t="shared" si="0"/>
        <v>4832.1865234484703</v>
      </c>
    </row>
    <row r="12" spans="1:9" ht="13.5" thickTop="1" x14ac:dyDescent="0.2">
      <c r="I12" s="6"/>
    </row>
    <row r="13" spans="1:9" x14ac:dyDescent="0.2">
      <c r="A13" s="6" t="s">
        <v>81</v>
      </c>
      <c r="B13" s="6">
        <v>19757</v>
      </c>
      <c r="C13" s="6">
        <v>31838929.359999999</v>
      </c>
      <c r="D13" s="6">
        <v>10346071.529999999</v>
      </c>
      <c r="E13" s="6">
        <v>10976941.32</v>
      </c>
      <c r="F13" s="6">
        <v>57676322.829999998</v>
      </c>
      <c r="G13" s="6">
        <v>6147851.6600000001</v>
      </c>
      <c r="H13" s="6">
        <v>116986116.69999999</v>
      </c>
      <c r="I13" s="6">
        <f t="shared" si="0"/>
        <v>5921.2490104772987</v>
      </c>
    </row>
    <row r="14" spans="1:9" x14ac:dyDescent="0.2">
      <c r="A14" s="6" t="s">
        <v>82</v>
      </c>
      <c r="B14" s="6">
        <v>9163</v>
      </c>
      <c r="C14" s="6">
        <v>9424493.6600000001</v>
      </c>
      <c r="D14" s="6">
        <v>5485660.1200000001</v>
      </c>
      <c r="E14" s="6">
        <v>5294193.78</v>
      </c>
      <c r="F14" s="6">
        <v>28150766.530000001</v>
      </c>
      <c r="G14" s="6">
        <v>4735708.8899999997</v>
      </c>
      <c r="H14" s="6">
        <v>53090822.980000004</v>
      </c>
      <c r="I14" s="6">
        <f t="shared" si="0"/>
        <v>5794.0437607770382</v>
      </c>
    </row>
    <row r="15" spans="1:9" x14ac:dyDescent="0.2">
      <c r="A15" s="6" t="s">
        <v>83</v>
      </c>
      <c r="B15" s="6">
        <v>4345</v>
      </c>
      <c r="C15" s="6">
        <v>5007979.97</v>
      </c>
      <c r="D15" s="6">
        <v>2713553.32</v>
      </c>
      <c r="E15" s="6">
        <v>2538543.5</v>
      </c>
      <c r="F15" s="6">
        <v>13836565.800000001</v>
      </c>
      <c r="G15" s="6">
        <v>1591925.53</v>
      </c>
      <c r="H15" s="6">
        <v>25688568.120000001</v>
      </c>
      <c r="I15" s="6">
        <f t="shared" si="0"/>
        <v>5912.2136064441893</v>
      </c>
    </row>
    <row r="16" spans="1:9" x14ac:dyDescent="0.2">
      <c r="A16" s="6" t="s">
        <v>84</v>
      </c>
      <c r="B16" s="6">
        <v>5247</v>
      </c>
      <c r="C16" s="6">
        <v>8671882.3300000001</v>
      </c>
      <c r="D16" s="6">
        <v>3586372.77</v>
      </c>
      <c r="E16" s="6">
        <v>3999379.02</v>
      </c>
      <c r="F16" s="6">
        <v>20260209.440000001</v>
      </c>
      <c r="G16" s="6">
        <v>4159398.66</v>
      </c>
      <c r="H16" s="6">
        <v>40677242.219999999</v>
      </c>
      <c r="I16" s="6">
        <f t="shared" si="0"/>
        <v>7752.476123499142</v>
      </c>
    </row>
    <row r="17" spans="1:9" x14ac:dyDescent="0.2">
      <c r="A17" s="6" t="s">
        <v>85</v>
      </c>
      <c r="B17" s="6">
        <v>1333</v>
      </c>
      <c r="C17" s="6">
        <v>3668133.61</v>
      </c>
      <c r="D17" s="6">
        <v>1349591.97</v>
      </c>
      <c r="E17" s="6">
        <v>1503289.1</v>
      </c>
      <c r="F17" s="6">
        <v>7453064.6500000004</v>
      </c>
      <c r="G17" s="6">
        <v>1640155</v>
      </c>
      <c r="H17" s="6">
        <v>15614234.33</v>
      </c>
      <c r="I17" s="6">
        <f t="shared" si="0"/>
        <v>11713.604148537135</v>
      </c>
    </row>
    <row r="18" spans="1:9" ht="13.5" thickBot="1" x14ac:dyDescent="0.25">
      <c r="A18" s="8" t="s">
        <v>104</v>
      </c>
      <c r="B18" s="8">
        <v>39845</v>
      </c>
      <c r="C18" s="8">
        <v>58611418.929999992</v>
      </c>
      <c r="D18" s="8">
        <v>23481249.709999997</v>
      </c>
      <c r="E18" s="8">
        <v>24312346.720000003</v>
      </c>
      <c r="F18" s="8">
        <v>127376929.25</v>
      </c>
      <c r="G18" s="8">
        <v>18275039.740000002</v>
      </c>
      <c r="H18" s="8">
        <v>252056984.35000002</v>
      </c>
      <c r="I18" s="8">
        <f t="shared" si="0"/>
        <v>6325.9376170159376</v>
      </c>
    </row>
    <row r="19" spans="1:9" ht="13.5" thickTop="1" x14ac:dyDescent="0.2"/>
    <row r="20" spans="1:9" x14ac:dyDescent="0.2">
      <c r="A20" s="6" t="s">
        <v>86</v>
      </c>
      <c r="B20" s="6">
        <v>8237</v>
      </c>
      <c r="C20" s="6">
        <v>8210147.4500000002</v>
      </c>
      <c r="D20" s="6">
        <v>2373943.85</v>
      </c>
      <c r="E20" s="6">
        <v>4071427.01</v>
      </c>
      <c r="F20" s="6">
        <v>22638622.010000002</v>
      </c>
      <c r="G20" s="6">
        <v>3303701.97</v>
      </c>
      <c r="H20" s="6">
        <v>40597842.289999999</v>
      </c>
      <c r="I20" s="6">
        <f t="shared" si="0"/>
        <v>4928.7170438266357</v>
      </c>
    </row>
    <row r="21" spans="1:9" x14ac:dyDescent="0.2">
      <c r="A21" s="6" t="s">
        <v>87</v>
      </c>
      <c r="B21" s="6">
        <v>5599</v>
      </c>
      <c r="C21" s="6">
        <v>10675067.460000001</v>
      </c>
      <c r="D21" s="6">
        <v>5113043.5199999996</v>
      </c>
      <c r="E21" s="6">
        <v>4439624.6900000004</v>
      </c>
      <c r="F21" s="6">
        <v>18943753.239999998</v>
      </c>
      <c r="G21" s="6">
        <v>2882872.17</v>
      </c>
      <c r="H21" s="6">
        <v>42054361.079999998</v>
      </c>
      <c r="I21" s="6">
        <f t="shared" si="0"/>
        <v>7511.0485943918557</v>
      </c>
    </row>
    <row r="22" spans="1:9" ht="13.5" thickBot="1" x14ac:dyDescent="0.25">
      <c r="A22" s="8" t="s">
        <v>105</v>
      </c>
      <c r="B22" s="8">
        <v>13836</v>
      </c>
      <c r="C22" s="8">
        <v>18885214.91</v>
      </c>
      <c r="D22" s="8">
        <v>7486987.3699999992</v>
      </c>
      <c r="E22" s="8">
        <v>8511051.6999999993</v>
      </c>
      <c r="F22" s="8">
        <v>41582375.25</v>
      </c>
      <c r="G22" s="8">
        <v>6186574.1400000006</v>
      </c>
      <c r="H22" s="8">
        <v>82652203.370000005</v>
      </c>
      <c r="I22" s="8">
        <f t="shared" si="0"/>
        <v>5973.7065170569531</v>
      </c>
    </row>
    <row r="23" spans="1:9" ht="13.5" thickTop="1" x14ac:dyDescent="0.2">
      <c r="I23" s="6"/>
    </row>
    <row r="24" spans="1:9" ht="13.5" thickBot="1" x14ac:dyDescent="0.25">
      <c r="A24" s="8" t="s">
        <v>114</v>
      </c>
      <c r="B24" s="8">
        <v>156950</v>
      </c>
      <c r="C24" s="8">
        <v>179728666.98999998</v>
      </c>
      <c r="D24" s="8">
        <v>65389182.279999994</v>
      </c>
      <c r="E24" s="8">
        <v>82977422.99000001</v>
      </c>
      <c r="F24" s="8">
        <v>427034998.62</v>
      </c>
      <c r="G24" s="8">
        <v>78593986.930000007</v>
      </c>
      <c r="H24" s="8">
        <v>833724257.81000006</v>
      </c>
      <c r="I24" s="8">
        <f t="shared" si="0"/>
        <v>5312.0373227779555</v>
      </c>
    </row>
    <row r="25" spans="1:9" ht="13.5" thickTop="1" x14ac:dyDescent="0.2">
      <c r="A25" s="6"/>
      <c r="B25" s="6"/>
      <c r="C25" s="6"/>
      <c r="D25" s="6"/>
      <c r="E25" s="6"/>
      <c r="F25" s="6"/>
      <c r="G25" s="6"/>
      <c r="H25" s="6"/>
      <c r="I25" s="6"/>
    </row>
    <row r="26" spans="1:9" x14ac:dyDescent="0.2">
      <c r="A26" s="36" t="s">
        <v>200</v>
      </c>
      <c r="I26" s="6"/>
    </row>
    <row r="27" spans="1:9" x14ac:dyDescent="0.2">
      <c r="A27" s="36" t="s">
        <v>233</v>
      </c>
      <c r="I27" s="6"/>
    </row>
    <row r="28" spans="1:9" x14ac:dyDescent="0.2">
      <c r="I28" s="6"/>
    </row>
    <row r="29" spans="1:9" x14ac:dyDescent="0.2">
      <c r="A29" s="173" t="s">
        <v>88</v>
      </c>
      <c r="B29" s="144" t="s">
        <v>101</v>
      </c>
      <c r="C29" s="144" t="s">
        <v>116</v>
      </c>
      <c r="D29" s="144" t="s">
        <v>117</v>
      </c>
      <c r="E29" s="144" t="s">
        <v>120</v>
      </c>
      <c r="F29" s="144" t="s">
        <v>118</v>
      </c>
      <c r="G29" s="144" t="s">
        <v>119</v>
      </c>
      <c r="H29" s="144" t="s">
        <v>113</v>
      </c>
      <c r="I29" s="6"/>
    </row>
    <row r="30" spans="1:9" x14ac:dyDescent="0.2">
      <c r="A30" s="6" t="s">
        <v>102</v>
      </c>
      <c r="B30" s="6">
        <v>40537</v>
      </c>
      <c r="C30" s="6">
        <v>1018.4089471347165</v>
      </c>
      <c r="D30" s="6">
        <v>273.40404420652737</v>
      </c>
      <c r="E30" s="6">
        <v>460.29983373214594</v>
      </c>
      <c r="F30" s="6">
        <v>2484.7414332585045</v>
      </c>
      <c r="G30" s="6">
        <v>332.59273207193428</v>
      </c>
      <c r="H30" s="6">
        <v>4569.4469904038287</v>
      </c>
      <c r="I30" s="6"/>
    </row>
    <row r="31" spans="1:9" x14ac:dyDescent="0.2">
      <c r="A31" s="6" t="s">
        <v>76</v>
      </c>
      <c r="B31" s="6">
        <v>24977</v>
      </c>
      <c r="C31" s="6">
        <v>829.31596708972256</v>
      </c>
      <c r="D31" s="6">
        <v>324.99286823877969</v>
      </c>
      <c r="E31" s="6">
        <v>477.12865075869803</v>
      </c>
      <c r="F31" s="6">
        <v>2532.0202450254233</v>
      </c>
      <c r="G31" s="6">
        <v>656.25386235336509</v>
      </c>
      <c r="H31" s="6">
        <v>4819.7115934659887</v>
      </c>
      <c r="I31" s="6"/>
    </row>
    <row r="32" spans="1:9" x14ac:dyDescent="0.2">
      <c r="A32" s="6" t="s">
        <v>77</v>
      </c>
      <c r="B32" s="6">
        <v>14910</v>
      </c>
      <c r="C32" s="6">
        <v>894.63967806841049</v>
      </c>
      <c r="D32" s="6">
        <v>330.33366197183102</v>
      </c>
      <c r="E32" s="6">
        <v>512.29712541918173</v>
      </c>
      <c r="F32" s="6">
        <v>2522.7034372904091</v>
      </c>
      <c r="G32" s="6">
        <v>776.91946344735072</v>
      </c>
      <c r="H32" s="6">
        <v>5036.8933661971832</v>
      </c>
      <c r="I32" s="6"/>
    </row>
    <row r="33" spans="1:9" x14ac:dyDescent="0.2">
      <c r="A33" s="6" t="s">
        <v>78</v>
      </c>
      <c r="B33" s="6">
        <v>14190</v>
      </c>
      <c r="C33" s="6">
        <v>1010.6596962649753</v>
      </c>
      <c r="D33" s="6">
        <v>369.81688019732206</v>
      </c>
      <c r="E33" s="6">
        <v>487.73438195912615</v>
      </c>
      <c r="F33" s="6">
        <v>2512.5155250176176</v>
      </c>
      <c r="G33" s="6">
        <v>593.54519027484139</v>
      </c>
      <c r="H33" s="6">
        <v>4974.2716737138826</v>
      </c>
      <c r="I33" s="6"/>
    </row>
    <row r="34" spans="1:9" x14ac:dyDescent="0.2">
      <c r="A34" s="6" t="s">
        <v>79</v>
      </c>
      <c r="B34" s="6">
        <v>6867</v>
      </c>
      <c r="C34" s="6">
        <v>1504.1329780107762</v>
      </c>
      <c r="D34" s="6">
        <v>619.78319499053441</v>
      </c>
      <c r="E34" s="6">
        <v>600.24828746177377</v>
      </c>
      <c r="F34" s="6">
        <v>2439.8475651667395</v>
      </c>
      <c r="G34" s="6">
        <v>586.81082860055335</v>
      </c>
      <c r="H34" s="6">
        <v>5750.8228542303768</v>
      </c>
      <c r="I34" s="6"/>
    </row>
    <row r="35" spans="1:9" x14ac:dyDescent="0.2">
      <c r="A35" s="7" t="s">
        <v>80</v>
      </c>
      <c r="B35" s="7">
        <v>1788</v>
      </c>
      <c r="C35" s="7">
        <v>1244.823769574944</v>
      </c>
      <c r="D35" s="7">
        <v>442.72425055928409</v>
      </c>
      <c r="E35" s="7">
        <v>501.34333892617451</v>
      </c>
      <c r="F35" s="7">
        <v>2286.8703579418348</v>
      </c>
      <c r="G35" s="7">
        <v>124.66629753914988</v>
      </c>
      <c r="H35" s="7">
        <v>4600.4280145413868</v>
      </c>
      <c r="I35" s="6"/>
    </row>
    <row r="36" spans="1:9" x14ac:dyDescent="0.2">
      <c r="A36" s="6" t="s">
        <v>103</v>
      </c>
      <c r="B36" s="6">
        <v>103269</v>
      </c>
      <c r="C36" s="6">
        <v>989.95858534506976</v>
      </c>
      <c r="D36" s="6">
        <v>333.31343578421405</v>
      </c>
      <c r="E36" s="6">
        <v>485.66389303663254</v>
      </c>
      <c r="F36" s="6">
        <v>2499.0625852869689</v>
      </c>
      <c r="G36" s="6">
        <v>524.18802399558444</v>
      </c>
      <c r="H36" s="6">
        <v>4832.1865234484703</v>
      </c>
      <c r="I36" s="6"/>
    </row>
    <row r="37" spans="1:9" x14ac:dyDescent="0.2">
      <c r="I37" s="6"/>
    </row>
    <row r="38" spans="1:9" x14ac:dyDescent="0.2">
      <c r="A38" s="6" t="s">
        <v>81</v>
      </c>
      <c r="B38" s="6">
        <v>19757</v>
      </c>
      <c r="C38" s="6">
        <v>1611.5265151591841</v>
      </c>
      <c r="D38" s="6">
        <v>523.66611985625343</v>
      </c>
      <c r="E38" s="6">
        <v>555.597576555145</v>
      </c>
      <c r="F38" s="6">
        <v>2919.2854598370195</v>
      </c>
      <c r="G38" s="6">
        <v>311.17333906969685</v>
      </c>
      <c r="H38" s="6">
        <v>5921.2490104772987</v>
      </c>
      <c r="I38" s="6"/>
    </row>
    <row r="39" spans="1:9" x14ac:dyDescent="0.2">
      <c r="A39" s="6" t="s">
        <v>82</v>
      </c>
      <c r="B39" s="6">
        <v>9163</v>
      </c>
      <c r="C39" s="6">
        <v>1028.5379962894249</v>
      </c>
      <c r="D39" s="6">
        <v>598.67511950234643</v>
      </c>
      <c r="E39" s="6">
        <v>577.77952417330573</v>
      </c>
      <c r="F39" s="6">
        <v>3072.2216010040379</v>
      </c>
      <c r="G39" s="6">
        <v>516.82951980792313</v>
      </c>
      <c r="H39" s="6">
        <v>5794.0437607770382</v>
      </c>
      <c r="I39" s="6"/>
    </row>
    <row r="40" spans="1:9" x14ac:dyDescent="0.2">
      <c r="A40" s="6" t="s">
        <v>83</v>
      </c>
      <c r="B40" s="6">
        <v>4345</v>
      </c>
      <c r="C40" s="6">
        <v>1152.5845730724971</v>
      </c>
      <c r="D40" s="6">
        <v>624.5232036823935</v>
      </c>
      <c r="E40" s="6">
        <v>584.24476409666283</v>
      </c>
      <c r="F40" s="6">
        <v>3184.4800460299198</v>
      </c>
      <c r="G40" s="6">
        <v>366.38101956271578</v>
      </c>
      <c r="H40" s="6">
        <v>5912.2136064441893</v>
      </c>
      <c r="I40" s="6"/>
    </row>
    <row r="41" spans="1:9" x14ac:dyDescent="0.2">
      <c r="A41" s="6" t="s">
        <v>84</v>
      </c>
      <c r="B41" s="6">
        <v>5247</v>
      </c>
      <c r="C41" s="6">
        <v>1652.7315284924719</v>
      </c>
      <c r="D41" s="6">
        <v>683.50919954259575</v>
      </c>
      <c r="E41" s="6">
        <v>762.22203544882791</v>
      </c>
      <c r="F41" s="6">
        <v>3861.2939660758529</v>
      </c>
      <c r="G41" s="6">
        <v>792.71939393939397</v>
      </c>
      <c r="H41" s="6">
        <v>7752.476123499142</v>
      </c>
      <c r="I41" s="6"/>
    </row>
    <row r="42" spans="1:9" x14ac:dyDescent="0.2">
      <c r="A42" s="7" t="s">
        <v>85</v>
      </c>
      <c r="B42" s="7">
        <v>1333</v>
      </c>
      <c r="C42" s="7">
        <v>2751.7881545386344</v>
      </c>
      <c r="D42" s="7">
        <v>1012.4470892723181</v>
      </c>
      <c r="E42" s="7">
        <v>1127.7487621905477</v>
      </c>
      <c r="F42" s="7">
        <v>5591.1962865716432</v>
      </c>
      <c r="G42" s="7">
        <v>1230.4238559639909</v>
      </c>
      <c r="H42" s="7">
        <v>11713.604148537135</v>
      </c>
      <c r="I42" s="6"/>
    </row>
    <row r="43" spans="1:9" x14ac:dyDescent="0.2">
      <c r="A43" s="6" t="s">
        <v>104</v>
      </c>
      <c r="B43" s="6">
        <v>39845</v>
      </c>
      <c r="C43" s="6">
        <v>1470.985542226126</v>
      </c>
      <c r="D43" s="6">
        <v>589.31483774626668</v>
      </c>
      <c r="E43" s="6">
        <v>610.17308871878538</v>
      </c>
      <c r="F43" s="6">
        <v>3196.8108733843642</v>
      </c>
      <c r="G43" s="6">
        <v>458.65327494039406</v>
      </c>
      <c r="H43" s="6">
        <v>6325.9376170159376</v>
      </c>
      <c r="I43" s="6"/>
    </row>
    <row r="44" spans="1:9" x14ac:dyDescent="0.2">
      <c r="I44" s="6"/>
    </row>
    <row r="45" spans="1:9" x14ac:dyDescent="0.2">
      <c r="A45" s="6" t="s">
        <v>86</v>
      </c>
      <c r="B45" s="6">
        <v>8237</v>
      </c>
      <c r="C45" s="6">
        <v>996.74000849823972</v>
      </c>
      <c r="D45" s="6">
        <v>288.20491076848367</v>
      </c>
      <c r="E45" s="6">
        <v>494.28517785601554</v>
      </c>
      <c r="F45" s="6">
        <v>2748.4062170693214</v>
      </c>
      <c r="G45" s="6">
        <v>401.08072963457573</v>
      </c>
      <c r="H45" s="6">
        <v>4928.7170438266357</v>
      </c>
      <c r="I45" s="6"/>
    </row>
    <row r="46" spans="1:9" x14ac:dyDescent="0.2">
      <c r="A46" s="7" t="s">
        <v>87</v>
      </c>
      <c r="B46" s="7">
        <v>5599</v>
      </c>
      <c r="C46" s="7">
        <v>1906.6025111627077</v>
      </c>
      <c r="D46" s="7">
        <v>913.2065583139846</v>
      </c>
      <c r="E46" s="7">
        <v>792.93171816395795</v>
      </c>
      <c r="F46" s="7">
        <v>3383.4172602250401</v>
      </c>
      <c r="G46" s="7">
        <v>514.89054652616539</v>
      </c>
      <c r="H46" s="7">
        <v>7511.0485943918557</v>
      </c>
    </row>
    <row r="47" spans="1:9" x14ac:dyDescent="0.2">
      <c r="A47" s="6" t="s">
        <v>105</v>
      </c>
      <c r="B47" s="6">
        <v>13836</v>
      </c>
      <c r="C47" s="6">
        <v>1364.9331389129807</v>
      </c>
      <c r="D47" s="6">
        <v>541.12368965018788</v>
      </c>
      <c r="E47" s="6">
        <v>615.1381685458224</v>
      </c>
      <c r="F47" s="6">
        <v>3005.3754878577624</v>
      </c>
      <c r="G47" s="6">
        <v>447.13603209019954</v>
      </c>
      <c r="H47" s="6">
        <v>5973.7065170569531</v>
      </c>
    </row>
    <row r="49" spans="1:8" ht="13.5" thickBot="1" x14ac:dyDescent="0.25">
      <c r="A49" s="8" t="s">
        <v>114</v>
      </c>
      <c r="B49" s="8">
        <v>156950</v>
      </c>
      <c r="C49" s="8">
        <v>1145.1332716788786</v>
      </c>
      <c r="D49" s="8">
        <v>416.6242897738133</v>
      </c>
      <c r="E49" s="8">
        <v>528.68698942338335</v>
      </c>
      <c r="F49" s="8">
        <v>2720.8346519273655</v>
      </c>
      <c r="G49" s="8">
        <v>500.75811997451422</v>
      </c>
      <c r="H49" s="8">
        <v>5312.0373227779555</v>
      </c>
    </row>
    <row r="50" spans="1:8" ht="13.5" thickTop="1" x14ac:dyDescent="0.2">
      <c r="A50" s="6"/>
      <c r="B50" s="6"/>
      <c r="C50" s="6"/>
      <c r="D50" s="6"/>
      <c r="E50" s="6"/>
      <c r="F50" s="6"/>
      <c r="G50" s="6"/>
      <c r="H50" s="6"/>
    </row>
    <row r="52" spans="1:8" x14ac:dyDescent="0.2">
      <c r="A52" s="36" t="s">
        <v>200</v>
      </c>
    </row>
    <row r="53" spans="1:8" x14ac:dyDescent="0.2">
      <c r="A53" s="36" t="s">
        <v>233</v>
      </c>
    </row>
    <row r="55" spans="1:8" x14ac:dyDescent="0.2">
      <c r="A55" s="173" t="s">
        <v>88</v>
      </c>
      <c r="B55" s="144"/>
      <c r="C55" s="144" t="s">
        <v>116</v>
      </c>
      <c r="D55" s="144" t="s">
        <v>117</v>
      </c>
      <c r="E55" s="144" t="s">
        <v>120</v>
      </c>
      <c r="F55" s="144" t="s">
        <v>118</v>
      </c>
      <c r="G55" s="144" t="s">
        <v>119</v>
      </c>
      <c r="H55" s="5"/>
    </row>
    <row r="56" spans="1:8" x14ac:dyDescent="0.2">
      <c r="A56" s="6" t="s">
        <v>102</v>
      </c>
      <c r="B56" s="6"/>
      <c r="C56" s="9">
        <v>0.22287356637979375</v>
      </c>
      <c r="D56" s="9">
        <v>5.9833070562082404E-2</v>
      </c>
      <c r="E56" s="9">
        <v>0.10073425399152437</v>
      </c>
      <c r="F56" s="9">
        <v>0.54377289822524311</v>
      </c>
      <c r="G56" s="9">
        <v>7.278621084135635E-2</v>
      </c>
      <c r="H56" s="9"/>
    </row>
    <row r="57" spans="1:8" x14ac:dyDescent="0.2">
      <c r="A57" s="6" t="s">
        <v>76</v>
      </c>
      <c r="B57" s="6"/>
      <c r="C57" s="9">
        <v>0.17206755031027457</v>
      </c>
      <c r="D57" s="9">
        <v>6.7429940969780777E-2</v>
      </c>
      <c r="E57" s="9">
        <v>9.8995270050086445E-2</v>
      </c>
      <c r="F57" s="9">
        <v>0.52534683786018344</v>
      </c>
      <c r="G57" s="9">
        <v>0.13616040080967473</v>
      </c>
      <c r="H57" s="9"/>
    </row>
    <row r="58" spans="1:8" x14ac:dyDescent="0.2">
      <c r="A58" s="6" t="s">
        <v>77</v>
      </c>
      <c r="B58" s="6"/>
      <c r="C58" s="9">
        <v>0.17761735518809618</v>
      </c>
      <c r="D58" s="9">
        <v>6.5582818208682961E-2</v>
      </c>
      <c r="E58" s="9">
        <v>0.10170894799108328</v>
      </c>
      <c r="F58" s="9">
        <v>0.50084511501084872</v>
      </c>
      <c r="G58" s="9">
        <v>0.15424576360128883</v>
      </c>
      <c r="H58" s="9"/>
    </row>
    <row r="59" spans="1:8" x14ac:dyDescent="0.2">
      <c r="A59" s="6" t="s">
        <v>78</v>
      </c>
      <c r="B59" s="6"/>
      <c r="C59" s="9">
        <v>0.2031774222557487</v>
      </c>
      <c r="D59" s="9">
        <v>7.4345935335938335E-2</v>
      </c>
      <c r="E59" s="9">
        <v>9.805141615736776E-2</v>
      </c>
      <c r="F59" s="9">
        <v>0.5051021918032329</v>
      </c>
      <c r="G59" s="9">
        <v>0.11932303444771235</v>
      </c>
      <c r="H59" s="9"/>
    </row>
    <row r="60" spans="1:8" x14ac:dyDescent="0.2">
      <c r="A60" s="6" t="s">
        <v>79</v>
      </c>
      <c r="B60" s="6"/>
      <c r="C60" s="9">
        <v>0.26155091473636982</v>
      </c>
      <c r="D60" s="9">
        <v>0.10777295887920008</v>
      </c>
      <c r="E60" s="9">
        <v>0.10437606976890684</v>
      </c>
      <c r="F60" s="9">
        <v>0.42426060183230252</v>
      </c>
      <c r="G60" s="9">
        <v>0.10203945478322081</v>
      </c>
      <c r="H60" s="9"/>
    </row>
    <row r="61" spans="1:8" x14ac:dyDescent="0.2">
      <c r="A61" s="7" t="s">
        <v>80</v>
      </c>
      <c r="B61" s="7"/>
      <c r="C61" s="10">
        <v>0.27058868558321297</v>
      </c>
      <c r="D61" s="10">
        <v>9.6235447910474239E-2</v>
      </c>
      <c r="E61" s="10">
        <v>0.10897754238116321</v>
      </c>
      <c r="F61" s="10">
        <v>0.49709947655159892</v>
      </c>
      <c r="G61" s="10">
        <v>2.7098847573550779E-2</v>
      </c>
      <c r="H61" s="9"/>
    </row>
    <row r="62" spans="1:8" x14ac:dyDescent="0.2">
      <c r="A62" s="6" t="s">
        <v>103</v>
      </c>
      <c r="B62" s="6"/>
      <c r="C62" s="9">
        <v>0.20486762680646481</v>
      </c>
      <c r="D62" s="9">
        <v>6.8977766931551776E-2</v>
      </c>
      <c r="E62" s="9">
        <v>0.10050603193397437</v>
      </c>
      <c r="F62" s="9">
        <v>0.51717014092070335</v>
      </c>
      <c r="G62" s="9">
        <v>0.10847843340730561</v>
      </c>
      <c r="H62" s="9"/>
    </row>
    <row r="63" spans="1:8" x14ac:dyDescent="0.2">
      <c r="A63" s="6"/>
      <c r="B63" s="6"/>
      <c r="C63" s="9"/>
      <c r="D63" s="9"/>
      <c r="E63" s="9"/>
      <c r="F63" s="9"/>
      <c r="G63" s="9"/>
      <c r="H63" s="9"/>
    </row>
    <row r="64" spans="1:8" x14ac:dyDescent="0.2">
      <c r="A64" s="6" t="s">
        <v>81</v>
      </c>
      <c r="B64" s="6"/>
      <c r="C64" s="9">
        <v>0.27215989604687857</v>
      </c>
      <c r="D64" s="9">
        <v>8.8438455962527043E-2</v>
      </c>
      <c r="E64" s="9">
        <v>9.3831145349916559E-2</v>
      </c>
      <c r="F64" s="9">
        <v>0.49301852610344832</v>
      </c>
      <c r="G64" s="9">
        <v>5.2551976537229574E-2</v>
      </c>
      <c r="H64" s="9"/>
    </row>
    <row r="65" spans="1:8" x14ac:dyDescent="0.2">
      <c r="A65" s="6" t="s">
        <v>82</v>
      </c>
      <c r="B65" s="6"/>
      <c r="C65" s="9">
        <v>0.17751643562862698</v>
      </c>
      <c r="D65" s="9">
        <v>0.10332595752125596</v>
      </c>
      <c r="E65" s="9">
        <v>9.9719565130764534E-2</v>
      </c>
      <c r="F65" s="9">
        <v>0.53023790082524724</v>
      </c>
      <c r="G65" s="9">
        <v>8.9200140894105232E-2</v>
      </c>
      <c r="H65" s="9"/>
    </row>
    <row r="66" spans="1:8" x14ac:dyDescent="0.2">
      <c r="A66" s="6" t="s">
        <v>83</v>
      </c>
      <c r="B66" s="6"/>
      <c r="C66" s="9">
        <v>0.19494975144609186</v>
      </c>
      <c r="D66" s="9">
        <v>0.10563271986683233</v>
      </c>
      <c r="E66" s="9">
        <v>9.8819968794741836E-2</v>
      </c>
      <c r="F66" s="9">
        <v>0.53862736667005795</v>
      </c>
      <c r="G66" s="9">
        <v>6.1970193222276024E-2</v>
      </c>
      <c r="H66" s="9"/>
    </row>
    <row r="67" spans="1:8" x14ac:dyDescent="0.2">
      <c r="A67" s="6" t="s">
        <v>84</v>
      </c>
      <c r="B67" s="6"/>
      <c r="C67" s="9">
        <v>0.21318756770920544</v>
      </c>
      <c r="D67" s="9">
        <v>8.8166566224016751E-2</v>
      </c>
      <c r="E67" s="9">
        <v>9.8319817217933328E-2</v>
      </c>
      <c r="F67" s="9">
        <v>0.4980723454757352</v>
      </c>
      <c r="G67" s="9">
        <v>0.10225370337310935</v>
      </c>
      <c r="H67" s="9"/>
    </row>
    <row r="68" spans="1:8" x14ac:dyDescent="0.2">
      <c r="A68" s="7" t="s">
        <v>85</v>
      </c>
      <c r="B68" s="7"/>
      <c r="C68" s="10">
        <v>0.23492241325931218</v>
      </c>
      <c r="D68" s="10">
        <v>8.6433438968377505E-2</v>
      </c>
      <c r="E68" s="10">
        <v>9.6276837418258474E-2</v>
      </c>
      <c r="F68" s="10">
        <v>0.47732501591065846</v>
      </c>
      <c r="G68" s="10">
        <v>0.10504229444339329</v>
      </c>
      <c r="H68" s="9"/>
    </row>
    <row r="69" spans="1:8" x14ac:dyDescent="0.2">
      <c r="A69" s="6" t="s">
        <v>104</v>
      </c>
      <c r="B69" s="6"/>
      <c r="C69" s="9">
        <v>0.23253241357761242</v>
      </c>
      <c r="D69" s="9">
        <v>9.3158496562009641E-2</v>
      </c>
      <c r="E69" s="9">
        <v>9.6455754966267807E-2</v>
      </c>
      <c r="F69" s="9">
        <v>0.50534973104783154</v>
      </c>
      <c r="G69" s="9">
        <v>7.2503603846278422E-2</v>
      </c>
      <c r="H69" s="9"/>
    </row>
    <row r="70" spans="1:8" x14ac:dyDescent="0.2">
      <c r="A70" s="6"/>
      <c r="B70" s="6"/>
      <c r="C70" s="9"/>
      <c r="D70" s="9"/>
      <c r="E70" s="9"/>
      <c r="F70" s="9"/>
      <c r="G70" s="9"/>
      <c r="H70" s="9"/>
    </row>
    <row r="71" spans="1:8" x14ac:dyDescent="0.2">
      <c r="A71" s="6" t="s">
        <v>86</v>
      </c>
      <c r="B71" s="6"/>
      <c r="C71" s="9">
        <v>0.20223112822974615</v>
      </c>
      <c r="D71" s="9">
        <v>5.8474631066408829E-2</v>
      </c>
      <c r="E71" s="9">
        <v>0.10028678324618419</v>
      </c>
      <c r="F71" s="9">
        <v>0.55763116296395665</v>
      </c>
      <c r="G71" s="9">
        <v>8.1376294493704246E-2</v>
      </c>
      <c r="H71" s="9"/>
    </row>
    <row r="72" spans="1:8" x14ac:dyDescent="0.2">
      <c r="A72" s="7" t="s">
        <v>87</v>
      </c>
      <c r="B72" s="7"/>
      <c r="C72" s="10">
        <v>0.25383972519979137</v>
      </c>
      <c r="D72" s="10">
        <v>0.12158176675835018</v>
      </c>
      <c r="E72" s="10">
        <v>0.10556871097279313</v>
      </c>
      <c r="F72" s="10">
        <v>0.45045870995313192</v>
      </c>
      <c r="G72" s="10">
        <v>6.8551087115933426E-2</v>
      </c>
      <c r="H72" s="9"/>
    </row>
    <row r="73" spans="1:8" x14ac:dyDescent="0.2">
      <c r="A73" s="6" t="s">
        <v>105</v>
      </c>
      <c r="B73" s="6"/>
      <c r="C73" s="9">
        <v>0.22849015682568852</v>
      </c>
      <c r="D73" s="9">
        <v>9.0584244154796809E-2</v>
      </c>
      <c r="E73" s="9">
        <v>0.10297428686685474</v>
      </c>
      <c r="F73" s="9">
        <v>0.50310062593071803</v>
      </c>
      <c r="G73" s="9">
        <v>7.4850686221941923E-2</v>
      </c>
      <c r="H73" s="9"/>
    </row>
    <row r="74" spans="1:8" x14ac:dyDescent="0.2">
      <c r="A74" s="6"/>
      <c r="B74" s="6"/>
      <c r="C74" s="9"/>
      <c r="D74" s="9"/>
      <c r="E74" s="9"/>
      <c r="F74" s="9"/>
      <c r="G74" s="9"/>
      <c r="H74" s="9"/>
    </row>
    <row r="75" spans="1:8" ht="13.5" thickBot="1" x14ac:dyDescent="0.25">
      <c r="A75" s="8" t="s">
        <v>114</v>
      </c>
      <c r="B75" s="8"/>
      <c r="C75" s="11">
        <v>0.21557327294530862</v>
      </c>
      <c r="D75" s="11">
        <v>7.843022638175623E-2</v>
      </c>
      <c r="E75" s="11">
        <v>9.9526218905951494E-2</v>
      </c>
      <c r="F75" s="11">
        <v>0.51220171971692618</v>
      </c>
      <c r="G75" s="11">
        <v>9.4268562050057347E-2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I82"/>
  <sheetViews>
    <sheetView topLeftCell="A18" workbookViewId="0">
      <selection activeCell="C32" sqref="C32"/>
    </sheetView>
  </sheetViews>
  <sheetFormatPr defaultRowHeight="12.75" x14ac:dyDescent="0.2"/>
  <cols>
    <col min="1" max="1" width="22.140625" customWidth="1"/>
    <col min="3" max="7" width="9.5703125" bestFit="1" customWidth="1"/>
    <col min="8" max="8" width="10.85546875" bestFit="1" customWidth="1"/>
  </cols>
  <sheetData>
    <row r="1" spans="1:9" x14ac:dyDescent="0.2">
      <c r="A1" s="36" t="s">
        <v>200</v>
      </c>
    </row>
    <row r="2" spans="1:9" x14ac:dyDescent="0.2">
      <c r="A2" s="36" t="s">
        <v>387</v>
      </c>
    </row>
    <row r="3" spans="1:9" ht="33.75" x14ac:dyDescent="0.2">
      <c r="A3" s="167" t="s">
        <v>245</v>
      </c>
      <c r="B3" s="160" t="s">
        <v>349</v>
      </c>
      <c r="C3" s="141" t="s">
        <v>388</v>
      </c>
      <c r="D3" s="141" t="s">
        <v>389</v>
      </c>
      <c r="E3" s="141" t="s">
        <v>390</v>
      </c>
      <c r="F3" s="141" t="s">
        <v>391</v>
      </c>
      <c r="G3" s="141" t="s">
        <v>392</v>
      </c>
      <c r="H3" s="160" t="s">
        <v>393</v>
      </c>
      <c r="I3" s="141" t="s">
        <v>442</v>
      </c>
    </row>
    <row r="4" spans="1:9" x14ac:dyDescent="0.2">
      <c r="A4" s="1" t="s">
        <v>102</v>
      </c>
      <c r="B4" s="6">
        <v>39396</v>
      </c>
      <c r="C4" s="6">
        <v>34611733.280000001</v>
      </c>
      <c r="D4" s="6">
        <v>10944094.439999999</v>
      </c>
      <c r="E4" s="6">
        <v>17730899.25</v>
      </c>
      <c r="F4" s="6">
        <v>101713591.90000001</v>
      </c>
      <c r="G4" s="6">
        <v>11626510.58</v>
      </c>
      <c r="H4" s="6">
        <f t="shared" ref="H4:H9" si="0">SUM(C4:G4)</f>
        <v>176626829.45000002</v>
      </c>
      <c r="I4" s="6">
        <f>H4/B4</f>
        <v>4483.3696174738552</v>
      </c>
    </row>
    <row r="5" spans="1:9" x14ac:dyDescent="0.2">
      <c r="A5" s="1" t="s">
        <v>76</v>
      </c>
      <c r="B5" s="6">
        <v>23853</v>
      </c>
      <c r="C5" s="6">
        <v>15554818.59</v>
      </c>
      <c r="D5" s="6">
        <v>8021691.8499999996</v>
      </c>
      <c r="E5" s="6">
        <v>11044596.01</v>
      </c>
      <c r="F5" s="6">
        <v>60345147.299999997</v>
      </c>
      <c r="G5" s="6">
        <v>14381276.689999999</v>
      </c>
      <c r="H5" s="6">
        <f t="shared" si="0"/>
        <v>109347530.44</v>
      </c>
      <c r="I5" s="6">
        <f t="shared" ref="I5:I10" si="1">H5/B5</f>
        <v>4584.2254827485012</v>
      </c>
    </row>
    <row r="6" spans="1:9" x14ac:dyDescent="0.2">
      <c r="A6" s="1" t="s">
        <v>77</v>
      </c>
      <c r="B6" s="6">
        <v>15381</v>
      </c>
      <c r="C6" s="6">
        <v>11129400.07</v>
      </c>
      <c r="D6" s="6">
        <v>4942820.38</v>
      </c>
      <c r="E6" s="6">
        <v>7187449.8799999999</v>
      </c>
      <c r="F6" s="6">
        <v>38010926.670000002</v>
      </c>
      <c r="G6" s="6">
        <v>10355738.699999999</v>
      </c>
      <c r="H6" s="6">
        <f t="shared" si="0"/>
        <v>71626335.700000003</v>
      </c>
      <c r="I6" s="6">
        <f t="shared" si="1"/>
        <v>4656.8061699499385</v>
      </c>
    </row>
    <row r="7" spans="1:9" x14ac:dyDescent="0.2">
      <c r="A7" s="1" t="s">
        <v>78</v>
      </c>
      <c r="B7" s="6">
        <v>15059</v>
      </c>
      <c r="C7" s="6">
        <v>11514873.369999999</v>
      </c>
      <c r="D7" s="6">
        <v>5661690.1900000004</v>
      </c>
      <c r="E7" s="6">
        <v>6930263.1600000001</v>
      </c>
      <c r="F7" s="6">
        <v>40312679.689999998</v>
      </c>
      <c r="G7" s="6">
        <v>8655471.9499999993</v>
      </c>
      <c r="H7" s="6">
        <f t="shared" si="0"/>
        <v>73074978.359999999</v>
      </c>
      <c r="I7" s="6">
        <f t="shared" si="1"/>
        <v>4852.5784155654428</v>
      </c>
    </row>
    <row r="8" spans="1:9" x14ac:dyDescent="0.2">
      <c r="A8" s="1" t="s">
        <v>79</v>
      </c>
      <c r="B8" s="6">
        <v>7546</v>
      </c>
      <c r="C8" s="6">
        <v>7622398.7199999997</v>
      </c>
      <c r="D8" s="6">
        <v>5039545.0199999996</v>
      </c>
      <c r="E8" s="6">
        <v>4517193.67</v>
      </c>
      <c r="F8" s="6">
        <v>22333923.41</v>
      </c>
      <c r="G8" s="6">
        <v>3749715.02</v>
      </c>
      <c r="H8" s="6">
        <f t="shared" si="0"/>
        <v>43262775.839999996</v>
      </c>
      <c r="I8" s="6">
        <f t="shared" si="1"/>
        <v>5733.2064457990982</v>
      </c>
    </row>
    <row r="9" spans="1:9" x14ac:dyDescent="0.2">
      <c r="A9" s="14" t="s">
        <v>80</v>
      </c>
      <c r="B9" s="6">
        <v>1787</v>
      </c>
      <c r="C9" s="6">
        <v>1242308.3</v>
      </c>
      <c r="D9" s="6">
        <v>797507.61</v>
      </c>
      <c r="E9" s="6">
        <v>795501.73</v>
      </c>
      <c r="F9" s="6">
        <v>5086758.74</v>
      </c>
      <c r="G9" s="6">
        <v>456155.01</v>
      </c>
      <c r="H9" s="6">
        <f t="shared" si="0"/>
        <v>8378231.3900000006</v>
      </c>
      <c r="I9" s="6">
        <f t="shared" si="1"/>
        <v>4688.4339059876893</v>
      </c>
    </row>
    <row r="10" spans="1:9" ht="13.5" thickBot="1" x14ac:dyDescent="0.25">
      <c r="A10" s="15" t="s">
        <v>171</v>
      </c>
      <c r="B10" s="8">
        <f t="shared" ref="B10:H10" si="2">SUM(B4:B9)</f>
        <v>103022</v>
      </c>
      <c r="C10" s="8">
        <f t="shared" si="2"/>
        <v>81675532.329999998</v>
      </c>
      <c r="D10" s="8">
        <f t="shared" si="2"/>
        <v>35407349.489999995</v>
      </c>
      <c r="E10" s="8">
        <f t="shared" si="2"/>
        <v>48205903.699999996</v>
      </c>
      <c r="F10" s="8">
        <f t="shared" si="2"/>
        <v>267803027.71000001</v>
      </c>
      <c r="G10" s="8">
        <f t="shared" si="2"/>
        <v>49224867.950000003</v>
      </c>
      <c r="H10" s="8">
        <f t="shared" si="2"/>
        <v>482316681.17999995</v>
      </c>
      <c r="I10" s="8">
        <f t="shared" si="1"/>
        <v>4681.6862532274654</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18443</v>
      </c>
      <c r="C13" s="6">
        <v>28881838.489999998</v>
      </c>
      <c r="D13" s="6">
        <v>11497255.710000001</v>
      </c>
      <c r="E13" s="6">
        <v>10472455.35</v>
      </c>
      <c r="F13" s="6">
        <v>57288967.229999997</v>
      </c>
      <c r="G13" s="6">
        <v>5416092.5700000003</v>
      </c>
      <c r="H13" s="6">
        <f>SUM(C13:G13)</f>
        <v>113556609.34999999</v>
      </c>
      <c r="I13" s="6">
        <f t="shared" ref="I13:I18" si="3">H13/B13</f>
        <v>6157.1658271430888</v>
      </c>
    </row>
    <row r="14" spans="1:9" x14ac:dyDescent="0.2">
      <c r="A14" s="1" t="s">
        <v>82</v>
      </c>
      <c r="B14" s="6">
        <v>8278</v>
      </c>
      <c r="C14" s="6">
        <v>8285040.4400000004</v>
      </c>
      <c r="D14" s="6">
        <v>4971746.26</v>
      </c>
      <c r="E14" s="6">
        <v>4676553.55</v>
      </c>
      <c r="F14" s="6">
        <v>24826666.140000001</v>
      </c>
      <c r="G14" s="6">
        <v>4351392.45</v>
      </c>
      <c r="H14" s="6">
        <f>SUM(C14:G14)</f>
        <v>47111398.840000004</v>
      </c>
      <c r="I14" s="6">
        <f t="shared" si="3"/>
        <v>5691.157144237739</v>
      </c>
    </row>
    <row r="15" spans="1:9" x14ac:dyDescent="0.2">
      <c r="A15" s="1" t="s">
        <v>83</v>
      </c>
      <c r="B15" s="6">
        <v>5306</v>
      </c>
      <c r="C15" s="6">
        <v>7221306.8700000001</v>
      </c>
      <c r="D15" s="6">
        <v>3348738.83</v>
      </c>
      <c r="E15" s="6">
        <v>3008094.58</v>
      </c>
      <c r="F15" s="6">
        <v>16990142.359999999</v>
      </c>
      <c r="G15" s="6">
        <v>1706700.9</v>
      </c>
      <c r="H15" s="6">
        <f>SUM(C15:G15)</f>
        <v>32274983.539999999</v>
      </c>
      <c r="I15" s="6">
        <f t="shared" si="3"/>
        <v>6082.7334225405202</v>
      </c>
    </row>
    <row r="16" spans="1:9" x14ac:dyDescent="0.2">
      <c r="A16" s="1" t="s">
        <v>84</v>
      </c>
      <c r="B16" s="6">
        <v>5862</v>
      </c>
      <c r="C16" s="6">
        <v>8114240</v>
      </c>
      <c r="D16" s="6">
        <v>5343987.33</v>
      </c>
      <c r="E16" s="6">
        <v>4541772.91</v>
      </c>
      <c r="F16" s="6">
        <v>23207958.710000001</v>
      </c>
      <c r="G16" s="6">
        <v>3953586.36</v>
      </c>
      <c r="H16" s="6">
        <f>SUM(C16:G16)</f>
        <v>45161545.310000002</v>
      </c>
      <c r="I16" s="6">
        <f t="shared" si="3"/>
        <v>7704.1189542818156</v>
      </c>
    </row>
    <row r="17" spans="1:9" x14ac:dyDescent="0.2">
      <c r="A17" s="14" t="s">
        <v>85</v>
      </c>
      <c r="B17" s="6">
        <v>2330</v>
      </c>
      <c r="C17" s="6">
        <v>5251124.92</v>
      </c>
      <c r="D17" s="6">
        <v>2828011.46</v>
      </c>
      <c r="E17" s="6">
        <v>2363831.86</v>
      </c>
      <c r="F17" s="6">
        <v>13976659.65</v>
      </c>
      <c r="G17" s="6">
        <v>2384277.23</v>
      </c>
      <c r="H17" s="6">
        <f>SUM(C17:G17)</f>
        <v>26803905.120000001</v>
      </c>
      <c r="I17" s="6">
        <f t="shared" si="3"/>
        <v>11503.821939914164</v>
      </c>
    </row>
    <row r="18" spans="1:9" ht="13.5" thickBot="1" x14ac:dyDescent="0.25">
      <c r="A18" s="15" t="s">
        <v>172</v>
      </c>
      <c r="B18" s="8">
        <f>SUM(B13:B17)</f>
        <v>40219</v>
      </c>
      <c r="C18" s="8">
        <f t="shared" ref="C18:H18" si="4">SUM(C13:C17)</f>
        <v>57753550.719999999</v>
      </c>
      <c r="D18" s="8">
        <f t="shared" si="4"/>
        <v>27989739.590000004</v>
      </c>
      <c r="E18" s="8">
        <f t="shared" si="4"/>
        <v>25062708.249999996</v>
      </c>
      <c r="F18" s="8">
        <f t="shared" si="4"/>
        <v>136290394.09</v>
      </c>
      <c r="G18" s="8">
        <f t="shared" si="4"/>
        <v>17812049.509999998</v>
      </c>
      <c r="H18" s="8">
        <f t="shared" si="4"/>
        <v>264908442.16</v>
      </c>
      <c r="I18" s="8">
        <f t="shared" si="3"/>
        <v>6586.6491499042741</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6151</v>
      </c>
      <c r="C21" s="6">
        <v>4114819.34</v>
      </c>
      <c r="D21" s="6">
        <v>1445351.62</v>
      </c>
      <c r="E21" s="6">
        <v>2776423.21</v>
      </c>
      <c r="F21" s="6">
        <v>17647250.73</v>
      </c>
      <c r="G21" s="6">
        <v>2669927.5299999998</v>
      </c>
      <c r="H21" s="6">
        <f>SUM(C21:G21)</f>
        <v>28653772.43</v>
      </c>
      <c r="I21" s="6">
        <f>H21/B21</f>
        <v>4658.3925264184682</v>
      </c>
    </row>
    <row r="22" spans="1:9" x14ac:dyDescent="0.2">
      <c r="A22" s="14" t="s">
        <v>87</v>
      </c>
      <c r="B22" s="6">
        <v>1679</v>
      </c>
      <c r="C22" s="6">
        <v>2321124.42</v>
      </c>
      <c r="D22" s="6">
        <v>1253416.44</v>
      </c>
      <c r="E22" s="6">
        <v>1247341.3600000001</v>
      </c>
      <c r="F22" s="6">
        <v>6437569.1900000004</v>
      </c>
      <c r="G22" s="6">
        <v>1542042.79</v>
      </c>
      <c r="H22" s="6">
        <f>SUM(C22:G22)</f>
        <v>12801494.199999999</v>
      </c>
      <c r="I22" s="6">
        <f>H22/B22</f>
        <v>7624.4754020250148</v>
      </c>
    </row>
    <row r="23" spans="1:9" ht="13.5" thickBot="1" x14ac:dyDescent="0.25">
      <c r="A23" s="15" t="s">
        <v>173</v>
      </c>
      <c r="B23" s="8">
        <f>SUM(B21:B22)</f>
        <v>7830</v>
      </c>
      <c r="C23" s="8">
        <f t="shared" ref="C23:H23" si="5">SUM(C21:C22)</f>
        <v>6435943.7599999998</v>
      </c>
      <c r="D23" s="8">
        <f t="shared" si="5"/>
        <v>2698768.06</v>
      </c>
      <c r="E23" s="8">
        <f t="shared" si="5"/>
        <v>4023764.5700000003</v>
      </c>
      <c r="F23" s="8">
        <f t="shared" si="5"/>
        <v>24084819.920000002</v>
      </c>
      <c r="G23" s="8">
        <f t="shared" si="5"/>
        <v>4211970.32</v>
      </c>
      <c r="H23" s="8">
        <f t="shared" si="5"/>
        <v>41455266.629999995</v>
      </c>
      <c r="I23" s="8">
        <f>H23/B23</f>
        <v>5294.4146398467428</v>
      </c>
    </row>
    <row r="24" spans="1:9" ht="13.5" thickTop="1" x14ac:dyDescent="0.2">
      <c r="A24" s="177"/>
      <c r="B24" s="178"/>
      <c r="C24" s="178"/>
      <c r="D24" s="178"/>
      <c r="E24" s="178"/>
      <c r="F24" s="178"/>
      <c r="G24" s="178"/>
      <c r="H24" s="178"/>
      <c r="I24" s="6"/>
    </row>
    <row r="25" spans="1:9" ht="13.5" thickBot="1" x14ac:dyDescent="0.25">
      <c r="A25" s="15" t="s">
        <v>174</v>
      </c>
      <c r="B25" s="8">
        <f>B23+B18+B10</f>
        <v>151071</v>
      </c>
      <c r="C25" s="8">
        <f t="shared" ref="C25:H25" si="6">C23+C18+C10</f>
        <v>145865026.81</v>
      </c>
      <c r="D25" s="8">
        <f t="shared" si="6"/>
        <v>66095857.140000001</v>
      </c>
      <c r="E25" s="8">
        <f t="shared" si="6"/>
        <v>77292376.519999996</v>
      </c>
      <c r="F25" s="8">
        <f t="shared" si="6"/>
        <v>428178241.72000003</v>
      </c>
      <c r="G25" s="8">
        <f t="shared" si="6"/>
        <v>71248887.780000001</v>
      </c>
      <c r="H25" s="8">
        <f t="shared" si="6"/>
        <v>788680389.96999991</v>
      </c>
      <c r="I25" s="8">
        <f>H25/B25</f>
        <v>5220.5942237093814</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395</v>
      </c>
      <c r="B29" s="6"/>
      <c r="C29" s="1"/>
      <c r="D29" s="1"/>
      <c r="E29" s="1"/>
      <c r="F29" s="1"/>
      <c r="G29" s="1"/>
      <c r="H29" s="1"/>
      <c r="I29" s="6"/>
    </row>
    <row r="30" spans="1:9" ht="33.75" x14ac:dyDescent="0.2">
      <c r="A30" s="167" t="s">
        <v>245</v>
      </c>
      <c r="B30" s="160" t="s">
        <v>349</v>
      </c>
      <c r="C30" s="141" t="s">
        <v>388</v>
      </c>
      <c r="D30" s="141" t="s">
        <v>389</v>
      </c>
      <c r="E30" s="141" t="s">
        <v>390</v>
      </c>
      <c r="F30" s="141" t="s">
        <v>391</v>
      </c>
      <c r="G30" s="141" t="s">
        <v>392</v>
      </c>
      <c r="H30" s="160" t="s">
        <v>393</v>
      </c>
      <c r="I30" s="6"/>
    </row>
    <row r="31" spans="1:9" x14ac:dyDescent="0.2">
      <c r="A31" s="20"/>
      <c r="B31" s="16"/>
      <c r="C31" s="16"/>
      <c r="D31" s="16"/>
      <c r="E31" s="16"/>
      <c r="F31" s="16"/>
      <c r="G31" s="16"/>
      <c r="H31" s="17"/>
      <c r="I31" s="6"/>
    </row>
    <row r="32" spans="1:9" x14ac:dyDescent="0.2">
      <c r="A32" s="1" t="s">
        <v>102</v>
      </c>
      <c r="B32" s="6">
        <f t="shared" ref="B32:B37" si="7">B4</f>
        <v>39396</v>
      </c>
      <c r="C32" s="6">
        <f t="shared" ref="C32:H32" si="8">C4/$B$32</f>
        <v>878.55958168341965</v>
      </c>
      <c r="D32" s="6">
        <f t="shared" si="8"/>
        <v>277.7970971672251</v>
      </c>
      <c r="E32" s="6">
        <f t="shared" si="8"/>
        <v>450.06851583917148</v>
      </c>
      <c r="F32" s="6">
        <f t="shared" si="8"/>
        <v>2581.8253604426845</v>
      </c>
      <c r="G32" s="6">
        <f t="shared" si="8"/>
        <v>295.11906234135444</v>
      </c>
      <c r="H32" s="6">
        <f t="shared" si="8"/>
        <v>4483.3696174738552</v>
      </c>
      <c r="I32" s="6"/>
    </row>
    <row r="33" spans="1:9" x14ac:dyDescent="0.2">
      <c r="A33" s="1" t="s">
        <v>76</v>
      </c>
      <c r="B33" s="6">
        <f t="shared" si="7"/>
        <v>23853</v>
      </c>
      <c r="C33" s="6">
        <f t="shared" ref="C33:H33" si="9">C5/$B$33</f>
        <v>652.11162495283611</v>
      </c>
      <c r="D33" s="6">
        <f t="shared" si="9"/>
        <v>336.29697941558715</v>
      </c>
      <c r="E33" s="6">
        <f t="shared" si="9"/>
        <v>463.0275441244288</v>
      </c>
      <c r="F33" s="6">
        <f t="shared" si="9"/>
        <v>2529.8766318702051</v>
      </c>
      <c r="G33" s="6">
        <f t="shared" si="9"/>
        <v>602.91270238544416</v>
      </c>
      <c r="H33" s="6">
        <f t="shared" si="9"/>
        <v>4584.2254827485012</v>
      </c>
      <c r="I33" s="6"/>
    </row>
    <row r="34" spans="1:9" x14ac:dyDescent="0.2">
      <c r="A34" s="1" t="s">
        <v>77</v>
      </c>
      <c r="B34" s="6">
        <f t="shared" si="7"/>
        <v>15381</v>
      </c>
      <c r="C34" s="6">
        <f t="shared" ref="C34:H34" si="10">C6/$B$34</f>
        <v>723.58104609583256</v>
      </c>
      <c r="D34" s="6">
        <f t="shared" si="10"/>
        <v>321.35884402834665</v>
      </c>
      <c r="E34" s="6">
        <f t="shared" si="10"/>
        <v>467.29405630323123</v>
      </c>
      <c r="F34" s="6">
        <f t="shared" si="10"/>
        <v>2471.2909869319292</v>
      </c>
      <c r="G34" s="6">
        <f t="shared" si="10"/>
        <v>673.28123659059872</v>
      </c>
      <c r="H34" s="6">
        <f t="shared" si="10"/>
        <v>4656.8061699499385</v>
      </c>
      <c r="I34" s="6"/>
    </row>
    <row r="35" spans="1:9" x14ac:dyDescent="0.2">
      <c r="A35" s="1" t="s">
        <v>78</v>
      </c>
      <c r="B35" s="6">
        <f t="shared" si="7"/>
        <v>15059</v>
      </c>
      <c r="C35" s="6">
        <f t="shared" ref="C35:H35" si="11">C7/$B$35</f>
        <v>764.65059897735568</v>
      </c>
      <c r="D35" s="6">
        <f t="shared" si="11"/>
        <v>375.9672083139651</v>
      </c>
      <c r="E35" s="6">
        <f t="shared" si="11"/>
        <v>460.20739491334086</v>
      </c>
      <c r="F35" s="6">
        <f t="shared" si="11"/>
        <v>2676.9825147752172</v>
      </c>
      <c r="G35" s="6">
        <f t="shared" si="11"/>
        <v>574.77069858556342</v>
      </c>
      <c r="H35" s="6">
        <f t="shared" si="11"/>
        <v>4852.5784155654428</v>
      </c>
      <c r="I35" s="6"/>
    </row>
    <row r="36" spans="1:9" x14ac:dyDescent="0.2">
      <c r="A36" s="1" t="s">
        <v>79</v>
      </c>
      <c r="B36" s="6">
        <f t="shared" si="7"/>
        <v>7546</v>
      </c>
      <c r="C36" s="6">
        <f t="shared" ref="C36:H36" si="12">C8/$B$36</f>
        <v>1010.1243996819506</v>
      </c>
      <c r="D36" s="6">
        <f t="shared" si="12"/>
        <v>667.84323085078177</v>
      </c>
      <c r="E36" s="6">
        <f t="shared" si="12"/>
        <v>598.6209475218659</v>
      </c>
      <c r="F36" s="6">
        <f t="shared" si="12"/>
        <v>2959.7036058839121</v>
      </c>
      <c r="G36" s="6">
        <f t="shared" si="12"/>
        <v>496.9142618605884</v>
      </c>
      <c r="H36" s="6">
        <f t="shared" si="12"/>
        <v>5733.2064457990982</v>
      </c>
      <c r="I36" s="6"/>
    </row>
    <row r="37" spans="1:9" x14ac:dyDescent="0.2">
      <c r="A37" s="14" t="s">
        <v>80</v>
      </c>
      <c r="B37" s="6">
        <f t="shared" si="7"/>
        <v>1787</v>
      </c>
      <c r="C37" s="6">
        <f t="shared" ref="C37:H37" si="13">C9/$B$37</f>
        <v>695.19210968102971</v>
      </c>
      <c r="D37" s="6">
        <f t="shared" si="13"/>
        <v>446.28293788472297</v>
      </c>
      <c r="E37" s="6">
        <f t="shared" si="13"/>
        <v>445.16045327364299</v>
      </c>
      <c r="F37" s="6">
        <f t="shared" si="13"/>
        <v>2846.5353889199778</v>
      </c>
      <c r="G37" s="6">
        <f t="shared" si="13"/>
        <v>255.26301622831562</v>
      </c>
      <c r="H37" s="6">
        <f t="shared" si="13"/>
        <v>4688.4339059876893</v>
      </c>
      <c r="I37" s="6"/>
    </row>
    <row r="38" spans="1:9" ht="13.5" thickBot="1" x14ac:dyDescent="0.25">
      <c r="A38" s="15" t="s">
        <v>171</v>
      </c>
      <c r="B38" s="8">
        <f>SUM(B32:B37)</f>
        <v>103022</v>
      </c>
      <c r="C38" s="8">
        <f t="shared" ref="C38:H38" si="14">C10/$B$38</f>
        <v>792.79699801984043</v>
      </c>
      <c r="D38" s="8">
        <f t="shared" si="14"/>
        <v>343.68726572964994</v>
      </c>
      <c r="E38" s="8">
        <f t="shared" si="14"/>
        <v>467.91853875871169</v>
      </c>
      <c r="F38" s="8">
        <f t="shared" si="14"/>
        <v>2599.4741677505776</v>
      </c>
      <c r="G38" s="8">
        <f t="shared" si="14"/>
        <v>477.80928296868632</v>
      </c>
      <c r="H38" s="8">
        <f t="shared" si="14"/>
        <v>4681.6862532274654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18443</v>
      </c>
      <c r="C41" s="6">
        <f t="shared" ref="C41:H41" si="15">C13/$B$41</f>
        <v>1566.0054486797158</v>
      </c>
      <c r="D41" s="6">
        <f t="shared" si="15"/>
        <v>623.39400910914719</v>
      </c>
      <c r="E41" s="6">
        <f t="shared" si="15"/>
        <v>567.82819226806919</v>
      </c>
      <c r="F41" s="6">
        <f t="shared" si="15"/>
        <v>3106.2716060293878</v>
      </c>
      <c r="G41" s="6">
        <f t="shared" si="15"/>
        <v>293.6665710567695</v>
      </c>
      <c r="H41" s="6">
        <f t="shared" si="15"/>
        <v>6157.1658271430888</v>
      </c>
      <c r="I41" s="6"/>
    </row>
    <row r="42" spans="1:9" x14ac:dyDescent="0.2">
      <c r="A42" s="1" t="s">
        <v>82</v>
      </c>
      <c r="B42" s="6">
        <f>B14</f>
        <v>8278</v>
      </c>
      <c r="C42" s="6">
        <f t="shared" ref="C42:H42" si="16">C14/$B$42</f>
        <v>1000.8505001208022</v>
      </c>
      <c r="D42" s="6">
        <f t="shared" si="16"/>
        <v>600.59751872432957</v>
      </c>
      <c r="E42" s="6">
        <f t="shared" si="16"/>
        <v>564.93761174196663</v>
      </c>
      <c r="F42" s="6">
        <f t="shared" si="16"/>
        <v>2999.1140541193527</v>
      </c>
      <c r="G42" s="6">
        <f t="shared" si="16"/>
        <v>525.65745953128783</v>
      </c>
      <c r="H42" s="6">
        <f t="shared" si="16"/>
        <v>5691.157144237739</v>
      </c>
      <c r="I42" s="6"/>
    </row>
    <row r="43" spans="1:9" x14ac:dyDescent="0.2">
      <c r="A43" s="1" t="s">
        <v>83</v>
      </c>
      <c r="B43" s="6">
        <f>B15</f>
        <v>5306</v>
      </c>
      <c r="C43" s="6">
        <f t="shared" ref="C43:H43" si="17">C15/$B$43</f>
        <v>1360.9700094232944</v>
      </c>
      <c r="D43" s="6">
        <f t="shared" si="17"/>
        <v>631.12303618545047</v>
      </c>
      <c r="E43" s="6">
        <f t="shared" si="17"/>
        <v>566.92321522804377</v>
      </c>
      <c r="F43" s="6">
        <f t="shared" si="17"/>
        <v>3202.0622615906518</v>
      </c>
      <c r="G43" s="6">
        <f t="shared" si="17"/>
        <v>321.65490011307952</v>
      </c>
      <c r="H43" s="6">
        <f t="shared" si="17"/>
        <v>6082.7334225405202</v>
      </c>
      <c r="I43" s="6"/>
    </row>
    <row r="44" spans="1:9" x14ac:dyDescent="0.2">
      <c r="A44" s="1" t="s">
        <v>84</v>
      </c>
      <c r="B44" s="6">
        <f>B16</f>
        <v>5862</v>
      </c>
      <c r="C44" s="6">
        <f t="shared" ref="C44:H44" si="18">C16/$B$44</f>
        <v>1384.2101671784374</v>
      </c>
      <c r="D44" s="6">
        <f t="shared" si="18"/>
        <v>911.63209314227231</v>
      </c>
      <c r="E44" s="6">
        <f t="shared" si="18"/>
        <v>774.78214090754011</v>
      </c>
      <c r="F44" s="6">
        <f t="shared" si="18"/>
        <v>3959.0512981917436</v>
      </c>
      <c r="G44" s="6">
        <f t="shared" si="18"/>
        <v>674.44325486182186</v>
      </c>
      <c r="H44" s="6">
        <f t="shared" si="18"/>
        <v>7704.1189542818156</v>
      </c>
      <c r="I44" s="6"/>
    </row>
    <row r="45" spans="1:9" x14ac:dyDescent="0.2">
      <c r="A45" s="14" t="s">
        <v>85</v>
      </c>
      <c r="B45" s="6">
        <f>B17</f>
        <v>2330</v>
      </c>
      <c r="C45" s="6">
        <f t="shared" ref="C45:H45" si="19">C17/$B$45</f>
        <v>2253.7016824034336</v>
      </c>
      <c r="D45" s="6">
        <f t="shared" si="19"/>
        <v>1213.7388240343348</v>
      </c>
      <c r="E45" s="6">
        <f t="shared" si="19"/>
        <v>1014.5201115879828</v>
      </c>
      <c r="F45" s="6">
        <f t="shared" si="19"/>
        <v>5998.5663733905585</v>
      </c>
      <c r="G45" s="6">
        <f t="shared" si="19"/>
        <v>1023.2949484978541</v>
      </c>
      <c r="H45" s="6">
        <f t="shared" si="19"/>
        <v>11503.821939914164</v>
      </c>
      <c r="I45" s="122"/>
    </row>
    <row r="46" spans="1:9" ht="13.5" thickBot="1" x14ac:dyDescent="0.25">
      <c r="A46" s="15" t="s">
        <v>172</v>
      </c>
      <c r="B46" s="8">
        <f>SUM(B41:B45)</f>
        <v>40219</v>
      </c>
      <c r="C46" s="8">
        <f t="shared" ref="C46:H46" si="20">C18/$B$46</f>
        <v>1435.9767950471171</v>
      </c>
      <c r="D46" s="8">
        <f t="shared" si="20"/>
        <v>695.93325517790106</v>
      </c>
      <c r="E46" s="8">
        <f t="shared" si="20"/>
        <v>623.15592754668182</v>
      </c>
      <c r="F46" s="8">
        <f t="shared" si="20"/>
        <v>3388.7066831597008</v>
      </c>
      <c r="G46" s="8">
        <f t="shared" si="20"/>
        <v>442.87648897287346</v>
      </c>
      <c r="H46" s="8">
        <f t="shared" si="20"/>
        <v>6586.6491499042741</v>
      </c>
      <c r="I46" s="122"/>
    </row>
    <row r="47" spans="1:9" ht="13.5" thickTop="1" x14ac:dyDescent="0.2">
      <c r="A47" s="1"/>
      <c r="B47" s="6"/>
      <c r="C47" s="6"/>
      <c r="D47" s="6"/>
      <c r="E47" s="6"/>
      <c r="F47" s="6"/>
      <c r="G47" s="6"/>
      <c r="H47" s="6"/>
      <c r="I47" s="122"/>
    </row>
    <row r="48" spans="1:9" x14ac:dyDescent="0.2">
      <c r="A48" s="1"/>
      <c r="B48" s="6"/>
      <c r="C48" s="6"/>
      <c r="D48" s="6"/>
      <c r="E48" s="6"/>
      <c r="F48" s="6"/>
      <c r="G48" s="6"/>
      <c r="H48" s="6"/>
      <c r="I48" s="122"/>
    </row>
    <row r="49" spans="1:9" x14ac:dyDescent="0.2">
      <c r="A49" s="1" t="s">
        <v>86</v>
      </c>
      <c r="B49" s="6">
        <f>B21</f>
        <v>6151</v>
      </c>
      <c r="C49" s="6">
        <f t="shared" ref="C49:H49" si="21">C21/$B$49</f>
        <v>668.9675402373598</v>
      </c>
      <c r="D49" s="6">
        <f t="shared" si="21"/>
        <v>234.97831572102098</v>
      </c>
      <c r="E49" s="6">
        <f t="shared" si="21"/>
        <v>451.37753373435214</v>
      </c>
      <c r="F49" s="6">
        <f t="shared" si="21"/>
        <v>2869.0051585108113</v>
      </c>
      <c r="G49" s="6">
        <f t="shared" si="21"/>
        <v>434.06397821492436</v>
      </c>
      <c r="H49" s="6">
        <f t="shared" si="21"/>
        <v>4658.3925264184682</v>
      </c>
      <c r="I49" s="122"/>
    </row>
    <row r="50" spans="1:9" x14ac:dyDescent="0.2">
      <c r="A50" s="14" t="s">
        <v>87</v>
      </c>
      <c r="B50" s="6">
        <f>B22</f>
        <v>1679</v>
      </c>
      <c r="C50" s="6">
        <f t="shared" ref="C50:H50" si="22">C22/$B$50</f>
        <v>1382.4445622394283</v>
      </c>
      <c r="D50" s="6">
        <f t="shared" si="22"/>
        <v>746.52557474687308</v>
      </c>
      <c r="E50" s="6">
        <f t="shared" si="22"/>
        <v>742.90730196545564</v>
      </c>
      <c r="F50" s="6">
        <f t="shared" si="22"/>
        <v>3834.1686658725434</v>
      </c>
      <c r="G50" s="6">
        <f t="shared" si="22"/>
        <v>918.4292972007147</v>
      </c>
      <c r="H50" s="6">
        <f t="shared" si="22"/>
        <v>7624.4754020250148</v>
      </c>
      <c r="I50" s="122"/>
    </row>
    <row r="51" spans="1:9" ht="13.5" thickBot="1" x14ac:dyDescent="0.25">
      <c r="A51" s="15" t="s">
        <v>173</v>
      </c>
      <c r="B51" s="8">
        <f>SUM(B49:B50)</f>
        <v>7830</v>
      </c>
      <c r="C51" s="8">
        <f t="shared" ref="C51:H51" si="23">C23/$B$51</f>
        <v>821.95961174968068</v>
      </c>
      <c r="D51" s="8">
        <f t="shared" si="23"/>
        <v>344.67025031928483</v>
      </c>
      <c r="E51" s="8">
        <f t="shared" si="23"/>
        <v>513.8907496807152</v>
      </c>
      <c r="F51" s="8">
        <f t="shared" si="23"/>
        <v>3075.9667841634741</v>
      </c>
      <c r="G51" s="8">
        <f t="shared" si="23"/>
        <v>537.92724393358878</v>
      </c>
      <c r="H51" s="8">
        <f t="shared" si="23"/>
        <v>5294.4146398467428</v>
      </c>
      <c r="I51" s="122"/>
    </row>
    <row r="52" spans="1:9" ht="14.25" thickTop="1" thickBot="1" x14ac:dyDescent="0.25">
      <c r="A52" s="41"/>
      <c r="B52" s="42"/>
      <c r="C52" s="42"/>
      <c r="D52" s="42"/>
      <c r="E52" s="42"/>
      <c r="F52" s="42"/>
      <c r="G52" s="42"/>
      <c r="H52" s="42"/>
      <c r="I52" s="122"/>
    </row>
    <row r="53" spans="1:9" ht="13.5" thickBot="1" x14ac:dyDescent="0.25">
      <c r="A53" s="26" t="s">
        <v>174</v>
      </c>
      <c r="B53" s="27">
        <f>B51+B46+B38</f>
        <v>151071</v>
      </c>
      <c r="C53" s="27">
        <f t="shared" ref="C53:H53" si="24">C25/$B$53</f>
        <v>965.53955961104384</v>
      </c>
      <c r="D53" s="27">
        <f t="shared" si="24"/>
        <v>437.51518914947275</v>
      </c>
      <c r="E53" s="27">
        <f t="shared" si="24"/>
        <v>511.6294756769995</v>
      </c>
      <c r="F53" s="27">
        <f t="shared" si="24"/>
        <v>2834.2848178670956</v>
      </c>
      <c r="G53" s="27">
        <f t="shared" si="24"/>
        <v>471.62518140476993</v>
      </c>
      <c r="H53" s="27">
        <f t="shared" si="24"/>
        <v>5220.5942237093814</v>
      </c>
      <c r="I53" s="122"/>
    </row>
    <row r="54" spans="1:9" ht="13.5" thickTop="1" x14ac:dyDescent="0.2">
      <c r="A54" s="1"/>
      <c r="B54" s="6"/>
      <c r="C54" s="6"/>
      <c r="D54" s="6"/>
      <c r="E54" s="6"/>
      <c r="F54" s="6"/>
      <c r="G54" s="6"/>
      <c r="H54" s="6"/>
    </row>
    <row r="55" spans="1:9" x14ac:dyDescent="0.2">
      <c r="A55" s="1"/>
      <c r="B55" s="6"/>
      <c r="C55" s="6"/>
      <c r="D55" s="6"/>
      <c r="E55" s="6"/>
      <c r="F55" s="6"/>
      <c r="G55" s="6"/>
      <c r="H55" s="6"/>
    </row>
    <row r="56" spans="1:9" x14ac:dyDescent="0.2">
      <c r="A56" s="36" t="s">
        <v>200</v>
      </c>
      <c r="B56" s="1"/>
      <c r="C56" s="1"/>
      <c r="D56" s="1"/>
      <c r="E56" s="1"/>
      <c r="F56" s="1"/>
      <c r="G56" s="1"/>
      <c r="H56" s="1"/>
    </row>
    <row r="57" spans="1:9" x14ac:dyDescent="0.2">
      <c r="A57" s="36" t="s">
        <v>394</v>
      </c>
      <c r="B57" s="1"/>
      <c r="C57" s="1"/>
      <c r="D57" s="1"/>
      <c r="E57" s="1"/>
      <c r="F57" s="1"/>
      <c r="G57" s="1"/>
      <c r="H57" s="1"/>
    </row>
    <row r="58" spans="1:9" ht="33.75" x14ac:dyDescent="0.2">
      <c r="A58" s="167" t="s">
        <v>245</v>
      </c>
      <c r="B58" s="160" t="s">
        <v>349</v>
      </c>
      <c r="C58" s="141" t="s">
        <v>388</v>
      </c>
      <c r="D58" s="141" t="s">
        <v>389</v>
      </c>
      <c r="E58" s="141" t="s">
        <v>390</v>
      </c>
      <c r="F58" s="141" t="s">
        <v>391</v>
      </c>
      <c r="G58" s="141" t="s">
        <v>392</v>
      </c>
      <c r="H58" s="160" t="s">
        <v>393</v>
      </c>
    </row>
    <row r="59" spans="1:9" x14ac:dyDescent="0.2">
      <c r="A59" s="1" t="s">
        <v>102</v>
      </c>
      <c r="B59" s="6">
        <f>B4</f>
        <v>39396</v>
      </c>
      <c r="C59" s="9">
        <f>C4/H4</f>
        <v>0.19595965906073165</v>
      </c>
      <c r="D59" s="9">
        <f t="shared" ref="D59:D64" si="25">D32/H32</f>
        <v>6.1961676343729448E-2</v>
      </c>
      <c r="E59" s="9">
        <f t="shared" ref="E59:E64" si="26">E32/H32</f>
        <v>0.10038621711782077</v>
      </c>
      <c r="F59" s="9">
        <f t="shared" ref="F59:F64" si="27">F32/H32</f>
        <v>0.57586716704776364</v>
      </c>
      <c r="G59" s="9">
        <f t="shared" ref="G59:G64" si="28">G32/H32</f>
        <v>6.5825280429954516E-2</v>
      </c>
      <c r="H59" s="28">
        <f>SUM(C59:G59)</f>
        <v>1</v>
      </c>
    </row>
    <row r="60" spans="1:9" x14ac:dyDescent="0.2">
      <c r="A60" s="1" t="s">
        <v>76</v>
      </c>
      <c r="B60" s="6">
        <f t="shared" ref="B60:B80" si="29">B5</f>
        <v>23853</v>
      </c>
      <c r="C60" s="9">
        <f t="shared" ref="C60:C65" si="30">C33/H33</f>
        <v>0.14225121068038268</v>
      </c>
      <c r="D60" s="9">
        <f t="shared" si="25"/>
        <v>7.3359606913130759E-2</v>
      </c>
      <c r="E60" s="9">
        <f t="shared" si="26"/>
        <v>0.10100453083446884</v>
      </c>
      <c r="F60" s="9">
        <f t="shared" si="27"/>
        <v>0.55186566223470357</v>
      </c>
      <c r="G60" s="9">
        <f t="shared" si="28"/>
        <v>0.13151898933731421</v>
      </c>
      <c r="H60" s="28">
        <f t="shared" ref="H60:H80" si="31">SUM(C60:G60)</f>
        <v>1</v>
      </c>
    </row>
    <row r="61" spans="1:9" x14ac:dyDescent="0.2">
      <c r="A61" s="1" t="s">
        <v>77</v>
      </c>
      <c r="B61" s="6">
        <f t="shared" si="29"/>
        <v>15381</v>
      </c>
      <c r="C61" s="9">
        <f t="shared" si="30"/>
        <v>0.15538139653848018</v>
      </c>
      <c r="D61" s="9">
        <f t="shared" si="25"/>
        <v>6.9008421716594937E-2</v>
      </c>
      <c r="E61" s="9">
        <f t="shared" si="26"/>
        <v>0.10034646907115198</v>
      </c>
      <c r="F61" s="9">
        <f t="shared" si="27"/>
        <v>0.53068366961008728</v>
      </c>
      <c r="G61" s="9">
        <f t="shared" si="28"/>
        <v>0.14458004306368555</v>
      </c>
      <c r="H61" s="28">
        <f t="shared" si="31"/>
        <v>0.99999999999999989</v>
      </c>
    </row>
    <row r="62" spans="1:9" x14ac:dyDescent="0.2">
      <c r="A62" s="1" t="s">
        <v>78</v>
      </c>
      <c r="B62" s="6">
        <f t="shared" si="29"/>
        <v>15059</v>
      </c>
      <c r="C62" s="9">
        <f t="shared" si="30"/>
        <v>0.15757614478204271</v>
      </c>
      <c r="D62" s="9">
        <f t="shared" si="25"/>
        <v>7.7477822328020196E-2</v>
      </c>
      <c r="E62" s="9">
        <f t="shared" si="26"/>
        <v>9.4837703897200296E-2</v>
      </c>
      <c r="F62" s="9">
        <f t="shared" si="27"/>
        <v>0.55166187653729737</v>
      </c>
      <c r="G62" s="9">
        <f t="shared" si="28"/>
        <v>0.11844645245543935</v>
      </c>
      <c r="H62" s="28">
        <f t="shared" si="31"/>
        <v>1</v>
      </c>
    </row>
    <row r="63" spans="1:9" x14ac:dyDescent="0.2">
      <c r="A63" s="1" t="s">
        <v>79</v>
      </c>
      <c r="B63" s="6">
        <f t="shared" si="29"/>
        <v>7546</v>
      </c>
      <c r="C63" s="9">
        <f t="shared" si="30"/>
        <v>0.17618838763814285</v>
      </c>
      <c r="D63" s="9">
        <f t="shared" si="25"/>
        <v>0.11648686248515115</v>
      </c>
      <c r="E63" s="9">
        <f t="shared" si="26"/>
        <v>0.10441294120160184</v>
      </c>
      <c r="F63" s="9">
        <f t="shared" si="27"/>
        <v>0.51623879828234354</v>
      </c>
      <c r="G63" s="9">
        <f t="shared" si="28"/>
        <v>8.6673010392760791E-2</v>
      </c>
      <c r="H63" s="28">
        <f t="shared" si="31"/>
        <v>1.0000000000000002</v>
      </c>
    </row>
    <row r="64" spans="1:9" x14ac:dyDescent="0.2">
      <c r="A64" s="14" t="s">
        <v>80</v>
      </c>
      <c r="B64" s="7">
        <f t="shared" si="29"/>
        <v>1787</v>
      </c>
      <c r="C64" s="9">
        <f t="shared" si="30"/>
        <v>0.14827810813184045</v>
      </c>
      <c r="D64" s="9">
        <f t="shared" si="25"/>
        <v>9.5188062119158048E-2</v>
      </c>
      <c r="E64" s="9">
        <f t="shared" si="26"/>
        <v>9.4948646435032383E-2</v>
      </c>
      <c r="F64" s="9">
        <f t="shared" si="27"/>
        <v>0.60713992049341092</v>
      </c>
      <c r="G64" s="9">
        <f t="shared" si="28"/>
        <v>5.4445262820558123E-2</v>
      </c>
      <c r="H64" s="28">
        <f t="shared" si="31"/>
        <v>0.99999999999999989</v>
      </c>
    </row>
    <row r="65" spans="1:8" ht="13.5" thickBot="1" x14ac:dyDescent="0.25">
      <c r="A65" s="15" t="s">
        <v>171</v>
      </c>
      <c r="B65" s="27">
        <f t="shared" si="29"/>
        <v>103022</v>
      </c>
      <c r="C65" s="11">
        <f t="shared" si="30"/>
        <v>0.16934005295064386</v>
      </c>
      <c r="D65" s="11">
        <f>D38/H38</f>
        <v>7.341099918703832E-2</v>
      </c>
      <c r="E65" s="11">
        <f>E38/H38</f>
        <v>9.9946581947078908E-2</v>
      </c>
      <c r="F65" s="11">
        <f>F38/H38</f>
        <v>0.55524313829414551</v>
      </c>
      <c r="G65" s="11">
        <f>G38/H38</f>
        <v>0.10205922762109351</v>
      </c>
      <c r="H65" s="28">
        <f t="shared" si="31"/>
        <v>1</v>
      </c>
    </row>
    <row r="66" spans="1:8" ht="13.5" thickTop="1" x14ac:dyDescent="0.2">
      <c r="A66" s="1"/>
      <c r="B66" s="6"/>
      <c r="C66" s="6"/>
      <c r="D66" s="6"/>
      <c r="E66" s="6"/>
      <c r="F66" s="6"/>
      <c r="G66" s="6"/>
      <c r="H66" s="28"/>
    </row>
    <row r="67" spans="1:8" x14ac:dyDescent="0.2">
      <c r="A67" s="1"/>
      <c r="B67" s="6"/>
      <c r="C67" s="6"/>
      <c r="D67" s="6"/>
      <c r="E67" s="6"/>
      <c r="F67" s="6"/>
      <c r="G67" s="6"/>
      <c r="H67" s="28"/>
    </row>
    <row r="68" spans="1:8" x14ac:dyDescent="0.2">
      <c r="A68" s="1" t="s">
        <v>81</v>
      </c>
      <c r="B68" s="6">
        <f t="shared" si="29"/>
        <v>18443</v>
      </c>
      <c r="C68" s="9">
        <f t="shared" ref="C68:C73" si="32">C41/H41</f>
        <v>0.25433868319352038</v>
      </c>
      <c r="D68" s="9">
        <f t="shared" ref="D68:D73" si="33">D41/H41</f>
        <v>0.10124690914787342</v>
      </c>
      <c r="E68" s="9">
        <f t="shared" ref="E68:E73" si="34">E41/H41</f>
        <v>9.2222332191358281E-2</v>
      </c>
      <c r="F68" s="9">
        <f t="shared" ref="F68:F73" si="35">F41/H41</f>
        <v>0.50449698663884956</v>
      </c>
      <c r="G68" s="9">
        <f t="shared" ref="G68:G73" si="36">G41/H41</f>
        <v>4.7695088828398527E-2</v>
      </c>
      <c r="H68" s="28">
        <f t="shared" si="31"/>
        <v>1.0000000000000002</v>
      </c>
    </row>
    <row r="69" spans="1:8" x14ac:dyDescent="0.2">
      <c r="A69" s="1" t="s">
        <v>82</v>
      </c>
      <c r="B69" s="6">
        <f t="shared" si="29"/>
        <v>8278</v>
      </c>
      <c r="C69" s="9">
        <f t="shared" si="32"/>
        <v>0.17586063339230706</v>
      </c>
      <c r="D69" s="9">
        <f t="shared" si="33"/>
        <v>0.10553170532857818</v>
      </c>
      <c r="E69" s="9">
        <f t="shared" si="34"/>
        <v>9.9265860601646258E-2</v>
      </c>
      <c r="F69" s="9">
        <f t="shared" si="35"/>
        <v>0.52697790240354492</v>
      </c>
      <c r="G69" s="9">
        <f t="shared" si="36"/>
        <v>9.2363898273923564E-2</v>
      </c>
      <c r="H69" s="28">
        <f t="shared" si="31"/>
        <v>1</v>
      </c>
    </row>
    <row r="70" spans="1:8" x14ac:dyDescent="0.2">
      <c r="A70" s="1" t="s">
        <v>83</v>
      </c>
      <c r="B70" s="6">
        <f t="shared" si="29"/>
        <v>5306</v>
      </c>
      <c r="C70" s="9">
        <f t="shared" si="32"/>
        <v>0.22374316197714783</v>
      </c>
      <c r="D70" s="9">
        <f t="shared" si="33"/>
        <v>0.10375648451841163</v>
      </c>
      <c r="E70" s="9">
        <f t="shared" si="34"/>
        <v>9.3202048461834788E-2</v>
      </c>
      <c r="F70" s="9">
        <f t="shared" si="35"/>
        <v>0.52641831215632584</v>
      </c>
      <c r="G70" s="9">
        <f t="shared" si="36"/>
        <v>5.287999288627987E-2</v>
      </c>
      <c r="H70" s="28">
        <f t="shared" si="31"/>
        <v>0.99999999999999989</v>
      </c>
    </row>
    <row r="71" spans="1:8" x14ac:dyDescent="0.2">
      <c r="A71" s="1" t="s">
        <v>84</v>
      </c>
      <c r="B71" s="6">
        <f t="shared" si="29"/>
        <v>5862</v>
      </c>
      <c r="C71" s="9">
        <f t="shared" si="32"/>
        <v>0.17967144269094099</v>
      </c>
      <c r="D71" s="9">
        <f t="shared" si="33"/>
        <v>0.11833047990978943</v>
      </c>
      <c r="E71" s="9">
        <f t="shared" si="34"/>
        <v>0.10056726090358842</v>
      </c>
      <c r="F71" s="9">
        <f t="shared" si="35"/>
        <v>0.51388761280631212</v>
      </c>
      <c r="G71" s="9">
        <f t="shared" si="36"/>
        <v>8.7543203689369048E-2</v>
      </c>
      <c r="H71" s="28">
        <f t="shared" si="31"/>
        <v>1</v>
      </c>
    </row>
    <row r="72" spans="1:8" x14ac:dyDescent="0.2">
      <c r="A72" s="14" t="s">
        <v>85</v>
      </c>
      <c r="B72" s="7">
        <f t="shared" si="29"/>
        <v>2330</v>
      </c>
      <c r="C72" s="9">
        <f t="shared" si="32"/>
        <v>0.19590895044923215</v>
      </c>
      <c r="D72" s="9">
        <f t="shared" si="33"/>
        <v>0.10550744182010446</v>
      </c>
      <c r="E72" s="9">
        <f t="shared" si="34"/>
        <v>8.8189830900281888E-2</v>
      </c>
      <c r="F72" s="9">
        <f t="shared" si="35"/>
        <v>0.5214411701364805</v>
      </c>
      <c r="G72" s="9">
        <f t="shared" si="36"/>
        <v>8.8952606693901023E-2</v>
      </c>
      <c r="H72" s="28">
        <f t="shared" si="31"/>
        <v>1</v>
      </c>
    </row>
    <row r="73" spans="1:8" ht="13.5" thickBot="1" x14ac:dyDescent="0.25">
      <c r="A73" s="15" t="s">
        <v>172</v>
      </c>
      <c r="B73" s="27">
        <f t="shared" si="29"/>
        <v>40219</v>
      </c>
      <c r="C73" s="11">
        <f t="shared" si="32"/>
        <v>0.21801325110325431</v>
      </c>
      <c r="D73" s="11">
        <f t="shared" si="33"/>
        <v>0.10565816386136422</v>
      </c>
      <c r="E73" s="11">
        <f t="shared" si="34"/>
        <v>9.4608945059072774E-2</v>
      </c>
      <c r="F73" s="11">
        <f t="shared" si="35"/>
        <v>0.51448112781427713</v>
      </c>
      <c r="G73" s="11">
        <f t="shared" si="36"/>
        <v>6.7238512162031569E-2</v>
      </c>
      <c r="H73" s="28">
        <f t="shared" si="31"/>
        <v>1</v>
      </c>
    </row>
    <row r="74" spans="1:8" ht="13.5" thickTop="1" x14ac:dyDescent="0.2">
      <c r="A74" s="1"/>
      <c r="B74" s="6"/>
      <c r="C74" s="6"/>
      <c r="D74" s="6"/>
      <c r="E74" s="6"/>
      <c r="F74" s="6"/>
      <c r="G74" s="6"/>
      <c r="H74" s="28"/>
    </row>
    <row r="75" spans="1:8" x14ac:dyDescent="0.2">
      <c r="A75" s="1"/>
      <c r="B75" s="6"/>
      <c r="C75" s="6"/>
      <c r="D75" s="6"/>
      <c r="E75" s="6"/>
      <c r="F75" s="6"/>
      <c r="G75" s="6"/>
      <c r="H75" s="28"/>
    </row>
    <row r="76" spans="1:8" x14ac:dyDescent="0.2">
      <c r="A76" s="1" t="s">
        <v>86</v>
      </c>
      <c r="B76" s="6">
        <f t="shared" si="29"/>
        <v>6151</v>
      </c>
      <c r="C76" s="9">
        <f>C49/H49</f>
        <v>0.14360480282491028</v>
      </c>
      <c r="D76" s="9">
        <f>D49/H49</f>
        <v>5.0441931286043934E-2</v>
      </c>
      <c r="E76" s="9">
        <f>E49/H49</f>
        <v>9.6895555961529642E-2</v>
      </c>
      <c r="F76" s="9">
        <f>F49/H49</f>
        <v>0.61587879128695944</v>
      </c>
      <c r="G76" s="9">
        <f>G49/H49</f>
        <v>9.3178918640556815E-2</v>
      </c>
      <c r="H76" s="28">
        <f t="shared" si="31"/>
        <v>1</v>
      </c>
    </row>
    <row r="77" spans="1:8" x14ac:dyDescent="0.2">
      <c r="A77" s="14" t="s">
        <v>87</v>
      </c>
      <c r="B77" s="7">
        <f t="shared" si="29"/>
        <v>1679</v>
      </c>
      <c r="C77" s="9">
        <f>C50/H50</f>
        <v>0.18131667942325044</v>
      </c>
      <c r="D77" s="9">
        <f>D50/H50</f>
        <v>9.7911729710427081E-2</v>
      </c>
      <c r="E77" s="9">
        <f>E50/H50</f>
        <v>9.743716948291864E-2</v>
      </c>
      <c r="F77" s="9">
        <f>F50/H50</f>
        <v>0.50287639000766027</v>
      </c>
      <c r="G77" s="9">
        <f>G50/H50</f>
        <v>0.12045803137574362</v>
      </c>
      <c r="H77" s="28">
        <f t="shared" si="31"/>
        <v>1</v>
      </c>
    </row>
    <row r="78" spans="1:8" ht="13.5" thickBot="1" x14ac:dyDescent="0.25">
      <c r="A78" s="15" t="s">
        <v>173</v>
      </c>
      <c r="B78" s="27">
        <f t="shared" si="29"/>
        <v>7830</v>
      </c>
      <c r="C78" s="11">
        <f>C51/H51</f>
        <v>0.15525032844300873</v>
      </c>
      <c r="D78" s="11">
        <f>D51/H51</f>
        <v>6.51007285536786E-2</v>
      </c>
      <c r="E78" s="11">
        <f>E51/H51</f>
        <v>9.7062807626187506E-2</v>
      </c>
      <c r="F78" s="11">
        <f>F51/H51</f>
        <v>0.58098335574497317</v>
      </c>
      <c r="G78" s="11">
        <f>G51/H51</f>
        <v>0.10160277963215214</v>
      </c>
      <c r="H78" s="28">
        <f t="shared" si="31"/>
        <v>1.0000000000000002</v>
      </c>
    </row>
    <row r="79" spans="1:8" ht="14.25" thickTop="1" thickBot="1" x14ac:dyDescent="0.25">
      <c r="A79" s="41"/>
      <c r="B79" s="25"/>
      <c r="C79" s="25"/>
      <c r="D79" s="25"/>
      <c r="E79" s="25"/>
      <c r="F79" s="25"/>
      <c r="G79" s="25"/>
      <c r="H79" s="6"/>
    </row>
    <row r="80" spans="1:8" ht="13.5" thickBot="1" x14ac:dyDescent="0.25">
      <c r="A80" s="26" t="s">
        <v>208</v>
      </c>
      <c r="B80" s="39">
        <f t="shared" si="29"/>
        <v>151071</v>
      </c>
      <c r="C80" s="45">
        <f>C53/H53</f>
        <v>0.18494821053627117</v>
      </c>
      <c r="D80" s="45">
        <f>D53/H53</f>
        <v>8.3805630240805368E-2</v>
      </c>
      <c r="E80" s="45">
        <f>E53/H53</f>
        <v>9.8002153347492335E-2</v>
      </c>
      <c r="F80" s="45">
        <f>F53/H53</f>
        <v>0.54290463813394318</v>
      </c>
      <c r="G80" s="45">
        <f>G53/H53</f>
        <v>9.0339367741488014E-2</v>
      </c>
      <c r="H80" s="28">
        <f t="shared" si="31"/>
        <v>1.0000000000000002</v>
      </c>
    </row>
    <row r="81" spans="1:8" ht="13.5" thickTop="1" x14ac:dyDescent="0.2">
      <c r="A81" s="1"/>
      <c r="B81" s="6"/>
      <c r="C81" s="1"/>
      <c r="D81" s="1"/>
      <c r="E81" s="1"/>
      <c r="F81" s="1"/>
      <c r="G81" s="1"/>
      <c r="H81" s="1"/>
    </row>
    <row r="82" spans="1:8" x14ac:dyDescent="0.2">
      <c r="A82" s="1"/>
      <c r="B82" s="1"/>
      <c r="C82" s="1"/>
      <c r="D82" s="1"/>
      <c r="E82" s="1"/>
      <c r="F82" s="1"/>
      <c r="G82" s="1"/>
      <c r="H82" s="1"/>
    </row>
  </sheetData>
  <phoneticPr fontId="7"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I82"/>
  <sheetViews>
    <sheetView workbookViewId="0">
      <selection activeCell="C32" sqref="C32"/>
    </sheetView>
  </sheetViews>
  <sheetFormatPr defaultRowHeight="12.75" x14ac:dyDescent="0.2"/>
  <cols>
    <col min="1" max="1" width="21.140625" customWidth="1"/>
    <col min="3" max="4" width="9.5703125" bestFit="1" customWidth="1"/>
    <col min="6" max="7" width="9.5703125" bestFit="1" customWidth="1"/>
    <col min="8" max="8" width="10.85546875" bestFit="1" customWidth="1"/>
  </cols>
  <sheetData>
    <row r="1" spans="1:9" x14ac:dyDescent="0.2">
      <c r="A1" s="36" t="s">
        <v>200</v>
      </c>
    </row>
    <row r="2" spans="1:9" x14ac:dyDescent="0.2">
      <c r="A2" s="36" t="s">
        <v>378</v>
      </c>
    </row>
    <row r="3" spans="1:9" ht="33.75" x14ac:dyDescent="0.2">
      <c r="A3" s="167" t="s">
        <v>245</v>
      </c>
      <c r="B3" s="160" t="s">
        <v>334</v>
      </c>
      <c r="C3" s="141" t="s">
        <v>379</v>
      </c>
      <c r="D3" s="141" t="s">
        <v>380</v>
      </c>
      <c r="E3" s="141" t="s">
        <v>381</v>
      </c>
      <c r="F3" s="141" t="s">
        <v>382</v>
      </c>
      <c r="G3" s="141" t="s">
        <v>384</v>
      </c>
      <c r="H3" s="160" t="s">
        <v>383</v>
      </c>
      <c r="I3" s="141" t="s">
        <v>441</v>
      </c>
    </row>
    <row r="4" spans="1:9" x14ac:dyDescent="0.2">
      <c r="A4" s="1" t="s">
        <v>102</v>
      </c>
      <c r="B4" s="6">
        <v>38593</v>
      </c>
      <c r="C4" s="6">
        <v>30098376.969999999</v>
      </c>
      <c r="D4" s="6">
        <v>27901014.559999999</v>
      </c>
      <c r="E4" s="6">
        <v>16717885.65</v>
      </c>
      <c r="F4" s="6">
        <v>83032253.280000001</v>
      </c>
      <c r="G4" s="6">
        <v>10494388.82</v>
      </c>
      <c r="H4" s="6">
        <f t="shared" ref="H4:H9" si="0">SUM(C4:G4)</f>
        <v>168243919.28</v>
      </c>
      <c r="I4" s="6">
        <f>H4/B4</f>
        <v>4359.4413308112871</v>
      </c>
    </row>
    <row r="5" spans="1:9" x14ac:dyDescent="0.2">
      <c r="A5" s="1" t="s">
        <v>76</v>
      </c>
      <c r="B5" s="6">
        <v>25666</v>
      </c>
      <c r="C5" s="6">
        <v>16805093.18</v>
      </c>
      <c r="D5" s="6">
        <v>25169322.719999999</v>
      </c>
      <c r="E5" s="6">
        <v>9804000.9499999993</v>
      </c>
      <c r="F5" s="6">
        <v>50006877.740000002</v>
      </c>
      <c r="G5" s="6">
        <v>14849641.17</v>
      </c>
      <c r="H5" s="6">
        <f t="shared" si="0"/>
        <v>116634935.76000001</v>
      </c>
      <c r="I5" s="6">
        <f t="shared" ref="I5:I10" si="1">H5/B5</f>
        <v>4544.3363110730152</v>
      </c>
    </row>
    <row r="6" spans="1:9" x14ac:dyDescent="0.2">
      <c r="A6" s="1" t="s">
        <v>77</v>
      </c>
      <c r="B6" s="6">
        <v>16248</v>
      </c>
      <c r="C6" s="6">
        <v>11254840.779999999</v>
      </c>
      <c r="D6" s="6">
        <v>17779720.370000001</v>
      </c>
      <c r="E6" s="6">
        <v>7308960.3899999997</v>
      </c>
      <c r="F6" s="6">
        <v>29448896.690000001</v>
      </c>
      <c r="G6" s="6">
        <v>9774635.9199999999</v>
      </c>
      <c r="H6" s="6">
        <f t="shared" si="0"/>
        <v>75567054.150000006</v>
      </c>
      <c r="I6" s="6">
        <f t="shared" si="1"/>
        <v>4650.8526680206796</v>
      </c>
    </row>
    <row r="7" spans="1:9" x14ac:dyDescent="0.2">
      <c r="A7" s="1" t="s">
        <v>78</v>
      </c>
      <c r="B7" s="6">
        <v>15588</v>
      </c>
      <c r="C7" s="6">
        <v>12565644.57</v>
      </c>
      <c r="D7" s="6">
        <v>19359929.079999998</v>
      </c>
      <c r="E7" s="6">
        <v>7415338.6399999997</v>
      </c>
      <c r="F7" s="6">
        <v>29251160.41</v>
      </c>
      <c r="G7" s="6">
        <v>8169665.1299999999</v>
      </c>
      <c r="H7" s="6">
        <f t="shared" si="0"/>
        <v>76761737.829999998</v>
      </c>
      <c r="I7" s="6">
        <f t="shared" si="1"/>
        <v>4924.4122292789325</v>
      </c>
    </row>
    <row r="8" spans="1:9" x14ac:dyDescent="0.2">
      <c r="A8" s="1" t="s">
        <v>79</v>
      </c>
      <c r="B8" s="6">
        <v>8372</v>
      </c>
      <c r="C8" s="6">
        <v>8619208.0299999993</v>
      </c>
      <c r="D8" s="6">
        <v>12528296.33</v>
      </c>
      <c r="E8" s="6">
        <v>4858998.8600000003</v>
      </c>
      <c r="F8" s="6">
        <v>17023750.420000002</v>
      </c>
      <c r="G8" s="6">
        <v>4822901.75</v>
      </c>
      <c r="H8" s="6">
        <f t="shared" si="0"/>
        <v>47853155.390000001</v>
      </c>
      <c r="I8" s="6">
        <f t="shared" si="1"/>
        <v>5715.8570699952224</v>
      </c>
    </row>
    <row r="9" spans="1:9" x14ac:dyDescent="0.2">
      <c r="A9" s="14" t="s">
        <v>80</v>
      </c>
      <c r="B9" s="6">
        <v>2111</v>
      </c>
      <c r="C9" s="6">
        <v>1970686.43</v>
      </c>
      <c r="D9" s="6">
        <v>3186032.51</v>
      </c>
      <c r="E9" s="6">
        <v>1008618.08</v>
      </c>
      <c r="F9" s="6">
        <v>4029806.98</v>
      </c>
      <c r="G9" s="6">
        <v>622268.92000000004</v>
      </c>
      <c r="H9" s="6">
        <f t="shared" si="0"/>
        <v>10817412.92</v>
      </c>
      <c r="I9" s="6">
        <f t="shared" si="1"/>
        <v>5124.3073993368071</v>
      </c>
    </row>
    <row r="10" spans="1:9" ht="13.5" thickBot="1" x14ac:dyDescent="0.25">
      <c r="A10" s="15" t="s">
        <v>171</v>
      </c>
      <c r="B10" s="8">
        <f t="shared" ref="B10:H10" si="2">SUM(B4:B9)</f>
        <v>106578</v>
      </c>
      <c r="C10" s="8">
        <f t="shared" si="2"/>
        <v>81313849.960000008</v>
      </c>
      <c r="D10" s="8">
        <f t="shared" si="2"/>
        <v>105924315.57000001</v>
      </c>
      <c r="E10" s="8">
        <f t="shared" si="2"/>
        <v>47113802.57</v>
      </c>
      <c r="F10" s="8">
        <f t="shared" si="2"/>
        <v>212792745.52000001</v>
      </c>
      <c r="G10" s="8">
        <f t="shared" si="2"/>
        <v>48733501.710000008</v>
      </c>
      <c r="H10" s="8">
        <f t="shared" si="2"/>
        <v>495878215.33000004</v>
      </c>
      <c r="I10" s="8">
        <f t="shared" si="1"/>
        <v>4652.7258470791348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18182</v>
      </c>
      <c r="C13" s="6">
        <v>25596811.120000001</v>
      </c>
      <c r="D13" s="6">
        <v>23315144.030000001</v>
      </c>
      <c r="E13" s="6">
        <v>10479409.970000001</v>
      </c>
      <c r="F13" s="6">
        <v>43145740.140000001</v>
      </c>
      <c r="G13" s="6">
        <v>5266776.17</v>
      </c>
      <c r="H13" s="6">
        <f>SUM(C13:G13)</f>
        <v>107803881.43000001</v>
      </c>
      <c r="I13" s="6">
        <f t="shared" ref="I13:I18" si="3">H13/B13</f>
        <v>5929.154187108129</v>
      </c>
    </row>
    <row r="14" spans="1:9" x14ac:dyDescent="0.2">
      <c r="A14" s="1" t="s">
        <v>82</v>
      </c>
      <c r="B14" s="6">
        <v>8311</v>
      </c>
      <c r="C14" s="6">
        <v>10171588.35</v>
      </c>
      <c r="D14" s="6">
        <v>12492154.560000001</v>
      </c>
      <c r="E14" s="6">
        <v>4254743.53</v>
      </c>
      <c r="F14" s="6">
        <v>18199914.530000001</v>
      </c>
      <c r="G14" s="6">
        <v>2394215.11</v>
      </c>
      <c r="H14" s="6">
        <f>SUM(C14:G14)</f>
        <v>47512616.079999998</v>
      </c>
      <c r="I14" s="6">
        <f t="shared" si="3"/>
        <v>5716.8350475273728</v>
      </c>
    </row>
    <row r="15" spans="1:9" x14ac:dyDescent="0.2">
      <c r="A15" s="1" t="s">
        <v>83</v>
      </c>
      <c r="B15" s="6">
        <v>5201</v>
      </c>
      <c r="C15" s="6">
        <v>9312983.6099999994</v>
      </c>
      <c r="D15" s="6">
        <v>9575716.7100000009</v>
      </c>
      <c r="E15" s="6">
        <v>2757646.2</v>
      </c>
      <c r="F15" s="6">
        <v>11009048.5</v>
      </c>
      <c r="G15" s="6">
        <v>3517224.69</v>
      </c>
      <c r="H15" s="6">
        <f>SUM(C15:G15)</f>
        <v>36172619.710000001</v>
      </c>
      <c r="I15" s="6">
        <f t="shared" si="3"/>
        <v>6954.93553355124</v>
      </c>
    </row>
    <row r="16" spans="1:9" x14ac:dyDescent="0.2">
      <c r="A16" s="1" t="s">
        <v>84</v>
      </c>
      <c r="B16" s="6">
        <v>7332</v>
      </c>
      <c r="C16" s="6">
        <v>8971040.9600000009</v>
      </c>
      <c r="D16" s="6">
        <v>15709382.07</v>
      </c>
      <c r="E16" s="6">
        <v>5521477.4900000002</v>
      </c>
      <c r="F16" s="6">
        <v>19659799.920000002</v>
      </c>
      <c r="G16" s="6">
        <v>5396267.0099999998</v>
      </c>
      <c r="H16" s="6">
        <f>SUM(C16:G16)</f>
        <v>55257967.450000003</v>
      </c>
      <c r="I16" s="6">
        <f t="shared" si="3"/>
        <v>7536.5476609383531</v>
      </c>
    </row>
    <row r="17" spans="1:9" x14ac:dyDescent="0.2">
      <c r="A17" s="14" t="s">
        <v>85</v>
      </c>
      <c r="B17" s="6">
        <v>2864</v>
      </c>
      <c r="C17" s="6">
        <v>6876363.2599999998</v>
      </c>
      <c r="D17" s="6">
        <v>9326570.25</v>
      </c>
      <c r="E17" s="6">
        <v>2875410.96</v>
      </c>
      <c r="F17" s="6">
        <v>11297084.439999999</v>
      </c>
      <c r="G17" s="6">
        <v>2196408.71</v>
      </c>
      <c r="H17" s="6">
        <f>SUM(C17:G17)</f>
        <v>32571837.619999997</v>
      </c>
      <c r="I17" s="6">
        <f t="shared" si="3"/>
        <v>11372.848331005585</v>
      </c>
    </row>
    <row r="18" spans="1:9" ht="13.5" thickBot="1" x14ac:dyDescent="0.25">
      <c r="A18" s="15" t="s">
        <v>172</v>
      </c>
      <c r="B18" s="8">
        <f>SUM(B13:B17)</f>
        <v>41890</v>
      </c>
      <c r="C18" s="8">
        <f t="shared" ref="C18:H18" si="4">SUM(C13:C17)</f>
        <v>60928787.299999997</v>
      </c>
      <c r="D18" s="8">
        <f t="shared" si="4"/>
        <v>70418967.620000005</v>
      </c>
      <c r="E18" s="8">
        <f t="shared" si="4"/>
        <v>25888688.149999999</v>
      </c>
      <c r="F18" s="8">
        <f t="shared" si="4"/>
        <v>103311587.53</v>
      </c>
      <c r="G18" s="8">
        <f t="shared" si="4"/>
        <v>18770891.689999998</v>
      </c>
      <c r="H18" s="8">
        <f t="shared" si="4"/>
        <v>279318922.29000002</v>
      </c>
      <c r="I18" s="8">
        <f t="shared" si="3"/>
        <v>6667.9141153019818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177"/>
      <c r="B24" s="178"/>
      <c r="C24" s="178"/>
      <c r="D24" s="178"/>
      <c r="E24" s="178"/>
      <c r="F24" s="178"/>
      <c r="G24" s="178"/>
      <c r="H24" s="178"/>
      <c r="I24" s="6"/>
    </row>
    <row r="25" spans="1:9" ht="13.5" thickBot="1" x14ac:dyDescent="0.25">
      <c r="A25" s="15" t="s">
        <v>174</v>
      </c>
      <c r="B25" s="8">
        <f>B23+B18+B10</f>
        <v>148468</v>
      </c>
      <c r="C25" s="8">
        <f t="shared" ref="C25:H25" si="5">C23+C18+C10</f>
        <v>142242637.25999999</v>
      </c>
      <c r="D25" s="8">
        <f t="shared" si="5"/>
        <v>176343283.19</v>
      </c>
      <c r="E25" s="8">
        <f t="shared" si="5"/>
        <v>73002490.719999999</v>
      </c>
      <c r="F25" s="8">
        <f t="shared" si="5"/>
        <v>316104333.05000001</v>
      </c>
      <c r="G25" s="8">
        <f t="shared" si="5"/>
        <v>67504393.400000006</v>
      </c>
      <c r="H25" s="8">
        <f t="shared" si="5"/>
        <v>775197137.62000012</v>
      </c>
      <c r="I25" s="8">
        <f>H25/B25</f>
        <v>5221.3078752323745</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386</v>
      </c>
      <c r="B29" s="6"/>
      <c r="C29" s="1"/>
      <c r="D29" s="1"/>
      <c r="E29" s="1"/>
      <c r="F29" s="1"/>
      <c r="G29" s="1"/>
      <c r="H29" s="1"/>
      <c r="I29" s="6"/>
    </row>
    <row r="30" spans="1:9" ht="33.75" x14ac:dyDescent="0.2">
      <c r="A30" s="167" t="s">
        <v>245</v>
      </c>
      <c r="B30" s="160" t="s">
        <v>334</v>
      </c>
      <c r="C30" s="141" t="s">
        <v>379</v>
      </c>
      <c r="D30" s="141" t="s">
        <v>380</v>
      </c>
      <c r="E30" s="141" t="s">
        <v>381</v>
      </c>
      <c r="F30" s="141" t="s">
        <v>382</v>
      </c>
      <c r="G30" s="141" t="s">
        <v>384</v>
      </c>
      <c r="H30" s="160" t="s">
        <v>383</v>
      </c>
      <c r="I30" s="6"/>
    </row>
    <row r="31" spans="1:9" x14ac:dyDescent="0.2">
      <c r="A31" s="20"/>
      <c r="B31" s="16"/>
      <c r="C31" s="16"/>
      <c r="D31" s="16"/>
      <c r="E31" s="16"/>
      <c r="F31" s="16"/>
      <c r="G31" s="16"/>
      <c r="H31" s="17"/>
      <c r="I31" s="6"/>
    </row>
    <row r="32" spans="1:9" x14ac:dyDescent="0.2">
      <c r="A32" s="1" t="s">
        <v>102</v>
      </c>
      <c r="B32" s="6">
        <f t="shared" ref="B32:B37" si="6">B4</f>
        <v>38593</v>
      </c>
      <c r="C32" s="6">
        <f t="shared" ref="C32:H32" si="7">C4/$B$32</f>
        <v>779.89212991993361</v>
      </c>
      <c r="D32" s="6">
        <f t="shared" si="7"/>
        <v>722.95531728551805</v>
      </c>
      <c r="E32" s="6">
        <f t="shared" si="7"/>
        <v>433.18440261187266</v>
      </c>
      <c r="F32" s="6">
        <f t="shared" si="7"/>
        <v>2151.4848101987409</v>
      </c>
      <c r="G32" s="6">
        <f t="shared" si="7"/>
        <v>271.92467079522191</v>
      </c>
      <c r="H32" s="6">
        <f t="shared" si="7"/>
        <v>4359.4413308112871</v>
      </c>
      <c r="I32" s="6"/>
    </row>
    <row r="33" spans="1:9" x14ac:dyDescent="0.2">
      <c r="A33" s="1" t="s">
        <v>76</v>
      </c>
      <c r="B33" s="6">
        <f t="shared" si="6"/>
        <v>25666</v>
      </c>
      <c r="C33" s="6">
        <f t="shared" ref="C33:H33" si="8">C5/$B$33</f>
        <v>654.76089690641311</v>
      </c>
      <c r="D33" s="6">
        <f t="shared" si="8"/>
        <v>980.64843450479225</v>
      </c>
      <c r="E33" s="6">
        <f t="shared" si="8"/>
        <v>381.98398464895189</v>
      </c>
      <c r="F33" s="6">
        <f t="shared" si="8"/>
        <v>1948.370518974519</v>
      </c>
      <c r="G33" s="6">
        <f t="shared" si="8"/>
        <v>578.57247603833866</v>
      </c>
      <c r="H33" s="6">
        <f t="shared" si="8"/>
        <v>4544.3363110730152</v>
      </c>
      <c r="I33" s="6"/>
    </row>
    <row r="34" spans="1:9" x14ac:dyDescent="0.2">
      <c r="A34" s="1" t="s">
        <v>77</v>
      </c>
      <c r="B34" s="6">
        <f t="shared" si="6"/>
        <v>16248</v>
      </c>
      <c r="C34" s="6">
        <f t="shared" ref="C34:H34" si="9">C6/$B$34</f>
        <v>692.69084071885766</v>
      </c>
      <c r="D34" s="6">
        <f t="shared" si="9"/>
        <v>1094.2713177006401</v>
      </c>
      <c r="E34" s="6">
        <f t="shared" si="9"/>
        <v>449.83754246676511</v>
      </c>
      <c r="F34" s="6">
        <f t="shared" si="9"/>
        <v>1812.4628686607584</v>
      </c>
      <c r="G34" s="6">
        <f t="shared" si="9"/>
        <v>601.59009847365826</v>
      </c>
      <c r="H34" s="6">
        <f t="shared" si="9"/>
        <v>4650.8526680206796</v>
      </c>
      <c r="I34" s="6"/>
    </row>
    <row r="35" spans="1:9" x14ac:dyDescent="0.2">
      <c r="A35" s="1" t="s">
        <v>78</v>
      </c>
      <c r="B35" s="6">
        <f t="shared" si="6"/>
        <v>15588</v>
      </c>
      <c r="C35" s="6">
        <f t="shared" ref="C35:H35" si="10">C7/$B$35</f>
        <v>806.11012124711317</v>
      </c>
      <c r="D35" s="6">
        <f t="shared" si="10"/>
        <v>1241.9764613805489</v>
      </c>
      <c r="E35" s="6">
        <f t="shared" si="10"/>
        <v>475.7081498588658</v>
      </c>
      <c r="F35" s="6">
        <f t="shared" si="10"/>
        <v>1876.5178605337439</v>
      </c>
      <c r="G35" s="6">
        <f t="shared" si="10"/>
        <v>524.09963625866055</v>
      </c>
      <c r="H35" s="6">
        <f t="shared" si="10"/>
        <v>4924.4122292789325</v>
      </c>
      <c r="I35" s="6"/>
    </row>
    <row r="36" spans="1:9" x14ac:dyDescent="0.2">
      <c r="A36" s="1" t="s">
        <v>79</v>
      </c>
      <c r="B36" s="6">
        <f t="shared" si="6"/>
        <v>8372</v>
      </c>
      <c r="C36" s="6">
        <f t="shared" ref="C36:H36" si="11">C8/$B$36</f>
        <v>1029.5279538939321</v>
      </c>
      <c r="D36" s="6">
        <f t="shared" si="11"/>
        <v>1496.4520222169135</v>
      </c>
      <c r="E36" s="6">
        <f t="shared" si="11"/>
        <v>580.38686813186814</v>
      </c>
      <c r="F36" s="6">
        <f t="shared" si="11"/>
        <v>2033.415004777831</v>
      </c>
      <c r="G36" s="6">
        <f t="shared" si="11"/>
        <v>576.07522097467745</v>
      </c>
      <c r="H36" s="6">
        <f t="shared" si="11"/>
        <v>5715.8570699952224</v>
      </c>
      <c r="I36" s="6"/>
    </row>
    <row r="37" spans="1:9" x14ac:dyDescent="0.2">
      <c r="A37" s="14" t="s">
        <v>80</v>
      </c>
      <c r="B37" s="6">
        <f t="shared" si="6"/>
        <v>2111</v>
      </c>
      <c r="C37" s="6">
        <f t="shared" ref="C37:H37" si="12">C9/$B$37</f>
        <v>933.53217906205589</v>
      </c>
      <c r="D37" s="6">
        <f t="shared" si="12"/>
        <v>1509.2527285646611</v>
      </c>
      <c r="E37" s="6">
        <f t="shared" si="12"/>
        <v>477.79160587399338</v>
      </c>
      <c r="F37" s="6">
        <f t="shared" si="12"/>
        <v>1908.9564092846992</v>
      </c>
      <c r="G37" s="6">
        <f t="shared" si="12"/>
        <v>294.77447655139747</v>
      </c>
      <c r="H37" s="6">
        <f t="shared" si="12"/>
        <v>5124.3073993368071</v>
      </c>
      <c r="I37" s="6"/>
    </row>
    <row r="38" spans="1:9" ht="13.5" thickBot="1" x14ac:dyDescent="0.25">
      <c r="A38" s="15" t="s">
        <v>171</v>
      </c>
      <c r="B38" s="8">
        <f>SUM(B32:B37)</f>
        <v>106578</v>
      </c>
      <c r="C38" s="8">
        <f t="shared" ref="C38:H38" si="13">C10/$B$38</f>
        <v>762.95154684831778</v>
      </c>
      <c r="D38" s="8">
        <f t="shared" si="13"/>
        <v>993.8666100883861</v>
      </c>
      <c r="E38" s="8">
        <f t="shared" si="13"/>
        <v>442.05936093752933</v>
      </c>
      <c r="F38" s="8">
        <f t="shared" si="13"/>
        <v>1996.5916560641033</v>
      </c>
      <c r="G38" s="8">
        <f t="shared" si="13"/>
        <v>457.25667314079834</v>
      </c>
      <c r="H38" s="8">
        <f t="shared" si="13"/>
        <v>4652.7258470791348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18182</v>
      </c>
      <c r="C41" s="6">
        <f t="shared" ref="C41:H41" si="14">C13/$B$41</f>
        <v>1407.8105334946652</v>
      </c>
      <c r="D41" s="6">
        <f t="shared" si="14"/>
        <v>1282.3200984490156</v>
      </c>
      <c r="E41" s="6">
        <f t="shared" si="14"/>
        <v>576.36178473215273</v>
      </c>
      <c r="F41" s="6">
        <f t="shared" si="14"/>
        <v>2372.9919777802224</v>
      </c>
      <c r="G41" s="6">
        <f t="shared" si="14"/>
        <v>289.66979265207345</v>
      </c>
      <c r="H41" s="6">
        <f t="shared" si="14"/>
        <v>5929.154187108129</v>
      </c>
      <c r="I41" s="6"/>
    </row>
    <row r="42" spans="1:9" x14ac:dyDescent="0.2">
      <c r="A42" s="1" t="s">
        <v>82</v>
      </c>
      <c r="B42" s="6">
        <f>B14</f>
        <v>8311</v>
      </c>
      <c r="C42" s="6">
        <f t="shared" ref="C42:H42" si="15">C14/$B$42</f>
        <v>1223.8705751413788</v>
      </c>
      <c r="D42" s="6">
        <f t="shared" si="15"/>
        <v>1503.0868198772712</v>
      </c>
      <c r="E42" s="6">
        <f t="shared" si="15"/>
        <v>511.94122608591027</v>
      </c>
      <c r="F42" s="6">
        <f t="shared" si="15"/>
        <v>2189.858564553002</v>
      </c>
      <c r="G42" s="6">
        <f t="shared" si="15"/>
        <v>288.0778618698111</v>
      </c>
      <c r="H42" s="6">
        <f t="shared" si="15"/>
        <v>5716.8350475273728</v>
      </c>
      <c r="I42" s="6"/>
    </row>
    <row r="43" spans="1:9" x14ac:dyDescent="0.2">
      <c r="A43" s="1" t="s">
        <v>83</v>
      </c>
      <c r="B43" s="6">
        <f>B15</f>
        <v>5201</v>
      </c>
      <c r="C43" s="6">
        <f t="shared" ref="C43:H43" si="16">C15/$B$43</f>
        <v>1790.6140376850603</v>
      </c>
      <c r="D43" s="6">
        <f t="shared" si="16"/>
        <v>1841.1299192462989</v>
      </c>
      <c r="E43" s="6">
        <f t="shared" si="16"/>
        <v>530.21461257450494</v>
      </c>
      <c r="F43" s="6">
        <f t="shared" si="16"/>
        <v>2116.7176504518361</v>
      </c>
      <c r="G43" s="6">
        <f t="shared" si="16"/>
        <v>676.25931359353967</v>
      </c>
      <c r="H43" s="6">
        <f t="shared" si="16"/>
        <v>6954.93553355124</v>
      </c>
      <c r="I43" s="6"/>
    </row>
    <row r="44" spans="1:9" x14ac:dyDescent="0.2">
      <c r="A44" s="1" t="s">
        <v>84</v>
      </c>
      <c r="B44" s="6">
        <f>B16</f>
        <v>7332</v>
      </c>
      <c r="C44" s="6">
        <f t="shared" ref="C44:H44" si="17">C16/$B$44</f>
        <v>1223.5462302236772</v>
      </c>
      <c r="D44" s="6">
        <f t="shared" si="17"/>
        <v>2142.5780237315876</v>
      </c>
      <c r="E44" s="6">
        <f t="shared" si="17"/>
        <v>753.06566966721221</v>
      </c>
      <c r="F44" s="6">
        <f t="shared" si="17"/>
        <v>2681.3693289689036</v>
      </c>
      <c r="G44" s="6">
        <f t="shared" si="17"/>
        <v>735.98840834697216</v>
      </c>
      <c r="H44" s="6">
        <f t="shared" si="17"/>
        <v>7536.5476609383531</v>
      </c>
      <c r="I44" s="6"/>
    </row>
    <row r="45" spans="1:9" x14ac:dyDescent="0.2">
      <c r="A45" s="14" t="s">
        <v>85</v>
      </c>
      <c r="B45" s="6">
        <f>B17</f>
        <v>2864</v>
      </c>
      <c r="C45" s="6">
        <f t="shared" ref="C45:H45" si="18">C17/$B$45</f>
        <v>2400.9648254189942</v>
      </c>
      <c r="D45" s="6">
        <f t="shared" si="18"/>
        <v>3256.4840258379886</v>
      </c>
      <c r="E45" s="6">
        <f t="shared" si="18"/>
        <v>1003.9842737430167</v>
      </c>
      <c r="F45" s="6">
        <f t="shared" si="18"/>
        <v>3944.5127234636871</v>
      </c>
      <c r="G45" s="6">
        <f t="shared" si="18"/>
        <v>766.90248254189942</v>
      </c>
      <c r="H45" s="6">
        <f t="shared" si="18"/>
        <v>11372.848331005585</v>
      </c>
      <c r="I45" s="122"/>
    </row>
    <row r="46" spans="1:9" ht="13.5" thickBot="1" x14ac:dyDescent="0.25">
      <c r="A46" s="15" t="s">
        <v>172</v>
      </c>
      <c r="B46" s="8">
        <f>SUM(B41:B45)</f>
        <v>41890</v>
      </c>
      <c r="C46" s="8">
        <f t="shared" ref="C46:H46" si="19">C18/$B$46</f>
        <v>1454.4948030556218</v>
      </c>
      <c r="D46" s="8">
        <f t="shared" si="19"/>
        <v>1681.0448226306996</v>
      </c>
      <c r="E46" s="8">
        <f t="shared" si="19"/>
        <v>618.01595010742415</v>
      </c>
      <c r="F46" s="8">
        <f t="shared" si="19"/>
        <v>2466.2589527333494</v>
      </c>
      <c r="G46" s="8">
        <f t="shared" si="19"/>
        <v>448.09958677488657</v>
      </c>
      <c r="H46" s="8">
        <f t="shared" si="19"/>
        <v>6667.9141153019818</v>
      </c>
      <c r="I46" s="122"/>
    </row>
    <row r="47" spans="1:9" ht="13.5" thickTop="1" x14ac:dyDescent="0.2">
      <c r="A47" s="1"/>
      <c r="B47" s="6"/>
      <c r="C47" s="6"/>
      <c r="D47" s="6"/>
      <c r="E47" s="6"/>
      <c r="F47" s="6"/>
      <c r="G47" s="6"/>
      <c r="H47" s="6"/>
      <c r="I47" s="122"/>
    </row>
    <row r="48" spans="1:9" x14ac:dyDescent="0.2">
      <c r="A48" s="1"/>
      <c r="B48" s="6"/>
      <c r="C48" s="6"/>
      <c r="D48" s="6"/>
      <c r="E48" s="6"/>
      <c r="F48" s="6"/>
      <c r="G48" s="6"/>
      <c r="H48" s="6"/>
      <c r="I48" s="122"/>
    </row>
    <row r="49" spans="1:9" x14ac:dyDescent="0.2">
      <c r="A49" s="1" t="s">
        <v>377</v>
      </c>
      <c r="B49" s="6"/>
      <c r="C49" s="6"/>
      <c r="D49" s="6"/>
      <c r="E49" s="6"/>
      <c r="F49" s="6"/>
      <c r="G49" s="6"/>
      <c r="H49" s="6"/>
      <c r="I49" s="122"/>
    </row>
    <row r="50" spans="1:9" x14ac:dyDescent="0.2">
      <c r="A50" s="14" t="s">
        <v>376</v>
      </c>
      <c r="B50" s="6"/>
      <c r="C50" s="6"/>
      <c r="D50" s="6"/>
      <c r="E50" s="6"/>
      <c r="F50" s="6"/>
      <c r="G50" s="6"/>
      <c r="H50" s="6"/>
      <c r="I50" s="122"/>
    </row>
    <row r="51" spans="1:9" ht="13.5" thickBot="1" x14ac:dyDescent="0.25">
      <c r="A51" s="15" t="s">
        <v>173</v>
      </c>
      <c r="B51" s="8"/>
      <c r="C51" s="8"/>
      <c r="D51" s="8"/>
      <c r="E51" s="8"/>
      <c r="F51" s="8"/>
      <c r="G51" s="8"/>
      <c r="H51" s="8"/>
      <c r="I51" s="122"/>
    </row>
    <row r="52" spans="1:9" ht="14.25" thickTop="1" thickBot="1" x14ac:dyDescent="0.25">
      <c r="A52" s="41"/>
      <c r="B52" s="42"/>
      <c r="C52" s="42"/>
      <c r="D52" s="42"/>
      <c r="E52" s="42"/>
      <c r="F52" s="42"/>
      <c r="G52" s="42"/>
      <c r="H52" s="42"/>
      <c r="I52" s="122"/>
    </row>
    <row r="53" spans="1:9" ht="13.5" thickBot="1" x14ac:dyDescent="0.25">
      <c r="A53" s="26" t="s">
        <v>174</v>
      </c>
      <c r="B53" s="27">
        <f>B51+B46+B38</f>
        <v>148468</v>
      </c>
      <c r="C53" s="27">
        <f t="shared" ref="C53:H53" si="20">C25/$B$53</f>
        <v>958.06932982191438</v>
      </c>
      <c r="D53" s="27">
        <f t="shared" si="20"/>
        <v>1187.7528032303258</v>
      </c>
      <c r="E53" s="27">
        <f t="shared" si="20"/>
        <v>491.705220788318</v>
      </c>
      <c r="F53" s="27">
        <f t="shared" si="20"/>
        <v>2129.1075049842393</v>
      </c>
      <c r="G53" s="27">
        <f t="shared" si="20"/>
        <v>454.67301640757609</v>
      </c>
      <c r="H53" s="27">
        <f t="shared" si="20"/>
        <v>5221.3078752323745</v>
      </c>
      <c r="I53" s="122"/>
    </row>
    <row r="54" spans="1:9" ht="13.5" thickTop="1" x14ac:dyDescent="0.2">
      <c r="A54" s="1"/>
      <c r="B54" s="6"/>
      <c r="C54" s="6"/>
      <c r="D54" s="6"/>
      <c r="E54" s="6"/>
      <c r="F54" s="6"/>
      <c r="G54" s="6"/>
      <c r="H54" s="6"/>
    </row>
    <row r="55" spans="1:9" x14ac:dyDescent="0.2">
      <c r="A55" s="1"/>
      <c r="B55" s="6"/>
      <c r="C55" s="6"/>
      <c r="D55" s="6"/>
      <c r="E55" s="6"/>
      <c r="F55" s="6"/>
      <c r="G55" s="6"/>
      <c r="H55" s="6"/>
    </row>
    <row r="56" spans="1:9" x14ac:dyDescent="0.2">
      <c r="A56" s="36" t="s">
        <v>200</v>
      </c>
      <c r="B56" s="1"/>
      <c r="C56" s="1"/>
      <c r="D56" s="1"/>
      <c r="E56" s="1"/>
      <c r="F56" s="1"/>
      <c r="G56" s="1"/>
      <c r="H56" s="1"/>
    </row>
    <row r="57" spans="1:9" x14ac:dyDescent="0.2">
      <c r="A57" s="36" t="s">
        <v>385</v>
      </c>
      <c r="B57" s="1"/>
      <c r="C57" s="1"/>
      <c r="D57" s="1"/>
      <c r="E57" s="1"/>
      <c r="F57" s="1"/>
      <c r="G57" s="1"/>
      <c r="H57" s="1"/>
    </row>
    <row r="58" spans="1:9" ht="33.75" x14ac:dyDescent="0.2">
      <c r="A58" s="167" t="s">
        <v>245</v>
      </c>
      <c r="B58" s="160" t="s">
        <v>334</v>
      </c>
      <c r="C58" s="141" t="s">
        <v>379</v>
      </c>
      <c r="D58" s="141" t="s">
        <v>380</v>
      </c>
      <c r="E58" s="141" t="s">
        <v>381</v>
      </c>
      <c r="F58" s="141" t="s">
        <v>382</v>
      </c>
      <c r="G58" s="141" t="s">
        <v>384</v>
      </c>
      <c r="H58" s="160" t="s">
        <v>383</v>
      </c>
    </row>
    <row r="59" spans="1:9" x14ac:dyDescent="0.2">
      <c r="A59" s="1" t="s">
        <v>102</v>
      </c>
      <c r="B59" s="6">
        <f>B4</f>
        <v>38593</v>
      </c>
      <c r="C59" s="9">
        <f>C4/H4</f>
        <v>0.17889726474992992</v>
      </c>
      <c r="D59" s="9">
        <f t="shared" ref="D59:D64" si="21">D32/H32</f>
        <v>0.16583668925095429</v>
      </c>
      <c r="E59" s="9">
        <f t="shared" ref="E59:E64" si="22">E32/H32</f>
        <v>9.9366953180502496E-2</v>
      </c>
      <c r="F59" s="9">
        <f t="shared" ref="F59:F64" si="23">F32/H32</f>
        <v>0.49352305649640477</v>
      </c>
      <c r="G59" s="9">
        <f t="shared" ref="G59:G64" si="24">G32/H32</f>
        <v>6.2376036322208527E-2</v>
      </c>
      <c r="H59" s="28">
        <f>SUM(C59:G59)</f>
        <v>1</v>
      </c>
    </row>
    <row r="60" spans="1:9" x14ac:dyDescent="0.2">
      <c r="A60" s="1" t="s">
        <v>76</v>
      </c>
      <c r="B60" s="6">
        <f t="shared" ref="B60:B80" si="25">B5</f>
        <v>25666</v>
      </c>
      <c r="C60" s="9">
        <f t="shared" ref="C60:C65" si="26">C33/H33</f>
        <v>0.14408284336504357</v>
      </c>
      <c r="D60" s="9">
        <f t="shared" si="21"/>
        <v>0.21579574383948713</v>
      </c>
      <c r="E60" s="9">
        <f t="shared" si="22"/>
        <v>8.4057155655092197E-2</v>
      </c>
      <c r="F60" s="9">
        <f t="shared" si="23"/>
        <v>0.42874699089215668</v>
      </c>
      <c r="G60" s="9">
        <f t="shared" si="24"/>
        <v>0.12731726624822037</v>
      </c>
      <c r="H60" s="28">
        <f t="shared" ref="H60:H80" si="27">SUM(C60:G60)</f>
        <v>0.99999999999999989</v>
      </c>
    </row>
    <row r="61" spans="1:9" x14ac:dyDescent="0.2">
      <c r="A61" s="1" t="s">
        <v>77</v>
      </c>
      <c r="B61" s="6">
        <f t="shared" si="25"/>
        <v>16248</v>
      </c>
      <c r="C61" s="9">
        <f t="shared" si="26"/>
        <v>0.14893846143134321</v>
      </c>
      <c r="D61" s="9">
        <f t="shared" si="21"/>
        <v>0.23528402119139641</v>
      </c>
      <c r="E61" s="9">
        <f t="shared" si="22"/>
        <v>9.6721520670790886E-2</v>
      </c>
      <c r="F61" s="9">
        <f t="shared" si="23"/>
        <v>0.38970550091239731</v>
      </c>
      <c r="G61" s="9">
        <f t="shared" si="24"/>
        <v>0.12935049579407218</v>
      </c>
      <c r="H61" s="28">
        <f t="shared" si="27"/>
        <v>1</v>
      </c>
    </row>
    <row r="62" spans="1:9" x14ac:dyDescent="0.2">
      <c r="A62" s="1" t="s">
        <v>78</v>
      </c>
      <c r="B62" s="6">
        <f t="shared" si="25"/>
        <v>15588</v>
      </c>
      <c r="C62" s="9">
        <f t="shared" si="26"/>
        <v>0.16369671825080931</v>
      </c>
      <c r="D62" s="9">
        <f t="shared" si="21"/>
        <v>0.2522080612983954</v>
      </c>
      <c r="E62" s="9">
        <f t="shared" si="22"/>
        <v>9.6602016181842346E-2</v>
      </c>
      <c r="F62" s="9">
        <f t="shared" si="23"/>
        <v>0.38106433279013219</v>
      </c>
      <c r="G62" s="9">
        <f t="shared" si="24"/>
        <v>0.10642887147882073</v>
      </c>
      <c r="H62" s="28">
        <f t="shared" si="27"/>
        <v>1</v>
      </c>
    </row>
    <row r="63" spans="1:9" x14ac:dyDescent="0.2">
      <c r="A63" s="1" t="s">
        <v>79</v>
      </c>
      <c r="B63" s="6">
        <f t="shared" si="25"/>
        <v>8372</v>
      </c>
      <c r="C63" s="9">
        <f t="shared" si="26"/>
        <v>0.18011786181609202</v>
      </c>
      <c r="D63" s="9">
        <f t="shared" si="21"/>
        <v>0.26180711027089493</v>
      </c>
      <c r="E63" s="9">
        <f t="shared" si="22"/>
        <v>0.10153977977835496</v>
      </c>
      <c r="F63" s="9">
        <f t="shared" si="23"/>
        <v>0.35574979917745397</v>
      </c>
      <c r="G63" s="9">
        <f t="shared" si="24"/>
        <v>0.10078544895720407</v>
      </c>
      <c r="H63" s="28">
        <f t="shared" si="27"/>
        <v>1</v>
      </c>
    </row>
    <row r="64" spans="1:9" x14ac:dyDescent="0.2">
      <c r="A64" s="14" t="s">
        <v>80</v>
      </c>
      <c r="B64" s="7">
        <f t="shared" si="25"/>
        <v>2111</v>
      </c>
      <c r="C64" s="9">
        <f t="shared" si="26"/>
        <v>0.18217724002718388</v>
      </c>
      <c r="D64" s="9">
        <f t="shared" si="21"/>
        <v>0.29452814028291707</v>
      </c>
      <c r="E64" s="9">
        <f t="shared" si="22"/>
        <v>9.3240231047776262E-2</v>
      </c>
      <c r="F64" s="9">
        <f t="shared" si="23"/>
        <v>0.37252964362203528</v>
      </c>
      <c r="G64" s="9">
        <f t="shared" si="24"/>
        <v>5.7524745020087489E-2</v>
      </c>
      <c r="H64" s="28">
        <f t="shared" si="27"/>
        <v>1</v>
      </c>
    </row>
    <row r="65" spans="1:8" ht="13.5" thickBot="1" x14ac:dyDescent="0.25">
      <c r="A65" s="15" t="s">
        <v>171</v>
      </c>
      <c r="B65" s="27">
        <f t="shared" si="25"/>
        <v>106578</v>
      </c>
      <c r="C65" s="11">
        <f t="shared" si="26"/>
        <v>0.16397947610158026</v>
      </c>
      <c r="D65" s="11">
        <f>D38/H38</f>
        <v>0.21360953616304532</v>
      </c>
      <c r="E65" s="11">
        <f>E38/H38</f>
        <v>9.5010833534291128E-2</v>
      </c>
      <c r="F65" s="11">
        <f>F38/H38</f>
        <v>0.4291229962146843</v>
      </c>
      <c r="G65" s="11">
        <f>G38/H38</f>
        <v>9.8277157986399022E-2</v>
      </c>
      <c r="H65" s="28">
        <f t="shared" si="27"/>
        <v>1</v>
      </c>
    </row>
    <row r="66" spans="1:8" ht="13.5" thickTop="1" x14ac:dyDescent="0.2">
      <c r="A66" s="1"/>
      <c r="B66" s="6"/>
      <c r="C66" s="6"/>
      <c r="D66" s="6"/>
      <c r="E66" s="6"/>
      <c r="F66" s="6"/>
      <c r="G66" s="6"/>
      <c r="H66" s="28"/>
    </row>
    <row r="67" spans="1:8" x14ac:dyDescent="0.2">
      <c r="A67" s="1"/>
      <c r="B67" s="6"/>
      <c r="C67" s="6"/>
      <c r="D67" s="6"/>
      <c r="E67" s="6"/>
      <c r="F67" s="6"/>
      <c r="G67" s="6"/>
      <c r="H67" s="28"/>
    </row>
    <row r="68" spans="1:8" x14ac:dyDescent="0.2">
      <c r="A68" s="1" t="s">
        <v>81</v>
      </c>
      <c r="B68" s="6">
        <f t="shared" si="25"/>
        <v>18182</v>
      </c>
      <c r="C68" s="9">
        <f t="shared" ref="C68:C73" si="28">C41/H41</f>
        <v>0.23743867827820939</v>
      </c>
      <c r="D68" s="9">
        <f t="shared" ref="D68:D73" si="29">D41/H41</f>
        <v>0.21627369739130553</v>
      </c>
      <c r="E68" s="9">
        <f t="shared" ref="E68:E73" si="30">E41/H41</f>
        <v>9.7208095209489906E-2</v>
      </c>
      <c r="F68" s="9">
        <f t="shared" ref="F68:F73" si="31">F41/H41</f>
        <v>0.40022436639274173</v>
      </c>
      <c r="G68" s="9">
        <f t="shared" ref="G68:G73" si="32">G41/H41</f>
        <v>4.8855162728253534E-2</v>
      </c>
      <c r="H68" s="28">
        <f t="shared" si="27"/>
        <v>1.0000000000000002</v>
      </c>
    </row>
    <row r="69" spans="1:8" x14ac:dyDescent="0.2">
      <c r="A69" s="1" t="s">
        <v>82</v>
      </c>
      <c r="B69" s="6">
        <f t="shared" si="25"/>
        <v>8311</v>
      </c>
      <c r="C69" s="9">
        <f t="shared" si="28"/>
        <v>0.21408184160757329</v>
      </c>
      <c r="D69" s="9">
        <f t="shared" si="29"/>
        <v>0.26292289481526698</v>
      </c>
      <c r="E69" s="9">
        <f t="shared" si="30"/>
        <v>8.954976343201182E-2</v>
      </c>
      <c r="F69" s="9">
        <f t="shared" si="31"/>
        <v>0.38305435548645972</v>
      </c>
      <c r="G69" s="9">
        <f t="shared" si="32"/>
        <v>5.0391144658688311E-2</v>
      </c>
      <c r="H69" s="28">
        <f t="shared" si="27"/>
        <v>1</v>
      </c>
    </row>
    <row r="70" spans="1:8" x14ac:dyDescent="0.2">
      <c r="A70" s="1" t="s">
        <v>83</v>
      </c>
      <c r="B70" s="6">
        <f t="shared" si="25"/>
        <v>5201</v>
      </c>
      <c r="C70" s="9">
        <f t="shared" si="28"/>
        <v>0.25745947306728806</v>
      </c>
      <c r="D70" s="9">
        <f t="shared" si="29"/>
        <v>0.26472278720119274</v>
      </c>
      <c r="E70" s="9">
        <f t="shared" si="30"/>
        <v>7.6235733604819417E-2</v>
      </c>
      <c r="F70" s="9">
        <f t="shared" si="31"/>
        <v>0.30434755868556912</v>
      </c>
      <c r="G70" s="9">
        <f t="shared" si="32"/>
        <v>9.7234447441130606E-2</v>
      </c>
      <c r="H70" s="28">
        <f t="shared" si="27"/>
        <v>1</v>
      </c>
    </row>
    <row r="71" spans="1:8" x14ac:dyDescent="0.2">
      <c r="A71" s="1" t="s">
        <v>84</v>
      </c>
      <c r="B71" s="6">
        <f t="shared" si="25"/>
        <v>7332</v>
      </c>
      <c r="C71" s="9">
        <f t="shared" si="28"/>
        <v>0.16234837027108207</v>
      </c>
      <c r="D71" s="9">
        <f t="shared" si="29"/>
        <v>0.28429171022648603</v>
      </c>
      <c r="E71" s="9">
        <f t="shared" si="30"/>
        <v>9.9921834710914606E-2</v>
      </c>
      <c r="F71" s="9">
        <f t="shared" si="31"/>
        <v>0.35578217634930398</v>
      </c>
      <c r="G71" s="9">
        <f t="shared" si="32"/>
        <v>9.7655908442213238E-2</v>
      </c>
      <c r="H71" s="28">
        <f t="shared" si="27"/>
        <v>1</v>
      </c>
    </row>
    <row r="72" spans="1:8" x14ac:dyDescent="0.2">
      <c r="A72" s="14" t="s">
        <v>85</v>
      </c>
      <c r="B72" s="7">
        <f t="shared" si="25"/>
        <v>2864</v>
      </c>
      <c r="C72" s="9">
        <f t="shared" si="28"/>
        <v>0.21111376460312833</v>
      </c>
      <c r="D72" s="9">
        <f t="shared" si="29"/>
        <v>0.28633847309472127</v>
      </c>
      <c r="E72" s="9">
        <f t="shared" si="30"/>
        <v>8.8279052399377653E-2</v>
      </c>
      <c r="F72" s="9">
        <f t="shared" si="31"/>
        <v>0.34683595601199002</v>
      </c>
      <c r="G72" s="9">
        <f t="shared" si="32"/>
        <v>6.7432753890782793E-2</v>
      </c>
      <c r="H72" s="28">
        <f t="shared" si="27"/>
        <v>1</v>
      </c>
    </row>
    <row r="73" spans="1:8" ht="13.5" thickBot="1" x14ac:dyDescent="0.25">
      <c r="A73" s="15" t="s">
        <v>172</v>
      </c>
      <c r="B73" s="27">
        <f t="shared" si="25"/>
        <v>41890</v>
      </c>
      <c r="C73" s="11">
        <f t="shared" si="28"/>
        <v>0.21813340392578667</v>
      </c>
      <c r="D73" s="11">
        <f t="shared" si="29"/>
        <v>0.25210954933761426</v>
      </c>
      <c r="E73" s="11">
        <f t="shared" si="30"/>
        <v>9.2685049540329148E-2</v>
      </c>
      <c r="F73" s="11">
        <f t="shared" si="31"/>
        <v>0.36986963390449362</v>
      </c>
      <c r="G73" s="11">
        <f t="shared" si="32"/>
        <v>6.7202363291776243E-2</v>
      </c>
      <c r="H73" s="28">
        <f t="shared" si="27"/>
        <v>1</v>
      </c>
    </row>
    <row r="74" spans="1:8" ht="13.5" thickTop="1" x14ac:dyDescent="0.2">
      <c r="A74" s="1"/>
      <c r="B74" s="6"/>
      <c r="C74" s="6"/>
      <c r="D74" s="6"/>
      <c r="E74" s="6"/>
      <c r="F74" s="6"/>
      <c r="G74" s="6"/>
      <c r="H74" s="28"/>
    </row>
    <row r="75" spans="1:8" x14ac:dyDescent="0.2">
      <c r="A75" s="1"/>
      <c r="B75" s="6"/>
      <c r="C75" s="6"/>
      <c r="D75" s="6"/>
      <c r="E75" s="6"/>
      <c r="F75" s="6"/>
      <c r="G75" s="6"/>
      <c r="H75" s="28"/>
    </row>
    <row r="76" spans="1:8" x14ac:dyDescent="0.2">
      <c r="A76" s="1" t="s">
        <v>377</v>
      </c>
      <c r="B76" s="6"/>
      <c r="C76" s="9"/>
      <c r="D76" s="9"/>
      <c r="E76" s="9"/>
      <c r="F76" s="9"/>
      <c r="G76" s="9"/>
      <c r="H76" s="28"/>
    </row>
    <row r="77" spans="1:8" x14ac:dyDescent="0.2">
      <c r="A77" s="14" t="s">
        <v>376</v>
      </c>
      <c r="B77" s="7"/>
      <c r="C77" s="9"/>
      <c r="D77" s="9"/>
      <c r="E77" s="9"/>
      <c r="F77" s="9"/>
      <c r="G77" s="9"/>
      <c r="H77" s="28"/>
    </row>
    <row r="78" spans="1:8" ht="13.5" thickBot="1" x14ac:dyDescent="0.25">
      <c r="A78" s="15" t="s">
        <v>173</v>
      </c>
      <c r="B78" s="8"/>
      <c r="C78" s="11"/>
      <c r="D78" s="11"/>
      <c r="E78" s="11"/>
      <c r="F78" s="11"/>
      <c r="G78" s="11"/>
      <c r="H78" s="28"/>
    </row>
    <row r="79" spans="1:8" ht="14.25" thickTop="1" thickBot="1" x14ac:dyDescent="0.25">
      <c r="A79" s="41"/>
      <c r="B79" s="42"/>
      <c r="C79" s="25"/>
      <c r="D79" s="25"/>
      <c r="E79" s="25"/>
      <c r="F79" s="25"/>
      <c r="G79" s="25"/>
      <c r="H79" s="6"/>
    </row>
    <row r="80" spans="1:8" ht="13.5" thickBot="1" x14ac:dyDescent="0.25">
      <c r="A80" s="26" t="s">
        <v>208</v>
      </c>
      <c r="B80" s="27">
        <f t="shared" si="25"/>
        <v>148468</v>
      </c>
      <c r="C80" s="45">
        <f>C53/H53</f>
        <v>0.18349221166723012</v>
      </c>
      <c r="D80" s="45">
        <f>D53/H53</f>
        <v>0.22748185543022872</v>
      </c>
      <c r="E80" s="45">
        <f>E53/H53</f>
        <v>9.4172807376625853E-2</v>
      </c>
      <c r="F80" s="45">
        <f>F53/H53</f>
        <v>0.40777283314086959</v>
      </c>
      <c r="G80" s="45">
        <f>G53/H53</f>
        <v>8.7080292385045541E-2</v>
      </c>
      <c r="H80" s="28">
        <f t="shared" si="27"/>
        <v>0.99999999999999978</v>
      </c>
    </row>
    <row r="81" spans="1:8" ht="13.5" thickTop="1" x14ac:dyDescent="0.2">
      <c r="A81" s="1"/>
      <c r="B81" s="1"/>
      <c r="C81" s="1"/>
      <c r="D81" s="1"/>
      <c r="E81" s="1"/>
      <c r="F81" s="1"/>
      <c r="G81" s="1"/>
      <c r="H81" s="1"/>
    </row>
    <row r="82" spans="1:8" x14ac:dyDescent="0.2">
      <c r="A82" s="1"/>
      <c r="B82" s="1"/>
      <c r="C82" s="1"/>
      <c r="D82" s="1"/>
      <c r="E82" s="1"/>
      <c r="F82" s="1"/>
      <c r="G82" s="1"/>
      <c r="H82" s="1"/>
    </row>
  </sheetData>
  <phoneticPr fontId="7"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I82"/>
  <sheetViews>
    <sheetView workbookViewId="0">
      <selection activeCell="C32" sqref="C32"/>
    </sheetView>
  </sheetViews>
  <sheetFormatPr defaultRowHeight="12.75" x14ac:dyDescent="0.2"/>
  <cols>
    <col min="1" max="1" width="22.140625" customWidth="1"/>
    <col min="3" max="4" width="9.5703125" bestFit="1" customWidth="1"/>
    <col min="6" max="6" width="9.5703125" bestFit="1" customWidth="1"/>
    <col min="8" max="8" width="10.85546875" bestFit="1" customWidth="1"/>
  </cols>
  <sheetData>
    <row r="1" spans="1:9" x14ac:dyDescent="0.2">
      <c r="A1" s="36" t="s">
        <v>200</v>
      </c>
    </row>
    <row r="2" spans="1:9" x14ac:dyDescent="0.2">
      <c r="A2" s="36" t="s">
        <v>369</v>
      </c>
    </row>
    <row r="3" spans="1:9" ht="33.75" x14ac:dyDescent="0.2">
      <c r="A3" s="167" t="s">
        <v>245</v>
      </c>
      <c r="B3" s="160" t="s">
        <v>319</v>
      </c>
      <c r="C3" s="141" t="s">
        <v>370</v>
      </c>
      <c r="D3" s="141" t="s">
        <v>371</v>
      </c>
      <c r="E3" s="141" t="s">
        <v>372</v>
      </c>
      <c r="F3" s="141" t="s">
        <v>373</v>
      </c>
      <c r="G3" s="141" t="s">
        <v>374</v>
      </c>
      <c r="H3" s="160" t="s">
        <v>375</v>
      </c>
      <c r="I3" s="141" t="s">
        <v>440</v>
      </c>
    </row>
    <row r="4" spans="1:9" x14ac:dyDescent="0.2">
      <c r="A4" s="1" t="s">
        <v>102</v>
      </c>
      <c r="B4" s="6">
        <v>38043</v>
      </c>
      <c r="C4" s="6">
        <v>27733924.199999999</v>
      </c>
      <c r="D4" s="6">
        <v>25447770.48</v>
      </c>
      <c r="E4" s="6">
        <v>14557618.949999999</v>
      </c>
      <c r="F4" s="6">
        <v>83576652.379999995</v>
      </c>
      <c r="G4" s="6">
        <v>9975622.7799999993</v>
      </c>
      <c r="H4" s="6">
        <f t="shared" ref="H4:H9" si="0">SUM(C4:G4)</f>
        <v>161291588.78999999</v>
      </c>
      <c r="I4" s="6">
        <f>H4/B4</f>
        <v>4239.7179189338376</v>
      </c>
    </row>
    <row r="5" spans="1:9" x14ac:dyDescent="0.2">
      <c r="A5" s="1" t="s">
        <v>76</v>
      </c>
      <c r="B5" s="6">
        <v>25370</v>
      </c>
      <c r="C5" s="6">
        <v>15485541.41</v>
      </c>
      <c r="D5" s="6">
        <v>23082278.489999998</v>
      </c>
      <c r="E5" s="6">
        <v>8551732.4000000004</v>
      </c>
      <c r="F5" s="6">
        <v>50244572.619999997</v>
      </c>
      <c r="G5" s="6">
        <v>13550586.529999999</v>
      </c>
      <c r="H5" s="6">
        <f t="shared" si="0"/>
        <v>110914711.44999999</v>
      </c>
      <c r="I5" s="6">
        <f t="shared" ref="I5:I10" si="1">H5/B5</f>
        <v>4371.8845664170276</v>
      </c>
    </row>
    <row r="6" spans="1:9" x14ac:dyDescent="0.2">
      <c r="A6" s="1" t="s">
        <v>77</v>
      </c>
      <c r="B6" s="6">
        <v>14951</v>
      </c>
      <c r="C6" s="6">
        <v>8590652.0700000003</v>
      </c>
      <c r="D6" s="6">
        <v>15011484.84</v>
      </c>
      <c r="E6" s="6">
        <v>5927828.7300000004</v>
      </c>
      <c r="F6" s="6">
        <v>28362282.57</v>
      </c>
      <c r="G6" s="6">
        <v>7715540.6299999999</v>
      </c>
      <c r="H6" s="6">
        <f t="shared" si="0"/>
        <v>65607788.840000004</v>
      </c>
      <c r="I6" s="6">
        <f t="shared" si="1"/>
        <v>4388.1873346264465</v>
      </c>
    </row>
    <row r="7" spans="1:9" x14ac:dyDescent="0.2">
      <c r="A7" s="1" t="s">
        <v>78</v>
      </c>
      <c r="B7" s="6">
        <v>16667</v>
      </c>
      <c r="C7" s="6">
        <v>10861444.449999999</v>
      </c>
      <c r="D7" s="6">
        <v>19061166.870000001</v>
      </c>
      <c r="E7" s="6">
        <v>7119516.8799999999</v>
      </c>
      <c r="F7" s="6">
        <v>32319868.289999999</v>
      </c>
      <c r="G7" s="6">
        <v>10317358.17</v>
      </c>
      <c r="H7" s="6">
        <f t="shared" si="0"/>
        <v>79679354.660000011</v>
      </c>
      <c r="I7" s="6">
        <f t="shared" si="1"/>
        <v>4780.6656662866753</v>
      </c>
    </row>
    <row r="8" spans="1:9" x14ac:dyDescent="0.2">
      <c r="A8" s="1" t="s">
        <v>79</v>
      </c>
      <c r="B8" s="6">
        <v>8429</v>
      </c>
      <c r="C8" s="6">
        <v>9059559.9499999993</v>
      </c>
      <c r="D8" s="6">
        <v>11867612.289999999</v>
      </c>
      <c r="E8" s="6">
        <v>4395521.13</v>
      </c>
      <c r="F8" s="6">
        <v>17867787.120000001</v>
      </c>
      <c r="G8" s="6">
        <v>4621940.3499999996</v>
      </c>
      <c r="H8" s="6">
        <f t="shared" si="0"/>
        <v>47812420.839999996</v>
      </c>
      <c r="I8" s="6">
        <f t="shared" si="1"/>
        <v>5672.3716739826787</v>
      </c>
    </row>
    <row r="9" spans="1:9" x14ac:dyDescent="0.2">
      <c r="A9" s="14" t="s">
        <v>80</v>
      </c>
      <c r="B9" s="6">
        <v>2116</v>
      </c>
      <c r="C9" s="6">
        <v>1745874.95</v>
      </c>
      <c r="D9" s="6">
        <v>2571280.04</v>
      </c>
      <c r="E9" s="6">
        <v>850353.79</v>
      </c>
      <c r="F9" s="6">
        <v>4178778.29</v>
      </c>
      <c r="G9" s="6">
        <v>240463.55</v>
      </c>
      <c r="H9" s="6">
        <f t="shared" si="0"/>
        <v>9586750.620000001</v>
      </c>
      <c r="I9" s="6">
        <f t="shared" si="1"/>
        <v>4530.6004820415883</v>
      </c>
    </row>
    <row r="10" spans="1:9" ht="13.5" thickBot="1" x14ac:dyDescent="0.25">
      <c r="A10" s="15" t="s">
        <v>171</v>
      </c>
      <c r="B10" s="8">
        <f t="shared" ref="B10:H10" si="2">SUM(B4:B9)</f>
        <v>105576</v>
      </c>
      <c r="C10" s="8">
        <f t="shared" si="2"/>
        <v>73476997.030000001</v>
      </c>
      <c r="D10" s="8">
        <f t="shared" si="2"/>
        <v>97041593.010000005</v>
      </c>
      <c r="E10" s="8">
        <f t="shared" si="2"/>
        <v>41402571.880000003</v>
      </c>
      <c r="F10" s="8">
        <f t="shared" si="2"/>
        <v>216549941.26999998</v>
      </c>
      <c r="G10" s="8">
        <f t="shared" si="2"/>
        <v>46421512.009999998</v>
      </c>
      <c r="H10" s="8">
        <f t="shared" si="2"/>
        <v>474892615.20000005</v>
      </c>
      <c r="I10" s="8">
        <f t="shared" si="1"/>
        <v>4498.1114571493526</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18590</v>
      </c>
      <c r="C13" s="6">
        <v>23364234.300000001</v>
      </c>
      <c r="D13" s="6">
        <v>24040028.030000001</v>
      </c>
      <c r="E13" s="6">
        <v>8081061.3399999999</v>
      </c>
      <c r="F13" s="6">
        <v>46723998.939999998</v>
      </c>
      <c r="G13" s="6">
        <v>5023805.82</v>
      </c>
      <c r="H13" s="6">
        <f>SUM(C13:G13)</f>
        <v>107233128.43000001</v>
      </c>
      <c r="I13" s="6">
        <f t="shared" ref="I13:I18" si="3">H13/B13</f>
        <v>5768.3232076385157</v>
      </c>
    </row>
    <row r="14" spans="1:9" x14ac:dyDescent="0.2">
      <c r="A14" s="1" t="s">
        <v>82</v>
      </c>
      <c r="B14" s="6">
        <v>8329</v>
      </c>
      <c r="C14" s="6">
        <v>9584740.4100000001</v>
      </c>
      <c r="D14" s="6">
        <v>12091072.109999999</v>
      </c>
      <c r="E14" s="6">
        <v>3563978.78</v>
      </c>
      <c r="F14" s="6">
        <v>18257704.690000001</v>
      </c>
      <c r="G14" s="6">
        <v>2092719.88</v>
      </c>
      <c r="H14" s="6">
        <f>SUM(C14:G14)</f>
        <v>45590215.870000005</v>
      </c>
      <c r="I14" s="6">
        <f t="shared" si="3"/>
        <v>5473.6722139512549</v>
      </c>
    </row>
    <row r="15" spans="1:9" x14ac:dyDescent="0.2">
      <c r="A15" s="1" t="s">
        <v>83</v>
      </c>
      <c r="B15" s="6">
        <v>5258</v>
      </c>
      <c r="C15" s="6">
        <v>6069932.4299999997</v>
      </c>
      <c r="D15" s="6">
        <v>9220470.2599999998</v>
      </c>
      <c r="E15" s="6">
        <v>2916085.36</v>
      </c>
      <c r="F15" s="6">
        <v>11403067.43</v>
      </c>
      <c r="G15" s="6">
        <v>2808601.47</v>
      </c>
      <c r="H15" s="6">
        <f>SUM(C15:G15)</f>
        <v>32418156.949999999</v>
      </c>
      <c r="I15" s="6">
        <f t="shared" si="3"/>
        <v>6165.4920026626096</v>
      </c>
    </row>
    <row r="16" spans="1:9" x14ac:dyDescent="0.2">
      <c r="A16" s="1" t="s">
        <v>84</v>
      </c>
      <c r="B16" s="6">
        <v>7072</v>
      </c>
      <c r="C16" s="6">
        <v>8971116.5299999993</v>
      </c>
      <c r="D16" s="6">
        <v>14477307.99</v>
      </c>
      <c r="E16" s="6">
        <v>5245014.18</v>
      </c>
      <c r="F16" s="6">
        <v>18331488.73</v>
      </c>
      <c r="G16" s="6">
        <v>3347899.87</v>
      </c>
      <c r="H16" s="6">
        <f>SUM(C16:G16)</f>
        <v>50372827.299999997</v>
      </c>
      <c r="I16" s="6">
        <f t="shared" si="3"/>
        <v>7122.8545390271493</v>
      </c>
    </row>
    <row r="17" spans="1:9" x14ac:dyDescent="0.2">
      <c r="A17" s="14" t="s">
        <v>85</v>
      </c>
      <c r="B17" s="6">
        <v>3145</v>
      </c>
      <c r="C17" s="6">
        <v>6742990</v>
      </c>
      <c r="D17" s="6">
        <v>9520745.2799999993</v>
      </c>
      <c r="E17" s="6">
        <v>3356620.71</v>
      </c>
      <c r="F17" s="6">
        <v>12113086.800000001</v>
      </c>
      <c r="G17" s="6">
        <v>2597909.98</v>
      </c>
      <c r="H17" s="6">
        <f>SUM(C17:G17)</f>
        <v>34331352.769999996</v>
      </c>
      <c r="I17" s="6">
        <f t="shared" si="3"/>
        <v>10916.169402225754</v>
      </c>
    </row>
    <row r="18" spans="1:9" ht="13.5" thickBot="1" x14ac:dyDescent="0.25">
      <c r="A18" s="15" t="s">
        <v>172</v>
      </c>
      <c r="B18" s="8">
        <f>SUM(B13:B17)</f>
        <v>42394</v>
      </c>
      <c r="C18" s="8">
        <f t="shared" ref="C18:H18" si="4">SUM(C13:C17)</f>
        <v>54733013.670000002</v>
      </c>
      <c r="D18" s="8">
        <f t="shared" si="4"/>
        <v>69349623.670000002</v>
      </c>
      <c r="E18" s="8">
        <f t="shared" si="4"/>
        <v>23162760.369999997</v>
      </c>
      <c r="F18" s="8">
        <f t="shared" si="4"/>
        <v>106829346.59</v>
      </c>
      <c r="G18" s="8">
        <f t="shared" si="4"/>
        <v>15870937.02</v>
      </c>
      <c r="H18" s="8">
        <f t="shared" si="4"/>
        <v>269945681.31999999</v>
      </c>
      <c r="I18" s="8">
        <f t="shared" si="3"/>
        <v>6367.5444949757039</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177"/>
      <c r="B24" s="178"/>
      <c r="C24" s="178"/>
      <c r="D24" s="178"/>
      <c r="E24" s="178"/>
      <c r="F24" s="178"/>
      <c r="G24" s="178"/>
      <c r="H24" s="178"/>
      <c r="I24" s="6"/>
    </row>
    <row r="25" spans="1:9" ht="13.5" thickBot="1" x14ac:dyDescent="0.25">
      <c r="A25" s="15" t="s">
        <v>174</v>
      </c>
      <c r="B25" s="8">
        <f>B23+B18+B10</f>
        <v>147970</v>
      </c>
      <c r="C25" s="8">
        <f t="shared" ref="C25:H25" si="5">C23+C18+C10</f>
        <v>128210010.7</v>
      </c>
      <c r="D25" s="8">
        <f t="shared" si="5"/>
        <v>166391216.68000001</v>
      </c>
      <c r="E25" s="8">
        <f t="shared" si="5"/>
        <v>64565332.25</v>
      </c>
      <c r="F25" s="8">
        <f t="shared" si="5"/>
        <v>323379287.86000001</v>
      </c>
      <c r="G25" s="8">
        <f t="shared" si="5"/>
        <v>62292449.030000001</v>
      </c>
      <c r="H25" s="8">
        <f t="shared" si="5"/>
        <v>744838296.51999998</v>
      </c>
      <c r="I25" s="8">
        <f>H25/B25</f>
        <v>5033.7115396364125</v>
      </c>
    </row>
    <row r="26" spans="1:9" ht="13.5" thickTop="1" x14ac:dyDescent="0.2">
      <c r="A26" s="1"/>
      <c r="B26" s="6"/>
      <c r="C26" s="6"/>
      <c r="D26" s="6"/>
      <c r="E26" s="6"/>
      <c r="F26" s="6"/>
      <c r="G26" s="6"/>
      <c r="H26" s="6"/>
      <c r="I26" s="6"/>
    </row>
    <row r="27" spans="1:9" x14ac:dyDescent="0.2">
      <c r="A27" s="1"/>
      <c r="B27" s="6"/>
      <c r="C27" s="1"/>
      <c r="D27" s="1"/>
      <c r="E27" s="1"/>
      <c r="F27" s="1"/>
      <c r="G27" s="1"/>
      <c r="H27" s="6"/>
      <c r="I27" s="6"/>
    </row>
    <row r="28" spans="1:9" x14ac:dyDescent="0.2">
      <c r="A28" s="36" t="s">
        <v>200</v>
      </c>
      <c r="B28" s="6"/>
      <c r="C28" s="1"/>
      <c r="D28" s="1"/>
      <c r="E28" s="1"/>
      <c r="F28" s="1"/>
      <c r="G28" s="1"/>
      <c r="H28" s="1"/>
      <c r="I28" s="6"/>
    </row>
    <row r="29" spans="1:9" x14ac:dyDescent="0.2">
      <c r="A29" s="36" t="s">
        <v>434</v>
      </c>
      <c r="B29" s="6"/>
      <c r="C29" s="1"/>
      <c r="D29" s="1"/>
      <c r="E29" s="1"/>
      <c r="F29" s="1"/>
      <c r="G29" s="1"/>
      <c r="H29" s="1"/>
      <c r="I29" s="6"/>
    </row>
    <row r="30" spans="1:9" ht="33.75" x14ac:dyDescent="0.2">
      <c r="A30" s="167" t="s">
        <v>245</v>
      </c>
      <c r="B30" s="160" t="s">
        <v>319</v>
      </c>
      <c r="C30" s="141" t="s">
        <v>370</v>
      </c>
      <c r="D30" s="141" t="s">
        <v>371</v>
      </c>
      <c r="E30" s="141" t="s">
        <v>372</v>
      </c>
      <c r="F30" s="141" t="s">
        <v>373</v>
      </c>
      <c r="G30" s="141" t="s">
        <v>374</v>
      </c>
      <c r="H30" s="160" t="s">
        <v>375</v>
      </c>
      <c r="I30" s="6"/>
    </row>
    <row r="31" spans="1:9" x14ac:dyDescent="0.2">
      <c r="A31" s="20"/>
      <c r="B31" s="16"/>
      <c r="C31" s="16"/>
      <c r="D31" s="16"/>
      <c r="E31" s="16"/>
      <c r="F31" s="16"/>
      <c r="G31" s="16"/>
      <c r="H31" s="17"/>
      <c r="I31" s="6"/>
    </row>
    <row r="32" spans="1:9" x14ac:dyDescent="0.2">
      <c r="A32" s="1" t="s">
        <v>102</v>
      </c>
      <c r="B32" s="6">
        <f t="shared" ref="B32:B37" si="6">B4</f>
        <v>38043</v>
      </c>
      <c r="C32" s="6">
        <f t="shared" ref="C32:H32" si="7">C4/$B$32</f>
        <v>729.01517230502327</v>
      </c>
      <c r="D32" s="6">
        <f t="shared" si="7"/>
        <v>668.92123334121914</v>
      </c>
      <c r="E32" s="6">
        <f t="shared" si="7"/>
        <v>382.66222301080353</v>
      </c>
      <c r="F32" s="6">
        <f t="shared" si="7"/>
        <v>2196.899623583839</v>
      </c>
      <c r="G32" s="6">
        <f t="shared" si="7"/>
        <v>262.21966669295267</v>
      </c>
      <c r="H32" s="6">
        <f t="shared" si="7"/>
        <v>4239.7179189338376</v>
      </c>
      <c r="I32" s="6"/>
    </row>
    <row r="33" spans="1:9" x14ac:dyDescent="0.2">
      <c r="A33" s="1" t="s">
        <v>76</v>
      </c>
      <c r="B33" s="6">
        <f t="shared" si="6"/>
        <v>25370</v>
      </c>
      <c r="C33" s="6">
        <f t="shared" ref="C33:H33" si="8">C5/$B$33</f>
        <v>610.38791525423733</v>
      </c>
      <c r="D33" s="6">
        <f t="shared" si="8"/>
        <v>909.82571895940077</v>
      </c>
      <c r="E33" s="6">
        <f t="shared" si="8"/>
        <v>337.08050453291293</v>
      </c>
      <c r="F33" s="6">
        <f t="shared" si="8"/>
        <v>1980.4719203783995</v>
      </c>
      <c r="G33" s="6">
        <f t="shared" si="8"/>
        <v>534.1185072920772</v>
      </c>
      <c r="H33" s="6">
        <f t="shared" si="8"/>
        <v>4371.8845664170276</v>
      </c>
      <c r="I33" s="6"/>
    </row>
    <row r="34" spans="1:9" x14ac:dyDescent="0.2">
      <c r="A34" s="1" t="s">
        <v>77</v>
      </c>
      <c r="B34" s="6">
        <f t="shared" si="6"/>
        <v>14951</v>
      </c>
      <c r="C34" s="6">
        <f t="shared" ref="C34:H34" si="9">C6/$B$34</f>
        <v>574.58712260049492</v>
      </c>
      <c r="D34" s="6">
        <f t="shared" si="9"/>
        <v>1004.0455380910976</v>
      </c>
      <c r="E34" s="6">
        <f t="shared" si="9"/>
        <v>396.48376229014787</v>
      </c>
      <c r="F34" s="6">
        <f t="shared" si="9"/>
        <v>1897.0157561367132</v>
      </c>
      <c r="G34" s="6">
        <f t="shared" si="9"/>
        <v>516.05515550799282</v>
      </c>
      <c r="H34" s="6">
        <f t="shared" si="9"/>
        <v>4388.1873346264465</v>
      </c>
      <c r="I34" s="6"/>
    </row>
    <row r="35" spans="1:9" x14ac:dyDescent="0.2">
      <c r="A35" s="1" t="s">
        <v>78</v>
      </c>
      <c r="B35" s="6">
        <f t="shared" si="6"/>
        <v>16667</v>
      </c>
      <c r="C35" s="6">
        <f t="shared" ref="C35:H35" si="10">C7/$B$35</f>
        <v>651.67363352732946</v>
      </c>
      <c r="D35" s="6">
        <f t="shared" si="10"/>
        <v>1143.647139257215</v>
      </c>
      <c r="E35" s="6">
        <f t="shared" si="10"/>
        <v>427.16246955060899</v>
      </c>
      <c r="F35" s="6">
        <f t="shared" si="10"/>
        <v>1939.1533143337133</v>
      </c>
      <c r="G35" s="6">
        <f t="shared" si="10"/>
        <v>619.02910961780765</v>
      </c>
      <c r="H35" s="6">
        <f t="shared" si="10"/>
        <v>4780.6656662866753</v>
      </c>
      <c r="I35" s="6"/>
    </row>
    <row r="36" spans="1:9" x14ac:dyDescent="0.2">
      <c r="A36" s="1" t="s">
        <v>79</v>
      </c>
      <c r="B36" s="6">
        <f t="shared" si="6"/>
        <v>8429</v>
      </c>
      <c r="C36" s="6">
        <f t="shared" ref="C36:H36" si="11">C8/$B$36</f>
        <v>1074.8083936410012</v>
      </c>
      <c r="D36" s="6">
        <f t="shared" si="11"/>
        <v>1407.9502064301814</v>
      </c>
      <c r="E36" s="6">
        <f t="shared" si="11"/>
        <v>521.47599122078532</v>
      </c>
      <c r="F36" s="6">
        <f t="shared" si="11"/>
        <v>2119.7991600427099</v>
      </c>
      <c r="G36" s="6">
        <f t="shared" si="11"/>
        <v>548.33792264800093</v>
      </c>
      <c r="H36" s="6">
        <f t="shared" si="11"/>
        <v>5672.3716739826787</v>
      </c>
      <c r="I36" s="6"/>
    </row>
    <row r="37" spans="1:9" x14ac:dyDescent="0.2">
      <c r="A37" s="14" t="s">
        <v>80</v>
      </c>
      <c r="B37" s="6">
        <f t="shared" si="6"/>
        <v>2116</v>
      </c>
      <c r="C37" s="6">
        <f t="shared" ref="C37:H37" si="12">C9/$B$37</f>
        <v>825.08267958412091</v>
      </c>
      <c r="D37" s="6">
        <f t="shared" si="12"/>
        <v>1215.1606994328922</v>
      </c>
      <c r="E37" s="6">
        <f t="shared" si="12"/>
        <v>401.86852079395089</v>
      </c>
      <c r="F37" s="6">
        <f t="shared" si="12"/>
        <v>1974.8479631379962</v>
      </c>
      <c r="G37" s="6">
        <f t="shared" si="12"/>
        <v>113.64061909262759</v>
      </c>
      <c r="H37" s="6">
        <f t="shared" si="12"/>
        <v>4530.6004820415883</v>
      </c>
      <c r="I37" s="6"/>
    </row>
    <row r="38" spans="1:9" ht="13.5" thickBot="1" x14ac:dyDescent="0.25">
      <c r="A38" s="15" t="s">
        <v>171</v>
      </c>
      <c r="B38" s="8">
        <f>SUM(B32:B37)</f>
        <v>105576</v>
      </c>
      <c r="C38" s="8">
        <f t="shared" ref="C38:H38" si="13">C10/$B$38</f>
        <v>695.96306954232023</v>
      </c>
      <c r="D38" s="8">
        <f t="shared" si="13"/>
        <v>919.16338002955217</v>
      </c>
      <c r="E38" s="8">
        <f t="shared" si="13"/>
        <v>392.1589365007199</v>
      </c>
      <c r="F38" s="8">
        <f t="shared" si="13"/>
        <v>2051.128488198075</v>
      </c>
      <c r="G38" s="8">
        <f t="shared" si="13"/>
        <v>439.69758287868456</v>
      </c>
      <c r="H38" s="8">
        <f t="shared" si="13"/>
        <v>4498.1114571493526</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18590</v>
      </c>
      <c r="C41" s="6">
        <f t="shared" ref="C41:H41" si="14">C13/$B$41</f>
        <v>1256.8173372781066</v>
      </c>
      <c r="D41" s="6">
        <f t="shared" si="14"/>
        <v>1293.1698778913394</v>
      </c>
      <c r="E41" s="6">
        <f t="shared" si="14"/>
        <v>434.69937278106511</v>
      </c>
      <c r="F41" s="6">
        <f t="shared" si="14"/>
        <v>2513.3942409897795</v>
      </c>
      <c r="G41" s="6">
        <f t="shared" si="14"/>
        <v>270.24237869822485</v>
      </c>
      <c r="H41" s="6">
        <f t="shared" si="14"/>
        <v>5768.3232076385157</v>
      </c>
      <c r="I41" s="6"/>
    </row>
    <row r="42" spans="1:9" x14ac:dyDescent="0.2">
      <c r="A42" s="1" t="s">
        <v>82</v>
      </c>
      <c r="B42" s="6">
        <f>B14</f>
        <v>8329</v>
      </c>
      <c r="C42" s="6">
        <f t="shared" ref="C42:H42" si="15">C14/$B$42</f>
        <v>1150.7672481690479</v>
      </c>
      <c r="D42" s="6">
        <f t="shared" si="15"/>
        <v>1451.6835286348901</v>
      </c>
      <c r="E42" s="6">
        <f t="shared" si="15"/>
        <v>427.89996158002157</v>
      </c>
      <c r="F42" s="6">
        <f t="shared" si="15"/>
        <v>2192.0644363068795</v>
      </c>
      <c r="G42" s="6">
        <f t="shared" si="15"/>
        <v>251.25703926041541</v>
      </c>
      <c r="H42" s="6">
        <f t="shared" si="15"/>
        <v>5473.6722139512549</v>
      </c>
      <c r="I42" s="6"/>
    </row>
    <row r="43" spans="1:9" x14ac:dyDescent="0.2">
      <c r="A43" s="1" t="s">
        <v>83</v>
      </c>
      <c r="B43" s="6">
        <f>B15</f>
        <v>5258</v>
      </c>
      <c r="C43" s="6">
        <f t="shared" ref="C43:H43" si="16">C15/$B$43</f>
        <v>1154.4184918219855</v>
      </c>
      <c r="D43" s="6">
        <f t="shared" si="16"/>
        <v>1753.6078851274249</v>
      </c>
      <c r="E43" s="6">
        <f t="shared" si="16"/>
        <v>554.59972613160892</v>
      </c>
      <c r="F43" s="6">
        <f t="shared" si="16"/>
        <v>2168.7081456827691</v>
      </c>
      <c r="G43" s="6">
        <f t="shared" si="16"/>
        <v>534.15775389882083</v>
      </c>
      <c r="H43" s="6">
        <f t="shared" si="16"/>
        <v>6165.4920026626096</v>
      </c>
      <c r="I43" s="6"/>
    </row>
    <row r="44" spans="1:9" x14ac:dyDescent="0.2">
      <c r="A44" s="1" t="s">
        <v>84</v>
      </c>
      <c r="B44" s="6">
        <f>B16</f>
        <v>7072</v>
      </c>
      <c r="C44" s="6">
        <f t="shared" ref="C44:H44" si="17">C16/$B$44</f>
        <v>1268.5402333144796</v>
      </c>
      <c r="D44" s="6">
        <f t="shared" si="17"/>
        <v>2047.1306546945702</v>
      </c>
      <c r="E44" s="6">
        <f t="shared" si="17"/>
        <v>741.65924490950226</v>
      </c>
      <c r="F44" s="6">
        <f t="shared" si="17"/>
        <v>2592.1222751696832</v>
      </c>
      <c r="G44" s="6">
        <f t="shared" si="17"/>
        <v>473.40213093891407</v>
      </c>
      <c r="H44" s="6">
        <f t="shared" si="17"/>
        <v>7122.8545390271493</v>
      </c>
      <c r="I44" s="6"/>
    </row>
    <row r="45" spans="1:9" x14ac:dyDescent="0.2">
      <c r="A45" s="14" t="s">
        <v>85</v>
      </c>
      <c r="B45" s="6">
        <f>B17</f>
        <v>3145</v>
      </c>
      <c r="C45" s="6">
        <f t="shared" ref="C45:H45" si="18">C17/$B$45</f>
        <v>2144.0349761526231</v>
      </c>
      <c r="D45" s="6">
        <f t="shared" si="18"/>
        <v>3027.2639999999997</v>
      </c>
      <c r="E45" s="6">
        <f t="shared" si="18"/>
        <v>1067.2879841017489</v>
      </c>
      <c r="F45" s="6">
        <f t="shared" si="18"/>
        <v>3851.5379332273451</v>
      </c>
      <c r="G45" s="6">
        <f t="shared" si="18"/>
        <v>826.04450874403813</v>
      </c>
      <c r="H45" s="6">
        <f t="shared" si="18"/>
        <v>10916.169402225754</v>
      </c>
      <c r="I45" s="122"/>
    </row>
    <row r="46" spans="1:9" ht="13.5" thickBot="1" x14ac:dyDescent="0.25">
      <c r="A46" s="15" t="s">
        <v>172</v>
      </c>
      <c r="B46" s="8">
        <f>SUM(B41:B45)</f>
        <v>42394</v>
      </c>
      <c r="C46" s="8">
        <f t="shared" ref="C46:H46" si="19">C18/$B$46</f>
        <v>1291.0556604708213</v>
      </c>
      <c r="D46" s="8">
        <f t="shared" si="19"/>
        <v>1635.8358180402888</v>
      </c>
      <c r="E46" s="8">
        <f t="shared" si="19"/>
        <v>546.36883450488267</v>
      </c>
      <c r="F46" s="8">
        <f t="shared" si="19"/>
        <v>2519.9166530641128</v>
      </c>
      <c r="G46" s="8">
        <f t="shared" si="19"/>
        <v>374.36752889559841</v>
      </c>
      <c r="H46" s="8">
        <f t="shared" si="19"/>
        <v>6367.5444949757039</v>
      </c>
      <c r="I46" s="122"/>
    </row>
    <row r="47" spans="1:9" ht="13.5" thickTop="1" x14ac:dyDescent="0.2">
      <c r="A47" s="1"/>
      <c r="B47" s="6"/>
      <c r="C47" s="6"/>
      <c r="D47" s="6"/>
      <c r="E47" s="6"/>
      <c r="F47" s="6"/>
      <c r="G47" s="6"/>
      <c r="H47" s="6"/>
      <c r="I47" s="122"/>
    </row>
    <row r="48" spans="1:9" x14ac:dyDescent="0.2">
      <c r="A48" s="1"/>
      <c r="B48" s="6"/>
      <c r="C48" s="6"/>
      <c r="D48" s="6"/>
      <c r="E48" s="6"/>
      <c r="F48" s="6"/>
      <c r="G48" s="6"/>
      <c r="H48" s="6"/>
      <c r="I48" s="122"/>
    </row>
    <row r="49" spans="1:9" x14ac:dyDescent="0.2">
      <c r="A49" s="1" t="s">
        <v>377</v>
      </c>
      <c r="B49" s="6"/>
      <c r="C49" s="6"/>
      <c r="D49" s="6"/>
      <c r="E49" s="6"/>
      <c r="F49" s="6"/>
      <c r="G49" s="6"/>
      <c r="H49" s="6"/>
      <c r="I49" s="122"/>
    </row>
    <row r="50" spans="1:9" x14ac:dyDescent="0.2">
      <c r="A50" s="14" t="s">
        <v>376</v>
      </c>
      <c r="B50" s="6"/>
      <c r="C50" s="6"/>
      <c r="D50" s="6"/>
      <c r="E50" s="6"/>
      <c r="F50" s="6"/>
      <c r="G50" s="6"/>
      <c r="H50" s="6"/>
      <c r="I50" s="122"/>
    </row>
    <row r="51" spans="1:9" ht="13.5" thickBot="1" x14ac:dyDescent="0.25">
      <c r="A51" s="15" t="s">
        <v>173</v>
      </c>
      <c r="B51" s="8"/>
      <c r="C51" s="8"/>
      <c r="D51" s="8"/>
      <c r="E51" s="8"/>
      <c r="F51" s="8"/>
      <c r="G51" s="8"/>
      <c r="H51" s="8"/>
      <c r="I51" s="122"/>
    </row>
    <row r="52" spans="1:9" ht="14.25" thickTop="1" thickBot="1" x14ac:dyDescent="0.25">
      <c r="A52" s="41"/>
      <c r="B52" s="42"/>
      <c r="C52" s="42"/>
      <c r="D52" s="42"/>
      <c r="E52" s="42"/>
      <c r="F52" s="42"/>
      <c r="G52" s="42"/>
      <c r="H52" s="42"/>
      <c r="I52" s="122"/>
    </row>
    <row r="53" spans="1:9" ht="13.5" thickBot="1" x14ac:dyDescent="0.25">
      <c r="A53" s="26" t="s">
        <v>174</v>
      </c>
      <c r="B53" s="27">
        <f>B51+B46+B38</f>
        <v>147970</v>
      </c>
      <c r="C53" s="27">
        <f t="shared" ref="C53:H53" si="20">C25/$B$53</f>
        <v>866.45948976143814</v>
      </c>
      <c r="D53" s="27">
        <f t="shared" si="20"/>
        <v>1124.4929153206731</v>
      </c>
      <c r="E53" s="27">
        <f t="shared" si="20"/>
        <v>436.34069237007503</v>
      </c>
      <c r="F53" s="27">
        <f t="shared" si="20"/>
        <v>2185.4381824694196</v>
      </c>
      <c r="G53" s="27">
        <f t="shared" si="20"/>
        <v>420.98025971480706</v>
      </c>
      <c r="H53" s="27">
        <f t="shared" si="20"/>
        <v>5033.7115396364125</v>
      </c>
      <c r="I53" s="122"/>
    </row>
    <row r="54" spans="1:9" ht="13.5" thickTop="1" x14ac:dyDescent="0.2">
      <c r="A54" s="1"/>
      <c r="B54" s="6"/>
      <c r="C54" s="6"/>
      <c r="D54" s="6"/>
      <c r="E54" s="6"/>
      <c r="F54" s="6"/>
      <c r="G54" s="6"/>
      <c r="H54" s="6"/>
    </row>
    <row r="55" spans="1:9" x14ac:dyDescent="0.2">
      <c r="A55" s="1"/>
      <c r="B55" s="6"/>
      <c r="C55" s="6"/>
      <c r="D55" s="6"/>
      <c r="E55" s="6"/>
      <c r="F55" s="6"/>
      <c r="G55" s="6"/>
      <c r="H55" s="6"/>
    </row>
    <row r="56" spans="1:9" x14ac:dyDescent="0.2">
      <c r="A56" s="36" t="s">
        <v>200</v>
      </c>
      <c r="B56" s="1"/>
      <c r="C56" s="1"/>
      <c r="D56" s="1"/>
      <c r="E56" s="1"/>
      <c r="F56" s="1"/>
      <c r="G56" s="1"/>
      <c r="H56" s="1"/>
    </row>
    <row r="57" spans="1:9" x14ac:dyDescent="0.2">
      <c r="A57" s="36" t="s">
        <v>435</v>
      </c>
      <c r="B57" s="1"/>
      <c r="C57" s="1"/>
      <c r="D57" s="1"/>
      <c r="E57" s="1"/>
      <c r="F57" s="1"/>
      <c r="G57" s="1"/>
      <c r="H57" s="1"/>
    </row>
    <row r="58" spans="1:9" ht="33.75" x14ac:dyDescent="0.2">
      <c r="A58" s="167" t="s">
        <v>245</v>
      </c>
      <c r="B58" s="160" t="s">
        <v>319</v>
      </c>
      <c r="C58" s="141" t="s">
        <v>370</v>
      </c>
      <c r="D58" s="141" t="s">
        <v>371</v>
      </c>
      <c r="E58" s="141" t="s">
        <v>372</v>
      </c>
      <c r="F58" s="141" t="s">
        <v>373</v>
      </c>
      <c r="G58" s="141" t="s">
        <v>374</v>
      </c>
      <c r="H58" s="160" t="s">
        <v>375</v>
      </c>
    </row>
    <row r="59" spans="1:9" x14ac:dyDescent="0.2">
      <c r="A59" s="1" t="s">
        <v>102</v>
      </c>
      <c r="B59" s="6">
        <f>B4</f>
        <v>38043</v>
      </c>
      <c r="C59" s="9">
        <f>C4/H4</f>
        <v>0.1719489801548752</v>
      </c>
      <c r="D59" s="9">
        <f t="shared" ref="D59:D64" si="21">D32/H32</f>
        <v>0.15777493836416193</v>
      </c>
      <c r="E59" s="9">
        <f t="shared" ref="E59:E64" si="22">E32/H32</f>
        <v>9.0256528931300137E-2</v>
      </c>
      <c r="F59" s="9">
        <f t="shared" ref="F59:F64" si="23">F32/H32</f>
        <v>0.51817117685421243</v>
      </c>
      <c r="G59" s="9">
        <f t="shared" ref="G59:G64" si="24">G32/H32</f>
        <v>6.1848375695450299E-2</v>
      </c>
      <c r="H59" s="28">
        <f>SUM(C59:G59)</f>
        <v>1</v>
      </c>
    </row>
    <row r="60" spans="1:9" x14ac:dyDescent="0.2">
      <c r="A60" s="1" t="s">
        <v>76</v>
      </c>
      <c r="B60" s="6">
        <f t="shared" ref="B60:B80" si="25">B5</f>
        <v>25370</v>
      </c>
      <c r="C60" s="9">
        <f t="shared" ref="C60:C65" si="26">C33/H33</f>
        <v>0.13961665867003437</v>
      </c>
      <c r="D60" s="9">
        <f t="shared" si="21"/>
        <v>0.20810835810906309</v>
      </c>
      <c r="E60" s="9">
        <f t="shared" si="22"/>
        <v>7.7101876641991682E-2</v>
      </c>
      <c r="F60" s="9">
        <f t="shared" si="23"/>
        <v>0.45300187831846001</v>
      </c>
      <c r="G60" s="9">
        <f t="shared" si="24"/>
        <v>0.12217122826045092</v>
      </c>
      <c r="H60" s="28">
        <f t="shared" ref="H60:H80" si="27">SUM(C60:G60)</f>
        <v>1.0000000000000002</v>
      </c>
    </row>
    <row r="61" spans="1:9" x14ac:dyDescent="0.2">
      <c r="A61" s="1" t="s">
        <v>77</v>
      </c>
      <c r="B61" s="6">
        <f t="shared" si="25"/>
        <v>14951</v>
      </c>
      <c r="C61" s="9">
        <f t="shared" si="26"/>
        <v>0.13093951529063602</v>
      </c>
      <c r="D61" s="9">
        <f t="shared" si="21"/>
        <v>0.22880644364663821</v>
      </c>
      <c r="E61" s="9">
        <f t="shared" si="22"/>
        <v>9.0352515071897982E-2</v>
      </c>
      <c r="F61" s="9">
        <f t="shared" si="23"/>
        <v>0.4323005404002882</v>
      </c>
      <c r="G61" s="9">
        <f t="shared" si="24"/>
        <v>0.11760098559053954</v>
      </c>
      <c r="H61" s="28">
        <f t="shared" si="27"/>
        <v>1</v>
      </c>
    </row>
    <row r="62" spans="1:9" x14ac:dyDescent="0.2">
      <c r="A62" s="1" t="s">
        <v>78</v>
      </c>
      <c r="B62" s="6">
        <f t="shared" si="25"/>
        <v>16667</v>
      </c>
      <c r="C62" s="9">
        <f t="shared" si="26"/>
        <v>0.13631441289085358</v>
      </c>
      <c r="D62" s="9">
        <f t="shared" si="21"/>
        <v>0.23922340926750671</v>
      </c>
      <c r="E62" s="9">
        <f t="shared" si="22"/>
        <v>8.9352090141539289E-2</v>
      </c>
      <c r="F62" s="9">
        <f t="shared" si="23"/>
        <v>0.40562412218211596</v>
      </c>
      <c r="G62" s="9">
        <f t="shared" si="24"/>
        <v>0.12948596551798425</v>
      </c>
      <c r="H62" s="28">
        <f t="shared" si="27"/>
        <v>0.99999999999999978</v>
      </c>
    </row>
    <row r="63" spans="1:9" x14ac:dyDescent="0.2">
      <c r="A63" s="1" t="s">
        <v>79</v>
      </c>
      <c r="B63" s="6">
        <f t="shared" si="25"/>
        <v>8429</v>
      </c>
      <c r="C63" s="9">
        <f t="shared" si="26"/>
        <v>0.18948130612999095</v>
      </c>
      <c r="D63" s="9">
        <f t="shared" si="21"/>
        <v>0.24821190982389085</v>
      </c>
      <c r="E63" s="9">
        <f t="shared" si="22"/>
        <v>9.1932620285202021E-2</v>
      </c>
      <c r="F63" s="9">
        <f t="shared" si="23"/>
        <v>0.3737059702497173</v>
      </c>
      <c r="G63" s="9">
        <f t="shared" si="24"/>
        <v>9.6668193511198916E-2</v>
      </c>
      <c r="H63" s="28">
        <f t="shared" si="27"/>
        <v>1</v>
      </c>
    </row>
    <row r="64" spans="1:9" x14ac:dyDescent="0.2">
      <c r="A64" s="14" t="s">
        <v>80</v>
      </c>
      <c r="B64" s="7">
        <f t="shared" si="25"/>
        <v>2116</v>
      </c>
      <c r="C64" s="9">
        <f t="shared" si="26"/>
        <v>0.18211331651391174</v>
      </c>
      <c r="D64" s="9">
        <f t="shared" si="21"/>
        <v>0.26821184173037349</v>
      </c>
      <c r="E64" s="9">
        <f t="shared" si="22"/>
        <v>8.8700939839405149E-2</v>
      </c>
      <c r="F64" s="9">
        <f t="shared" si="23"/>
        <v>0.43589099744413706</v>
      </c>
      <c r="G64" s="9">
        <f t="shared" si="24"/>
        <v>2.5082904472172443E-2</v>
      </c>
      <c r="H64" s="28">
        <f t="shared" si="27"/>
        <v>0.99999999999999989</v>
      </c>
    </row>
    <row r="65" spans="1:8" ht="13.5" thickBot="1" x14ac:dyDescent="0.25">
      <c r="A65" s="15" t="s">
        <v>171</v>
      </c>
      <c r="B65" s="8">
        <f t="shared" si="25"/>
        <v>105576</v>
      </c>
      <c r="C65" s="11">
        <f t="shared" si="26"/>
        <v>0.15472339362248308</v>
      </c>
      <c r="D65" s="11">
        <f>D38/H38</f>
        <v>0.20434428732721213</v>
      </c>
      <c r="E65" s="11">
        <f>E38/H38</f>
        <v>8.7183018970643275E-2</v>
      </c>
      <c r="F65" s="11">
        <f>F38/H38</f>
        <v>0.45599770208850354</v>
      </c>
      <c r="G65" s="11">
        <f>G38/H38</f>
        <v>9.7751597991157804E-2</v>
      </c>
      <c r="H65" s="28">
        <f t="shared" si="27"/>
        <v>0.99999999999999989</v>
      </c>
    </row>
    <row r="66" spans="1:8" ht="13.5" thickTop="1" x14ac:dyDescent="0.2">
      <c r="A66" s="1"/>
      <c r="B66" s="6"/>
      <c r="C66" s="6"/>
      <c r="D66" s="6"/>
      <c r="E66" s="6"/>
      <c r="F66" s="6"/>
      <c r="G66" s="6"/>
      <c r="H66" s="28"/>
    </row>
    <row r="67" spans="1:8" x14ac:dyDescent="0.2">
      <c r="A67" s="1"/>
      <c r="B67" s="6"/>
      <c r="C67" s="6"/>
      <c r="D67" s="6"/>
      <c r="E67" s="6"/>
      <c r="F67" s="6"/>
      <c r="G67" s="6"/>
      <c r="H67" s="28"/>
    </row>
    <row r="68" spans="1:8" x14ac:dyDescent="0.2">
      <c r="A68" s="1" t="s">
        <v>81</v>
      </c>
      <c r="B68" s="6">
        <f t="shared" si="25"/>
        <v>18590</v>
      </c>
      <c r="C68" s="9">
        <f t="shared" ref="C68:C73" si="28">C41/H41</f>
        <v>0.2178826137227898</v>
      </c>
      <c r="D68" s="9">
        <f t="shared" ref="D68:D73" si="29">D41/H41</f>
        <v>0.22418471214978053</v>
      </c>
      <c r="E68" s="9">
        <f t="shared" ref="E68:E73" si="30">E41/H41</f>
        <v>7.5359746174664496E-2</v>
      </c>
      <c r="F68" s="9">
        <f t="shared" ref="F68:F73" si="31">F41/H41</f>
        <v>0.43572354573708671</v>
      </c>
      <c r="G68" s="9">
        <f t="shared" ref="G68:G73" si="32">G41/H41</f>
        <v>4.6849382215678401E-2</v>
      </c>
      <c r="H68" s="28">
        <f t="shared" si="27"/>
        <v>0.99999999999999989</v>
      </c>
    </row>
    <row r="69" spans="1:8" x14ac:dyDescent="0.2">
      <c r="A69" s="1" t="s">
        <v>82</v>
      </c>
      <c r="B69" s="6">
        <f t="shared" si="25"/>
        <v>8329</v>
      </c>
      <c r="C69" s="9">
        <f t="shared" si="28"/>
        <v>0.21023678495690351</v>
      </c>
      <c r="D69" s="9">
        <f t="shared" si="29"/>
        <v>0.26521199514557153</v>
      </c>
      <c r="E69" s="9">
        <f t="shared" si="30"/>
        <v>7.8174202775495638E-2</v>
      </c>
      <c r="F69" s="9">
        <f t="shared" si="31"/>
        <v>0.40047418819120406</v>
      </c>
      <c r="G69" s="9">
        <f t="shared" si="32"/>
        <v>4.5902828930825153E-2</v>
      </c>
      <c r="H69" s="28">
        <f t="shared" si="27"/>
        <v>0.99999999999999989</v>
      </c>
    </row>
    <row r="70" spans="1:8" x14ac:dyDescent="0.2">
      <c r="A70" s="1" t="s">
        <v>83</v>
      </c>
      <c r="B70" s="6">
        <f t="shared" si="25"/>
        <v>5258</v>
      </c>
      <c r="C70" s="9">
        <f t="shared" si="28"/>
        <v>0.18723866502842629</v>
      </c>
      <c r="D70" s="9">
        <f t="shared" si="29"/>
        <v>0.28442302485675391</v>
      </c>
      <c r="E70" s="9">
        <f t="shared" si="30"/>
        <v>8.9952225368567715E-2</v>
      </c>
      <c r="F70" s="9">
        <f t="shared" si="31"/>
        <v>0.35174940535908533</v>
      </c>
      <c r="G70" s="9">
        <f t="shared" si="32"/>
        <v>8.6636679387166696E-2</v>
      </c>
      <c r="H70" s="28">
        <f t="shared" si="27"/>
        <v>1</v>
      </c>
    </row>
    <row r="71" spans="1:8" x14ac:dyDescent="0.2">
      <c r="A71" s="1" t="s">
        <v>84</v>
      </c>
      <c r="B71" s="6">
        <f t="shared" si="25"/>
        <v>7072</v>
      </c>
      <c r="C71" s="9">
        <f t="shared" si="28"/>
        <v>0.17809436179890581</v>
      </c>
      <c r="D71" s="9">
        <f t="shared" si="29"/>
        <v>0.28740312517657712</v>
      </c>
      <c r="E71" s="9">
        <f t="shared" si="30"/>
        <v>0.10412387910574954</v>
      </c>
      <c r="F71" s="9">
        <f t="shared" si="31"/>
        <v>0.36391621659084439</v>
      </c>
      <c r="G71" s="9">
        <f t="shared" si="32"/>
        <v>6.6462417327923157E-2</v>
      </c>
      <c r="H71" s="28">
        <f t="shared" si="27"/>
        <v>1</v>
      </c>
    </row>
    <row r="72" spans="1:8" x14ac:dyDescent="0.2">
      <c r="A72" s="14" t="s">
        <v>85</v>
      </c>
      <c r="B72" s="7">
        <f t="shared" si="25"/>
        <v>3145</v>
      </c>
      <c r="C72" s="9">
        <f t="shared" si="28"/>
        <v>0.19640909710648727</v>
      </c>
      <c r="D72" s="9">
        <f t="shared" si="29"/>
        <v>0.27731925810740488</v>
      </c>
      <c r="E72" s="9">
        <f t="shared" si="30"/>
        <v>9.7771291812687885E-2</v>
      </c>
      <c r="F72" s="9">
        <f t="shared" si="31"/>
        <v>0.35282870678445455</v>
      </c>
      <c r="G72" s="9">
        <f t="shared" si="32"/>
        <v>7.5671646188965477E-2</v>
      </c>
      <c r="H72" s="28">
        <f t="shared" si="27"/>
        <v>1</v>
      </c>
    </row>
    <row r="73" spans="1:8" ht="13.5" thickBot="1" x14ac:dyDescent="0.25">
      <c r="A73" s="15" t="s">
        <v>172</v>
      </c>
      <c r="B73" s="8">
        <f t="shared" si="25"/>
        <v>42394</v>
      </c>
      <c r="C73" s="11">
        <f t="shared" si="28"/>
        <v>0.20275565588737163</v>
      </c>
      <c r="D73" s="11">
        <f t="shared" si="29"/>
        <v>0.2569021416860206</v>
      </c>
      <c r="E73" s="11">
        <f t="shared" si="30"/>
        <v>8.5805263698745055E-2</v>
      </c>
      <c r="F73" s="11">
        <f t="shared" si="31"/>
        <v>0.39574386249714427</v>
      </c>
      <c r="G73" s="11">
        <f t="shared" si="32"/>
        <v>5.8793076230718486E-2</v>
      </c>
      <c r="H73" s="28">
        <f t="shared" si="27"/>
        <v>1</v>
      </c>
    </row>
    <row r="74" spans="1:8" ht="13.5" thickTop="1" x14ac:dyDescent="0.2">
      <c r="A74" s="1"/>
      <c r="B74" s="6"/>
      <c r="C74" s="6"/>
      <c r="D74" s="6"/>
      <c r="E74" s="6"/>
      <c r="F74" s="6"/>
      <c r="G74" s="6"/>
      <c r="H74" s="28"/>
    </row>
    <row r="75" spans="1:8" x14ac:dyDescent="0.2">
      <c r="A75" s="1"/>
      <c r="B75" s="6"/>
      <c r="C75" s="6"/>
      <c r="D75" s="6"/>
      <c r="E75" s="6"/>
      <c r="F75" s="6"/>
      <c r="G75" s="6"/>
      <c r="H75" s="28"/>
    </row>
    <row r="76" spans="1:8" x14ac:dyDescent="0.2">
      <c r="A76" s="1" t="s">
        <v>377</v>
      </c>
      <c r="B76" s="6"/>
      <c r="C76" s="9"/>
      <c r="D76" s="9"/>
      <c r="E76" s="9"/>
      <c r="F76" s="9"/>
      <c r="G76" s="9"/>
      <c r="H76" s="28"/>
    </row>
    <row r="77" spans="1:8" x14ac:dyDescent="0.2">
      <c r="A77" s="14" t="s">
        <v>376</v>
      </c>
      <c r="B77" s="7"/>
      <c r="C77" s="9"/>
      <c r="D77" s="9"/>
      <c r="E77" s="9"/>
      <c r="F77" s="9"/>
      <c r="G77" s="9"/>
      <c r="H77" s="28"/>
    </row>
    <row r="78" spans="1:8" ht="13.5" thickBot="1" x14ac:dyDescent="0.25">
      <c r="A78" s="15" t="s">
        <v>173</v>
      </c>
      <c r="B78" s="8"/>
      <c r="C78" s="11"/>
      <c r="D78" s="11"/>
      <c r="E78" s="11"/>
      <c r="F78" s="11"/>
      <c r="G78" s="11"/>
      <c r="H78" s="28"/>
    </row>
    <row r="79" spans="1:8" ht="13.5" thickTop="1" x14ac:dyDescent="0.2">
      <c r="A79" s="177"/>
      <c r="B79" s="6"/>
      <c r="C79" s="6"/>
      <c r="D79" s="6"/>
      <c r="E79" s="6"/>
      <c r="F79" s="6"/>
      <c r="G79" s="6"/>
      <c r="H79" s="6"/>
    </row>
    <row r="80" spans="1:8" ht="13.5" thickBot="1" x14ac:dyDescent="0.25">
      <c r="A80" s="15" t="s">
        <v>208</v>
      </c>
      <c r="B80" s="8">
        <f t="shared" si="25"/>
        <v>147970</v>
      </c>
      <c r="C80" s="11">
        <f>C53/H53</f>
        <v>0.17213133548451665</v>
      </c>
      <c r="D80" s="11">
        <f>D53/H53</f>
        <v>0.22339240269653907</v>
      </c>
      <c r="E80" s="11">
        <f>E53/H53</f>
        <v>8.6683690341459688E-2</v>
      </c>
      <c r="F80" s="11">
        <f>F53/H53</f>
        <v>0.43416039343153839</v>
      </c>
      <c r="G80" s="11">
        <f>G53/H53</f>
        <v>8.3632178045946332E-2</v>
      </c>
      <c r="H80" s="28">
        <f t="shared" si="27"/>
        <v>1</v>
      </c>
    </row>
    <row r="81" spans="1:8" ht="13.5" thickTop="1" x14ac:dyDescent="0.2">
      <c r="A81" s="1"/>
      <c r="B81" s="1"/>
      <c r="C81" s="1"/>
      <c r="D81" s="1"/>
      <c r="E81" s="1"/>
      <c r="F81" s="1"/>
      <c r="G81" s="1"/>
      <c r="H81" s="1"/>
    </row>
    <row r="82" spans="1:8" x14ac:dyDescent="0.2">
      <c r="A82" s="1"/>
      <c r="B82" s="1"/>
      <c r="C82" s="1"/>
      <c r="D82" s="1"/>
      <c r="E82" s="1"/>
      <c r="F82" s="1"/>
      <c r="G82" s="1"/>
      <c r="H82" s="1"/>
    </row>
  </sheetData>
  <phoneticPr fontId="7" type="noConversion"/>
  <pageMargins left="0.25" right="0.25" top="1" bottom="1" header="0.5" footer="0.5"/>
  <pageSetup orientation="landscape" r:id="rId1"/>
  <headerFooter alignWithMargins="0">
    <oddFooter>&amp;L&amp;Z&amp;F</oddFooter>
  </headerFooter>
  <rowBreaks count="2" manualBreakCount="2">
    <brk id="25" max="9" man="1"/>
    <brk id="53" max="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tabColor rgb="FFFFFF00"/>
  </sheetPr>
  <dimension ref="A1:AM97"/>
  <sheetViews>
    <sheetView topLeftCell="O1" zoomScaleNormal="100" workbookViewId="0">
      <selection activeCell="AM31" sqref="AM31"/>
    </sheetView>
  </sheetViews>
  <sheetFormatPr defaultColWidth="9.140625" defaultRowHeight="12.75" x14ac:dyDescent="0.2"/>
  <cols>
    <col min="1" max="1" width="27.140625" bestFit="1" customWidth="1"/>
    <col min="2" max="9" width="5.85546875" bestFit="1" customWidth="1"/>
    <col min="10" max="10" width="5.7109375" bestFit="1" customWidth="1"/>
    <col min="11" max="15" width="6.85546875" style="148" bestFit="1" customWidth="1"/>
    <col min="16" max="16" width="6.85546875" bestFit="1" customWidth="1"/>
    <col min="17" max="19" width="5.7109375" bestFit="1" customWidth="1"/>
    <col min="20" max="20" width="6.140625" bestFit="1" customWidth="1"/>
    <col min="21" max="21" width="6.140625" customWidth="1"/>
    <col min="22" max="22" width="7.5703125" customWidth="1"/>
    <col min="25" max="25" width="7.7109375" customWidth="1"/>
  </cols>
  <sheetData>
    <row r="1" spans="1:39" x14ac:dyDescent="0.2">
      <c r="A1" s="132" t="s">
        <v>247</v>
      </c>
      <c r="B1" s="132"/>
      <c r="C1" s="132"/>
      <c r="D1" s="132"/>
    </row>
    <row r="2" spans="1:39" ht="14.25" x14ac:dyDescent="0.2">
      <c r="A2" s="132" t="s">
        <v>431</v>
      </c>
      <c r="B2" s="132"/>
      <c r="C2" s="132"/>
      <c r="D2" s="132"/>
    </row>
    <row r="3" spans="1:39" x14ac:dyDescent="0.2">
      <c r="P3" s="133"/>
    </row>
    <row r="4" spans="1:39" ht="52.5" customHeight="1" x14ac:dyDescent="0.2">
      <c r="A4" s="143" t="s">
        <v>245</v>
      </c>
      <c r="B4" s="146" t="s">
        <v>360</v>
      </c>
      <c r="C4" s="146" t="s">
        <v>361</v>
      </c>
      <c r="D4" s="146" t="s">
        <v>362</v>
      </c>
      <c r="E4" s="146" t="s">
        <v>195</v>
      </c>
      <c r="F4" s="146" t="s">
        <v>196</v>
      </c>
      <c r="G4" s="146" t="s">
        <v>197</v>
      </c>
      <c r="H4" s="146" t="s">
        <v>198</v>
      </c>
      <c r="I4" s="146" t="s">
        <v>158</v>
      </c>
      <c r="J4" s="146" t="s">
        <v>199</v>
      </c>
      <c r="K4" s="147">
        <v>2000</v>
      </c>
      <c r="L4" s="147">
        <v>2001</v>
      </c>
      <c r="M4" s="147">
        <v>2002</v>
      </c>
      <c r="N4" s="147">
        <v>2003</v>
      </c>
      <c r="O4" s="147">
        <v>2004</v>
      </c>
      <c r="P4" s="147">
        <v>2005</v>
      </c>
      <c r="Q4" s="147">
        <v>2006</v>
      </c>
      <c r="R4" s="147">
        <v>2007</v>
      </c>
      <c r="S4" s="147">
        <v>2008</v>
      </c>
      <c r="T4" s="246" t="s">
        <v>28</v>
      </c>
      <c r="U4" s="246" t="s">
        <v>26</v>
      </c>
      <c r="V4" s="246" t="s">
        <v>1066</v>
      </c>
      <c r="W4" s="246" t="s">
        <v>1067</v>
      </c>
      <c r="X4" s="246" t="s">
        <v>1068</v>
      </c>
      <c r="Y4" s="246" t="s">
        <v>1119</v>
      </c>
      <c r="Z4" s="246" t="s">
        <v>1120</v>
      </c>
      <c r="AA4" s="246" t="s">
        <v>1121</v>
      </c>
      <c r="AB4" s="147">
        <v>2012</v>
      </c>
      <c r="AC4" s="311">
        <v>2013</v>
      </c>
      <c r="AD4" s="311">
        <v>2014</v>
      </c>
      <c r="AE4" s="311">
        <v>2015</v>
      </c>
      <c r="AF4" s="311">
        <v>2016</v>
      </c>
      <c r="AG4" s="311">
        <v>2017</v>
      </c>
      <c r="AH4" s="311">
        <v>2018</v>
      </c>
      <c r="AI4" s="311">
        <v>2019</v>
      </c>
      <c r="AJ4" s="311">
        <v>2020</v>
      </c>
      <c r="AK4" s="311">
        <v>2021</v>
      </c>
      <c r="AL4" s="311">
        <v>2022</v>
      </c>
      <c r="AM4" s="311">
        <v>2023</v>
      </c>
    </row>
    <row r="5" spans="1:39" x14ac:dyDescent="0.2">
      <c r="A5" s="104" t="s">
        <v>102</v>
      </c>
      <c r="B5" s="6">
        <f>'91func'!K28</f>
        <v>4145.3257795126565</v>
      </c>
      <c r="C5" s="6">
        <f>'92func'!K28</f>
        <v>4374.1665286450907</v>
      </c>
      <c r="D5" s="6">
        <f>'93func'!K28</f>
        <v>4484.4156137678938</v>
      </c>
      <c r="E5" s="6">
        <f>'94func'!K29</f>
        <v>4586.3039154352809</v>
      </c>
      <c r="F5" s="6">
        <f>'95func'!K28</f>
        <v>4609.4894048020824</v>
      </c>
      <c r="G5" s="6">
        <f>'96func'!K28</f>
        <v>4713.0225733136049</v>
      </c>
      <c r="H5" s="6">
        <f>'97func'!K29</f>
        <v>4918.1688864104317</v>
      </c>
      <c r="I5" s="6">
        <f>'98func'!K30</f>
        <v>5083.9834402449433</v>
      </c>
      <c r="J5" s="6">
        <f>'99func'!K34</f>
        <v>5318.5359070875829</v>
      </c>
      <c r="K5" s="149">
        <f>'00func'!K28</f>
        <v>5562.3106412859079</v>
      </c>
      <c r="L5" s="149">
        <f>'01func'!K28</f>
        <v>5804.1082788867025</v>
      </c>
      <c r="M5" s="149">
        <f>'02func'!K28</f>
        <v>6026.4514193955383</v>
      </c>
      <c r="N5" s="149">
        <f>'03func'!K28</f>
        <v>6584.1543238111935</v>
      </c>
      <c r="O5" s="149">
        <f>'04func'!K28</f>
        <v>6863.5790507205811</v>
      </c>
      <c r="P5" s="149">
        <f>'05func'!K28</f>
        <v>7111.2447678397548</v>
      </c>
      <c r="Q5" s="182">
        <v>7512.0790222965452</v>
      </c>
      <c r="R5" s="182">
        <f>'07func'!$K28</f>
        <v>7919.4093501561319</v>
      </c>
      <c r="S5" s="182">
        <f>'08func'!$K28</f>
        <v>8084.8815447198276</v>
      </c>
      <c r="T5" s="182">
        <f>'09funcWithARRA'!$K28</f>
        <v>8146.0454229096176</v>
      </c>
      <c r="U5" s="182">
        <f>'09func_NO_ARRA'!$K28</f>
        <v>8125.4736058750877</v>
      </c>
      <c r="V5" s="182">
        <f>'10funcWithARRA&amp;SFSF'!K28</f>
        <v>8441.280416288384</v>
      </c>
      <c r="W5" s="182">
        <f>'10func_NO_ARRA_With_SFSF'!K28</f>
        <v>8226.2034761014693</v>
      </c>
      <c r="X5" s="182">
        <f>'10func_NO_ARRA_NO_SFSF'!K28</f>
        <v>8067.1439893190918</v>
      </c>
      <c r="Y5" s="182">
        <f>'11funcWithARRA&amp;SFSF'!K28</f>
        <v>8957.4758828814556</v>
      </c>
      <c r="Z5" s="182">
        <f>'11func_NO_ARRA_With_SFSF'!K28</f>
        <v>8729.4729694519319</v>
      </c>
      <c r="AA5" s="182">
        <f>'11func_NO_ARRA_NO_SFSF'!K28</f>
        <v>8303.681792188574</v>
      </c>
      <c r="AB5" s="182">
        <f>'12func'!$K$28</f>
        <v>8838.0902052287565</v>
      </c>
      <c r="AC5" s="182">
        <f>'13func'!$K$28</f>
        <v>8868.8482291906857</v>
      </c>
      <c r="AD5" s="182">
        <f>'14func'!$K$28</f>
        <v>9198.8470376992627</v>
      </c>
      <c r="AE5" s="182">
        <f>'15func'!$K$28</f>
        <v>9478.8581050507073</v>
      </c>
      <c r="AF5" s="182">
        <f>'16func'!$K$28</f>
        <v>9637.3157588516297</v>
      </c>
      <c r="AG5" s="182">
        <f>'17func'!$K$28</f>
        <v>9826.4917575298259</v>
      </c>
      <c r="AH5" s="182">
        <f>'18func'!$K$28</f>
        <v>10443.085374842096</v>
      </c>
      <c r="AI5" s="182">
        <f>'19func'!$K$28</f>
        <v>10817.698213125092</v>
      </c>
      <c r="AJ5" s="182">
        <f>'20func'!$K$28</f>
        <v>11100.353293671737</v>
      </c>
      <c r="AK5" s="182">
        <f>'21func'!$K$28</f>
        <v>11811.303630461567</v>
      </c>
      <c r="AL5" s="182">
        <f>'22func'!$K$28</f>
        <v>12853.708212385096</v>
      </c>
      <c r="AM5" s="182">
        <f>'23func'!$K$28</f>
        <v>12719.473539666376</v>
      </c>
    </row>
    <row r="6" spans="1:39" x14ac:dyDescent="0.2">
      <c r="A6" s="104" t="s">
        <v>76</v>
      </c>
      <c r="B6" s="6">
        <f>'91func'!K29</f>
        <v>4426.4963464722114</v>
      </c>
      <c r="C6" s="6">
        <f>'92func'!K29</f>
        <v>4558.4718736850309</v>
      </c>
      <c r="D6" s="6">
        <f>'93func'!K29</f>
        <v>4613.2763572716231</v>
      </c>
      <c r="E6" s="6">
        <f>'94func'!K30</f>
        <v>4795.156256155663</v>
      </c>
      <c r="F6" s="6">
        <f>'95func'!K29</f>
        <v>4768.6967493079792</v>
      </c>
      <c r="G6" s="6">
        <f>'96func'!K29</f>
        <v>4848.0822566016541</v>
      </c>
      <c r="H6" s="6">
        <f>'97func'!K30</f>
        <v>5100.5184955787618</v>
      </c>
      <c r="I6" s="6">
        <f>'98func'!K31</f>
        <v>5334.4294303400393</v>
      </c>
      <c r="J6" s="6">
        <f>'99func'!K35</f>
        <v>5576.7482934847576</v>
      </c>
      <c r="K6" s="149">
        <f>'00func'!K29</f>
        <v>5820.625206341424</v>
      </c>
      <c r="L6" s="149">
        <f>'01func'!K29</f>
        <v>6251.687077345995</v>
      </c>
      <c r="M6" s="149">
        <f>'02func'!K29</f>
        <v>6802.4982955842343</v>
      </c>
      <c r="N6" s="149">
        <f>'03func'!K29</f>
        <v>7262.0900946651727</v>
      </c>
      <c r="O6" s="149">
        <f>'04func'!K29</f>
        <v>7470.3273837373836</v>
      </c>
      <c r="P6" s="149">
        <f>'05func'!K29</f>
        <v>7852.4136772514867</v>
      </c>
      <c r="Q6" s="182">
        <v>8363.4652735047493</v>
      </c>
      <c r="R6" s="182">
        <f>'07func'!$K29</f>
        <v>8810.4155128708426</v>
      </c>
      <c r="S6" s="182">
        <f>'08func'!$K29</f>
        <v>9540.9015296901907</v>
      </c>
      <c r="T6" s="182">
        <f>'09funcWithARRA'!$K29</f>
        <v>9398.7459729037764</v>
      </c>
      <c r="U6" s="182">
        <f>'09func_NO_ARRA'!$K29</f>
        <v>9396.9331165991043</v>
      </c>
      <c r="V6" s="182">
        <f>'10funcWithARRA&amp;SFSF'!K29</f>
        <v>10254.696742008753</v>
      </c>
      <c r="W6" s="182">
        <f>'10func_NO_ARRA_With_SFSF'!K29</f>
        <v>9835.5769015567002</v>
      </c>
      <c r="X6" s="182">
        <f>'10func_NO_ARRA_NO_SFSF'!K29</f>
        <v>9683.3896786881633</v>
      </c>
      <c r="Y6" s="182">
        <f>'11funcWithARRA&amp;SFSF'!K29</f>
        <v>10109.400892278989</v>
      </c>
      <c r="Z6" s="182">
        <f>'11func_NO_ARRA_With_SFSF'!K29</f>
        <v>9773.9994847171183</v>
      </c>
      <c r="AA6" s="182">
        <f>'11func_NO_ARRA_NO_SFSF'!K29</f>
        <v>9366.6391614992044</v>
      </c>
      <c r="AB6" s="182">
        <f>'12func'!$K$29</f>
        <v>9775.7960383058762</v>
      </c>
      <c r="AC6" s="182">
        <f>'13func'!$K$29</f>
        <v>10080.742775275894</v>
      </c>
      <c r="AD6" s="182">
        <f>'14func'!$K$29</f>
        <v>10178.314215929548</v>
      </c>
      <c r="AE6" s="182">
        <f>'15func'!$K$29</f>
        <v>10441.577204963014</v>
      </c>
      <c r="AF6" s="182">
        <f>'16func'!$K$29</f>
        <v>11066.18212988728</v>
      </c>
      <c r="AG6" s="182">
        <f>'17func'!$K$29</f>
        <v>10764.608238357099</v>
      </c>
      <c r="AH6" s="182">
        <f>'18func'!$K$29</f>
        <v>10912.648913255362</v>
      </c>
      <c r="AI6" s="182">
        <f>'19func'!$K$29</f>
        <v>11567.466077521951</v>
      </c>
      <c r="AJ6" s="182">
        <f>'20func'!$K$29</f>
        <v>12583.835632668925</v>
      </c>
      <c r="AK6" s="182">
        <f>'21func'!$K$29</f>
        <v>13039.923316860808</v>
      </c>
      <c r="AL6" s="182">
        <f>'22func'!$K$29</f>
        <v>13711.706252499285</v>
      </c>
      <c r="AM6" s="182">
        <f>'23func'!$K$29</f>
        <v>14698.751503636364</v>
      </c>
    </row>
    <row r="7" spans="1:39" x14ac:dyDescent="0.2">
      <c r="A7" s="104" t="s">
        <v>77</v>
      </c>
      <c r="B7" s="6">
        <f>'91func'!K30</f>
        <v>4473.508489733128</v>
      </c>
      <c r="C7" s="6">
        <f>'92func'!K30</f>
        <v>4624.2308850320042</v>
      </c>
      <c r="D7" s="6">
        <f>'93func'!K30</f>
        <v>4831.4444262401666</v>
      </c>
      <c r="E7" s="6">
        <f>'94func'!K31</f>
        <v>5114.6248410462777</v>
      </c>
      <c r="F7" s="6">
        <f>'95func'!K30</f>
        <v>5189.2851454684987</v>
      </c>
      <c r="G7" s="6">
        <f>'96func'!K30</f>
        <v>5311.1269787413776</v>
      </c>
      <c r="H7" s="6">
        <f>'97func'!K31</f>
        <v>5472.5100085870408</v>
      </c>
      <c r="I7" s="6">
        <f>'98func'!K32</f>
        <v>5688.1998178807953</v>
      </c>
      <c r="J7" s="6">
        <f>'99func'!K36</f>
        <v>6048.3697157244951</v>
      </c>
      <c r="K7" s="149">
        <f>'00func'!K30</f>
        <v>6369.7548384333886</v>
      </c>
      <c r="L7" s="149">
        <f>'01func'!K30</f>
        <v>7102.1997136780101</v>
      </c>
      <c r="M7" s="149">
        <f>'02func'!K30</f>
        <v>7267.0824253731334</v>
      </c>
      <c r="N7" s="149">
        <f>'03func'!K30</f>
        <v>7910.4005815101164</v>
      </c>
      <c r="O7" s="149">
        <f>'04func'!K30</f>
        <v>8599.6941967939965</v>
      </c>
      <c r="P7" s="149">
        <f>'05func'!K30</f>
        <v>8578.0117966187227</v>
      </c>
      <c r="Q7" s="182">
        <v>8722.0451515962195</v>
      </c>
      <c r="R7" s="182">
        <f>'07func'!$K30</f>
        <v>9182.8005447323612</v>
      </c>
      <c r="S7" s="182">
        <f>'08func'!$K30</f>
        <v>9442.6139642983399</v>
      </c>
      <c r="T7" s="182">
        <f>'09funcWithARRA'!$K30</f>
        <v>9672.5351548145645</v>
      </c>
      <c r="U7" s="182">
        <f>'09func_NO_ARRA'!$K30</f>
        <v>9671.204770330045</v>
      </c>
      <c r="V7" s="182">
        <f>'10funcWithARRA&amp;SFSF'!K30</f>
        <v>10262.050385842547</v>
      </c>
      <c r="W7" s="182">
        <f>'10func_NO_ARRA_With_SFSF'!K30</f>
        <v>9845.9306974846022</v>
      </c>
      <c r="X7" s="182">
        <f>'10func_NO_ARRA_NO_SFSF'!K30</f>
        <v>9686.4268360911174</v>
      </c>
      <c r="Y7" s="182">
        <f>'11funcWithARRA&amp;SFSF'!K30</f>
        <v>10389.270684545856</v>
      </c>
      <c r="Z7" s="182">
        <f>'11func_NO_ARRA_With_SFSF'!K30</f>
        <v>10202.472901170546</v>
      </c>
      <c r="AA7" s="182">
        <f>'11func_NO_ARRA_NO_SFSF'!K30</f>
        <v>9782.6416935842371</v>
      </c>
      <c r="AB7" s="182">
        <f>'12func'!$K$30</f>
        <v>10270.389340585098</v>
      </c>
      <c r="AC7" s="182">
        <f>'13func'!$K$30</f>
        <v>10403.829878362572</v>
      </c>
      <c r="AD7" s="182">
        <f>'14func'!$K$30</f>
        <v>10863.501830484882</v>
      </c>
      <c r="AE7" s="182">
        <f>'15func'!$K$30</f>
        <v>10835.629515949968</v>
      </c>
      <c r="AF7" s="182">
        <f>'16func'!$K$30</f>
        <v>11023.911829186733</v>
      </c>
      <c r="AG7" s="182">
        <f>'17func'!$K$30</f>
        <v>11048.703663567312</v>
      </c>
      <c r="AH7" s="182">
        <f>'18func'!$K$30</f>
        <v>11082.176272608982</v>
      </c>
      <c r="AI7" s="182">
        <f>'19func'!$K$30</f>
        <v>11295.548045314899</v>
      </c>
      <c r="AJ7" s="182">
        <f>'20func'!$K$30</f>
        <v>11670.146809713078</v>
      </c>
      <c r="AK7" s="182">
        <f>'21func'!$K$30</f>
        <v>12624.755528298478</v>
      </c>
      <c r="AL7" s="182">
        <f>'22func'!$K$30</f>
        <v>13558.455047919044</v>
      </c>
      <c r="AM7" s="182">
        <f>'23func'!$K$30</f>
        <v>13810.685568681954</v>
      </c>
    </row>
    <row r="8" spans="1:39" x14ac:dyDescent="0.2">
      <c r="A8" s="104" t="s">
        <v>78</v>
      </c>
      <c r="B8" s="6">
        <f>'91func'!K31</f>
        <v>4769.176004079919</v>
      </c>
      <c r="C8" s="6">
        <f>'92func'!K31</f>
        <v>4741.3514876828331</v>
      </c>
      <c r="D8" s="6">
        <f>'93func'!K31</f>
        <v>5020.7951437678457</v>
      </c>
      <c r="E8" s="6">
        <f>'94func'!K32</f>
        <v>5053.9021064129656</v>
      </c>
      <c r="F8" s="6">
        <f>'95func'!K31</f>
        <v>4959.0517595758047</v>
      </c>
      <c r="G8" s="6">
        <f>'96func'!K31</f>
        <v>5265.0740266292923</v>
      </c>
      <c r="H8" s="6">
        <f>'97func'!K32</f>
        <v>5266.6033501520142</v>
      </c>
      <c r="I8" s="6">
        <f>'98func'!K33</f>
        <v>5639.0409666033129</v>
      </c>
      <c r="J8" s="6">
        <f>'99func'!K37</f>
        <v>5872.9718516791045</v>
      </c>
      <c r="K8" s="149">
        <f>'00func'!K31</f>
        <v>5943.3916912021223</v>
      </c>
      <c r="L8" s="149">
        <f>'01func'!K31</f>
        <v>6219.970924382148</v>
      </c>
      <c r="M8" s="149">
        <f>'02func'!K31</f>
        <v>6850.3983794323685</v>
      </c>
      <c r="N8" s="149">
        <f>'03func'!K31</f>
        <v>7300.4690735839076</v>
      </c>
      <c r="O8" s="149">
        <f>'04func'!K31</f>
        <v>7554.4404219409289</v>
      </c>
      <c r="P8" s="149">
        <f>'05func'!K31</f>
        <v>7703.8512566700174</v>
      </c>
      <c r="Q8" s="182">
        <v>8347.6507299822333</v>
      </c>
      <c r="R8" s="182">
        <f>'07func'!$K31</f>
        <v>9056.8710752332427</v>
      </c>
      <c r="S8" s="182">
        <f>'08func'!$K31</f>
        <v>9205.6817080152668</v>
      </c>
      <c r="T8" s="182">
        <f>'09funcWithARRA'!$K31</f>
        <v>9456.0479760662329</v>
      </c>
      <c r="U8" s="182">
        <f>'09func_NO_ARRA'!$K31</f>
        <v>9455.8872580532916</v>
      </c>
      <c r="V8" s="182">
        <f>'10funcWithARRA&amp;SFSF'!K31</f>
        <v>10125.24863147531</v>
      </c>
      <c r="W8" s="182">
        <f>'10func_NO_ARRA_With_SFSF'!K31</f>
        <v>9849.5128710996687</v>
      </c>
      <c r="X8" s="182">
        <f>'10func_NO_ARRA_NO_SFSF'!K31</f>
        <v>9684.1318024841003</v>
      </c>
      <c r="Y8" s="182">
        <f>'11funcWithARRA&amp;SFSF'!K31</f>
        <v>10277.817404974536</v>
      </c>
      <c r="Z8" s="182">
        <f>'11func_NO_ARRA_With_SFSF'!K31</f>
        <v>10060.218221270943</v>
      </c>
      <c r="AA8" s="182">
        <f>'11func_NO_ARRA_NO_SFSF'!K31</f>
        <v>9616.2688655989368</v>
      </c>
      <c r="AB8" s="182">
        <f>'12func'!$K$31</f>
        <v>10127.119287218045</v>
      </c>
      <c r="AC8" s="182">
        <f>'13func'!$K$31</f>
        <v>10444.274208069621</v>
      </c>
      <c r="AD8" s="182">
        <f>'14func'!$K$31</f>
        <v>10743.106978746939</v>
      </c>
      <c r="AE8" s="182">
        <f>'15func'!$K$31</f>
        <v>10835.397568127491</v>
      </c>
      <c r="AF8" s="182">
        <f>'16func'!$K$31</f>
        <v>10920.621145331193</v>
      </c>
      <c r="AG8" s="182">
        <f>'17func'!$K$31</f>
        <v>11363.859580236831</v>
      </c>
      <c r="AH8" s="182">
        <f>'18func'!$K$31</f>
        <v>11254.610135772829</v>
      </c>
      <c r="AI8" s="182">
        <f>'19func'!$K$31</f>
        <v>11496.519677525232</v>
      </c>
      <c r="AJ8" s="182">
        <f>'20func'!$K$31</f>
        <v>11521.871328051795</v>
      </c>
      <c r="AK8" s="182">
        <f>'21func'!$K$31</f>
        <v>12883.872172449715</v>
      </c>
      <c r="AL8" s="182">
        <f>'22func'!$K$31</f>
        <v>13704.425279981515</v>
      </c>
      <c r="AM8" s="182">
        <f>'23func'!$K$31</f>
        <v>14324.854246100524</v>
      </c>
    </row>
    <row r="9" spans="1:39" x14ac:dyDescent="0.2">
      <c r="A9" s="104" t="s">
        <v>79</v>
      </c>
      <c r="B9" s="6">
        <f>'91func'!K32</f>
        <v>5492.7601696523907</v>
      </c>
      <c r="C9" s="6">
        <f>'92func'!K32</f>
        <v>5815.7316889632111</v>
      </c>
      <c r="D9" s="6">
        <f>'93func'!K32</f>
        <v>5986.2775894513643</v>
      </c>
      <c r="E9" s="6">
        <f>'94func'!K33</f>
        <v>5872.855447793796</v>
      </c>
      <c r="F9" s="6">
        <f>'95func'!K32</f>
        <v>5832.2325156865609</v>
      </c>
      <c r="G9" s="6">
        <f>'96func'!K32</f>
        <v>5888.3705129016944</v>
      </c>
      <c r="H9" s="6">
        <f>'97func'!K33</f>
        <v>6088.2559364731651</v>
      </c>
      <c r="I9" s="6">
        <f>'98func'!K34</f>
        <v>6279.9331665908749</v>
      </c>
      <c r="J9" s="6">
        <f>'99func'!K38</f>
        <v>6618.1860317189621</v>
      </c>
      <c r="K9" s="150">
        <f>'00func'!K32</f>
        <v>6776.4574768962502</v>
      </c>
      <c r="L9" s="149">
        <f>'01func'!K32</f>
        <v>7361.634487341772</v>
      </c>
      <c r="M9" s="154">
        <f>'02func'!K32</f>
        <v>8159.1353038498246</v>
      </c>
      <c r="N9" s="149">
        <f>'03func'!K32</f>
        <v>8758.2954529411763</v>
      </c>
      <c r="O9" s="149">
        <f>'04func'!K32</f>
        <v>9114.2842727410334</v>
      </c>
      <c r="P9" s="149">
        <f>'05func'!K32</f>
        <v>9820.0435903532598</v>
      </c>
      <c r="Q9" s="182">
        <v>9874.3046658819294</v>
      </c>
      <c r="R9" s="182">
        <f>'07func'!$K32</f>
        <v>10592.812140134325</v>
      </c>
      <c r="S9" s="182">
        <f>'08func'!$K32</f>
        <v>11081.373718976707</v>
      </c>
      <c r="T9" s="182">
        <f>'09funcWithARRA'!$K32</f>
        <v>11500.779198828393</v>
      </c>
      <c r="U9" s="182">
        <f>'09func_NO_ARRA'!$K32</f>
        <v>11496.853285665062</v>
      </c>
      <c r="V9" s="182">
        <f>'10funcWithARRA&amp;SFSF'!K32</f>
        <v>12850.293738945878</v>
      </c>
      <c r="W9" s="182">
        <f>'10func_NO_ARRA_With_SFSF'!K32</f>
        <v>12538.146666077113</v>
      </c>
      <c r="X9" s="182">
        <f>'10func_NO_ARRA_NO_SFSF'!K32</f>
        <v>12358.231170852496</v>
      </c>
      <c r="Y9" s="182">
        <f>'11funcWithARRA&amp;SFSF'!K32</f>
        <v>12670.212209933643</v>
      </c>
      <c r="Z9" s="182">
        <f>'11func_NO_ARRA_With_SFSF'!K32</f>
        <v>12391.127534687312</v>
      </c>
      <c r="AA9" s="182">
        <f>'11func_NO_ARRA_NO_SFSF'!K32</f>
        <v>11902.304015684696</v>
      </c>
      <c r="AB9" s="182">
        <f>'12func'!$K$32</f>
        <v>12478.955215465163</v>
      </c>
      <c r="AC9" s="182">
        <f>'13func'!$K$32</f>
        <v>12908.524316950852</v>
      </c>
      <c r="AD9" s="182">
        <f>'14func'!$K$32</f>
        <v>12553.56352259332</v>
      </c>
      <c r="AE9" s="182">
        <f>'15func'!$K$32</f>
        <v>12864.980101770811</v>
      </c>
      <c r="AF9" s="182">
        <f>'16func'!$K$32</f>
        <v>12865.101258699542</v>
      </c>
      <c r="AG9" s="182">
        <f>'17func'!$K$32</f>
        <v>12992.515495808628</v>
      </c>
      <c r="AH9" s="182">
        <f>'18func'!$K$32</f>
        <v>14053.221716476601</v>
      </c>
      <c r="AI9" s="182">
        <f>'19func'!$K$32</f>
        <v>14707.055795926441</v>
      </c>
      <c r="AJ9" s="182">
        <f>'20func'!$K$32</f>
        <v>14669.525726010101</v>
      </c>
      <c r="AK9" s="182">
        <f>'21func'!$K$32</f>
        <v>16017.580535372846</v>
      </c>
      <c r="AL9" s="182">
        <f>'22func'!$K$32</f>
        <v>19043.68084131612</v>
      </c>
      <c r="AM9" s="182">
        <f>'23func'!$K$32</f>
        <v>18821.433331275723</v>
      </c>
    </row>
    <row r="10" spans="1:39" x14ac:dyDescent="0.2">
      <c r="A10" s="114" t="s">
        <v>80</v>
      </c>
      <c r="B10" s="7">
        <f>'91func'!K33</f>
        <v>4115.2031474480145</v>
      </c>
      <c r="C10" s="7">
        <f>'92func'!K33</f>
        <v>4631.191894836571</v>
      </c>
      <c r="D10" s="7">
        <f>'93func'!K33</f>
        <v>4730.3038668158906</v>
      </c>
      <c r="E10" s="7">
        <f>'94func'!K34</f>
        <v>4860.585329977629</v>
      </c>
      <c r="F10" s="7">
        <f>'95func'!K33</f>
        <v>4672.2148857644979</v>
      </c>
      <c r="G10" s="7">
        <f>'96func'!K33</f>
        <v>4805.6490421234857</v>
      </c>
      <c r="H10" s="7">
        <f>'97func'!K34</f>
        <v>5209.5302712264165</v>
      </c>
      <c r="I10" s="7">
        <f>'98func'!K35</f>
        <v>5494.2005157232707</v>
      </c>
      <c r="J10" s="7">
        <f>'99func'!K39</f>
        <v>5611.7637126509853</v>
      </c>
      <c r="K10" s="151">
        <f>'00func'!K33</f>
        <v>6388.7010183968468</v>
      </c>
      <c r="L10" s="151">
        <f>'01func'!K33</f>
        <v>6122.5128205128212</v>
      </c>
      <c r="M10" s="151">
        <f>'02func'!K33</f>
        <v>6743.0881501340482</v>
      </c>
      <c r="N10" s="151">
        <f>'03func'!K33</f>
        <v>8389.1702382620897</v>
      </c>
      <c r="O10" s="151">
        <f>'04func'!K33</f>
        <v>8610.8371041055725</v>
      </c>
      <c r="P10" s="151">
        <f>'05func'!K33</f>
        <v>8951.7452860096491</v>
      </c>
      <c r="Q10" s="183">
        <v>8815.2288957433684</v>
      </c>
      <c r="R10" s="183">
        <f>'07func'!$K33</f>
        <v>9425.2854672083577</v>
      </c>
      <c r="S10" s="183">
        <f>'08func'!$K33</f>
        <v>10076.198981595091</v>
      </c>
      <c r="T10" s="183">
        <f>'09funcWithARRA'!$K33</f>
        <v>10865.232081031309</v>
      </c>
      <c r="U10" s="183">
        <f>'09func_NO_ARRA'!$K33</f>
        <v>10838.396329036219</v>
      </c>
      <c r="V10" s="183">
        <f>'10funcWithARRA&amp;SFSF'!K33</f>
        <v>11230.975491620113</v>
      </c>
      <c r="W10" s="183">
        <f>'10func_NO_ARRA_With_SFSF'!K33</f>
        <v>11096.544648044695</v>
      </c>
      <c r="X10" s="183">
        <f>'10func_NO_ARRA_NO_SFSF'!K33</f>
        <v>10905.273804469278</v>
      </c>
      <c r="Y10" s="183">
        <f>'11funcWithARRA&amp;SFSF'!K33</f>
        <v>11184.980231930958</v>
      </c>
      <c r="Z10" s="183">
        <f>'11func_NO_ARRA_With_SFSF'!K33</f>
        <v>11103.297642934198</v>
      </c>
      <c r="AA10" s="183">
        <f>'11func_NO_ARRA_NO_SFSF'!K33</f>
        <v>10591.695706580367</v>
      </c>
      <c r="AB10" s="183">
        <f>'12func'!$K$33</f>
        <v>11298.074182692306</v>
      </c>
      <c r="AC10" s="183">
        <f>'13func'!$K$33</f>
        <v>11875.196857825571</v>
      </c>
      <c r="AD10" s="183">
        <f>'14func'!$K$33</f>
        <v>13510.77900400687</v>
      </c>
      <c r="AE10" s="183">
        <f>'15func'!$K$33</f>
        <v>14289.632082338901</v>
      </c>
      <c r="AF10" s="183">
        <f>'16func'!$K$33</f>
        <v>15347.809923954374</v>
      </c>
      <c r="AG10" s="183">
        <f>'17func'!$K$33</f>
        <v>16412.600875576034</v>
      </c>
      <c r="AH10" s="183">
        <f>'18func'!$K$33</f>
        <v>14380.250128939828</v>
      </c>
      <c r="AI10" s="183">
        <f>'19func'!$K$33</f>
        <v>15186.034581589958</v>
      </c>
      <c r="AJ10" s="183">
        <f>'20func'!$K$33</f>
        <v>14982.792733037411</v>
      </c>
      <c r="AK10" s="183">
        <f>'21func'!$K$33</f>
        <v>16627.726597222223</v>
      </c>
      <c r="AL10" s="183">
        <f>'22func'!$K$33</f>
        <v>17994.051473988438</v>
      </c>
      <c r="AM10" s="183">
        <f>'23func'!$K$33</f>
        <v>19013.536070931852</v>
      </c>
    </row>
    <row r="11" spans="1:39" x14ac:dyDescent="0.2">
      <c r="A11" s="104" t="s">
        <v>134</v>
      </c>
      <c r="B11" s="6">
        <f>'91func'!K34</f>
        <v>4464.8250375085236</v>
      </c>
      <c r="C11" s="6">
        <f>'92func'!K34</f>
        <v>4628.7075207829012</v>
      </c>
      <c r="D11" s="6">
        <f>'93func'!K34</f>
        <v>4758.7371916677994</v>
      </c>
      <c r="E11" s="6">
        <f>'94func'!K35</f>
        <v>4867.6482955194679</v>
      </c>
      <c r="F11" s="6">
        <f>'95func'!K34</f>
        <v>4858.204433444299</v>
      </c>
      <c r="G11" s="6">
        <f>'96func'!K34</f>
        <v>4979.1644947453524</v>
      </c>
      <c r="H11" s="6">
        <f>'97func'!K35</f>
        <v>5163.0873569925097</v>
      </c>
      <c r="I11" s="6">
        <f>'98func'!K36</f>
        <v>5389.6541128042036</v>
      </c>
      <c r="J11" s="6">
        <f>'99func'!K40</f>
        <v>5641.9445248701204</v>
      </c>
      <c r="K11" s="149">
        <f>'00func'!K34</f>
        <v>5882.4983738114815</v>
      </c>
      <c r="L11" s="149">
        <f>'01func'!K34</f>
        <v>6260.7922291997093</v>
      </c>
      <c r="M11" s="149">
        <f>'02func'!K34</f>
        <v>6667.1973748918881</v>
      </c>
      <c r="N11" s="149">
        <f>'03func'!K34</f>
        <v>7228.0695643311519</v>
      </c>
      <c r="O11" s="149">
        <f>'04func'!K34</f>
        <v>7540.5622634208512</v>
      </c>
      <c r="P11" s="150">
        <f>'05func'!K34</f>
        <v>7774.7104705760576</v>
      </c>
      <c r="Q11" s="182">
        <v>8161.1411854579546</v>
      </c>
      <c r="R11" s="182">
        <f>'07func'!$K34</f>
        <v>8658.2471886624116</v>
      </c>
      <c r="S11" s="182">
        <f>'08func'!$K34</f>
        <v>8966.3633740626665</v>
      </c>
      <c r="T11" s="182">
        <f>'09funcWithARRA'!$K34</f>
        <v>9085.8361567580851</v>
      </c>
      <c r="U11" s="182">
        <f>'09func_NO_ARRA'!$K34</f>
        <v>9075.9583820573516</v>
      </c>
      <c r="V11" s="182">
        <f>'10funcWithARRA&amp;SFSF'!K34</f>
        <v>9662.2400351460492</v>
      </c>
      <c r="W11" s="182">
        <f>'10func_NO_ARRA_With_SFSF'!K34</f>
        <v>9362.3880454332448</v>
      </c>
      <c r="X11" s="182">
        <f>'10func_NO_ARRA_NO_SFSF'!K34</f>
        <v>9201.7555110124304</v>
      </c>
      <c r="Y11" s="182">
        <f>'11funcWithARRA&amp;SFSF'!K34</f>
        <v>9855.8673902311566</v>
      </c>
      <c r="Z11" s="182">
        <f>'11func_NO_ARRA_With_SFSF'!K34</f>
        <v>9614.0470283191953</v>
      </c>
      <c r="AA11" s="182">
        <f>'11func_NO_ARRA_NO_SFSF'!K34</f>
        <v>9184.8950729939188</v>
      </c>
      <c r="AB11" s="182">
        <f>'12func'!$K$34</f>
        <v>9688.336202995888</v>
      </c>
      <c r="AC11" s="182">
        <f>'13func'!$K$34</f>
        <v>9845.8051270741216</v>
      </c>
      <c r="AD11" s="182">
        <f>'14func'!$K$34</f>
        <v>10124.659612998586</v>
      </c>
      <c r="AE11" s="182">
        <f>'15func'!$K$34</f>
        <v>10334.738986750304</v>
      </c>
      <c r="AF11" s="182">
        <f>'16func'!$K$34</f>
        <v>10595.761889234285</v>
      </c>
      <c r="AG11" s="182">
        <f>'17func'!$K$34</f>
        <v>10688.909105368002</v>
      </c>
      <c r="AH11" s="182">
        <f>'18func'!$K$34</f>
        <v>10998.627015008105</v>
      </c>
      <c r="AI11" s="182">
        <f>'19func'!$K$34</f>
        <v>11407.684485034224</v>
      </c>
      <c r="AJ11" s="182">
        <f>'20func'!$K$34</f>
        <v>11781.373569198973</v>
      </c>
      <c r="AK11" s="182">
        <f>'21func'!$K$34</f>
        <v>12613.066885799279</v>
      </c>
      <c r="AL11" s="182">
        <f>'22func'!$K$34</f>
        <v>13643.702579975252</v>
      </c>
      <c r="AM11" s="182">
        <f>'23func'!$K$34</f>
        <v>13893.223314887558</v>
      </c>
    </row>
    <row r="12" spans="1:39" x14ac:dyDescent="0.2">
      <c r="A12" s="104"/>
      <c r="B12" s="6"/>
      <c r="C12" s="6"/>
      <c r="D12" s="6"/>
      <c r="E12" s="6"/>
      <c r="F12" s="6"/>
      <c r="G12" s="6"/>
      <c r="H12" s="6"/>
      <c r="I12" s="6"/>
      <c r="J12" s="6"/>
      <c r="K12" s="149"/>
      <c r="L12" s="149"/>
      <c r="M12" s="149"/>
      <c r="N12" s="149"/>
      <c r="O12" s="149"/>
      <c r="P12" s="150"/>
      <c r="Q12" s="182"/>
      <c r="R12" s="182"/>
      <c r="S12" s="182"/>
      <c r="T12" s="182"/>
      <c r="U12" s="182"/>
      <c r="V12" s="182"/>
      <c r="W12" s="182"/>
      <c r="X12" s="182"/>
      <c r="Y12" s="182"/>
      <c r="Z12" s="182"/>
      <c r="AA12" s="182"/>
    </row>
    <row r="13" spans="1:39" x14ac:dyDescent="0.2">
      <c r="A13" s="104" t="s">
        <v>81</v>
      </c>
      <c r="B13" s="6">
        <f>'91func'!K36</f>
        <v>5626.8501215707374</v>
      </c>
      <c r="C13" s="6">
        <f>'92func'!K36</f>
        <v>6053.2635645143555</v>
      </c>
      <c r="D13" s="6">
        <f>'93func'!K36</f>
        <v>6095.8046749444229</v>
      </c>
      <c r="E13" s="6">
        <f>'94func'!K37</f>
        <v>6110.2702879991912</v>
      </c>
      <c r="F13" s="6">
        <f>'95func'!K36</f>
        <v>5718.6074738000671</v>
      </c>
      <c r="G13" s="6">
        <f>'96func'!K36</f>
        <v>5823.3902610881005</v>
      </c>
      <c r="H13" s="6">
        <f>'97func'!K37</f>
        <v>5904.7935159484923</v>
      </c>
      <c r="I13" s="6">
        <f>'98func'!K39</f>
        <v>6069.7787367949859</v>
      </c>
      <c r="J13" s="6">
        <f>'99func'!K42</f>
        <v>6184.0043802456048</v>
      </c>
      <c r="K13" s="149">
        <f>'00func'!K36</f>
        <v>6317.6695134191577</v>
      </c>
      <c r="L13" s="149">
        <f>'01func'!K36</f>
        <v>6725.2447234691645</v>
      </c>
      <c r="M13" s="149">
        <f>'02func'!K36</f>
        <v>6913.4040089164746</v>
      </c>
      <c r="N13" s="149">
        <f>'03func'!K36</f>
        <v>7081.0029616588427</v>
      </c>
      <c r="O13" s="149">
        <f>'04func'!K36</f>
        <v>7392.9340265272958</v>
      </c>
      <c r="P13" s="150">
        <f>'05func'!K36</f>
        <v>7828.3484494173736</v>
      </c>
      <c r="Q13" s="182">
        <v>8243.241834181883</v>
      </c>
      <c r="R13" s="182">
        <f>'07func'!$K36</f>
        <v>8501.5587746199617</v>
      </c>
      <c r="S13" s="182">
        <f>'08func'!$K36</f>
        <v>8987.2835251069082</v>
      </c>
      <c r="T13" s="182">
        <f>'09funcWithARRA'!$K36</f>
        <v>9528.2009029104647</v>
      </c>
      <c r="U13" s="182">
        <f>'09func_NO_ARRA'!$K36</f>
        <v>9528.2009029104647</v>
      </c>
      <c r="V13" s="182">
        <f>'10funcWithARRA&amp;SFSF'!K36</f>
        <v>10086.350204283657</v>
      </c>
      <c r="W13" s="182">
        <f>'10func_NO_ARRA_With_SFSF'!K36</f>
        <v>9881.9905170086367</v>
      </c>
      <c r="X13" s="182">
        <f>'10func_NO_ARRA_NO_SFSF'!K36</f>
        <v>9692.6738705903517</v>
      </c>
      <c r="Y13" s="182">
        <f>'11funcWithARRA&amp;SFSF'!K36</f>
        <v>10057.89036683417</v>
      </c>
      <c r="Z13" s="182">
        <f>'11func_NO_ARRA_With_SFSF'!K36</f>
        <v>9893.285111923251</v>
      </c>
      <c r="AA13" s="182">
        <f>'11func_NO_ARRA_NO_SFSF'!K36</f>
        <v>9387.0676518958426</v>
      </c>
      <c r="AB13" s="182">
        <f>'12func'!$K$36</f>
        <v>9926.3505566618824</v>
      </c>
      <c r="AC13" s="182">
        <f>'13func'!$K$36</f>
        <v>10095.179262976102</v>
      </c>
      <c r="AD13" s="182">
        <f>'14func'!$K$36</f>
        <v>10457.583338475202</v>
      </c>
      <c r="AE13" s="182">
        <f>'15func'!$K$36</f>
        <v>10537.807957266963</v>
      </c>
      <c r="AF13" s="182">
        <f>'16func'!$K$36</f>
        <v>10765.301880646455</v>
      </c>
      <c r="AG13" s="182">
        <f>'17func'!$K$36</f>
        <v>10970.156645754914</v>
      </c>
      <c r="AH13" s="182">
        <f>'18func'!$K$36</f>
        <v>11529.320243926379</v>
      </c>
      <c r="AI13" s="182">
        <f>'19func'!$K$36</f>
        <v>12246.235020600352</v>
      </c>
      <c r="AJ13" s="182">
        <f>'20func'!$K$36</f>
        <v>12223.535585453836</v>
      </c>
      <c r="AK13" s="182">
        <f>'21func'!$K$36</f>
        <v>12727.861602139232</v>
      </c>
      <c r="AL13" s="182">
        <f>'22func'!$K$36</f>
        <v>13156.524847453009</v>
      </c>
      <c r="AM13" s="182">
        <f>'23func'!$K$36</f>
        <v>13524.556220821869</v>
      </c>
    </row>
    <row r="14" spans="1:39" x14ac:dyDescent="0.2">
      <c r="A14" s="104" t="s">
        <v>82</v>
      </c>
      <c r="B14" s="6">
        <f>'91func'!K37</f>
        <v>5558.7404298235078</v>
      </c>
      <c r="C14" s="6">
        <f>'92func'!K37</f>
        <v>5642.7702093610878</v>
      </c>
      <c r="D14" s="6">
        <f>'93func'!K37</f>
        <v>5919.3290637835225</v>
      </c>
      <c r="E14" s="6">
        <f>'94func'!K38</f>
        <v>5935.3590090581683</v>
      </c>
      <c r="F14" s="6">
        <f>'95func'!K37</f>
        <v>5800.6281093935795</v>
      </c>
      <c r="G14" s="6">
        <f>'96func'!K37</f>
        <v>5857.9353626288166</v>
      </c>
      <c r="H14" s="6">
        <f>'97func'!K38</f>
        <v>5870.4346273659303</v>
      </c>
      <c r="I14" s="6">
        <f>'98func'!K40</f>
        <v>5984.3888658265387</v>
      </c>
      <c r="J14" s="6">
        <f>'99func'!K43</f>
        <v>6093.808208257843</v>
      </c>
      <c r="K14" s="149">
        <f>'00func'!K37</f>
        <v>6294.1312059816692</v>
      </c>
      <c r="L14" s="149">
        <f>'01func'!K37</f>
        <v>6810.7004451619205</v>
      </c>
      <c r="M14" s="149">
        <f>'02func'!K37</f>
        <v>7093.1404206365296</v>
      </c>
      <c r="N14" s="149">
        <f>'03func'!K37</f>
        <v>7444.8034034479033</v>
      </c>
      <c r="O14" s="149">
        <f>'04func'!K37</f>
        <v>7859.0163464447814</v>
      </c>
      <c r="P14" s="150">
        <f>'05func'!K37</f>
        <v>8126.9471087475595</v>
      </c>
      <c r="Q14" s="182">
        <v>8404.5217326677739</v>
      </c>
      <c r="R14" s="182">
        <f>'07func'!$K37</f>
        <v>8982.1023458847048</v>
      </c>
      <c r="S14" s="182">
        <f>'08func'!$K37</f>
        <v>9453.5733638392867</v>
      </c>
      <c r="T14" s="182">
        <f>'09funcWithARRA'!$K37</f>
        <v>10013.503614488031</v>
      </c>
      <c r="U14" s="182">
        <f>'09func_NO_ARRA'!$K37</f>
        <v>10009.510006266448</v>
      </c>
      <c r="V14" s="182">
        <f>'10funcWithARRA&amp;SFSF'!K37</f>
        <v>10093.848644043319</v>
      </c>
      <c r="W14" s="182">
        <f>'10func_NO_ARRA_With_SFSF'!K37</f>
        <v>10037.030573285198</v>
      </c>
      <c r="X14" s="182">
        <f>'10func_NO_ARRA_NO_SFSF'!K37</f>
        <v>9847.0692909747304</v>
      </c>
      <c r="Y14" s="182">
        <f>'11funcWithARRA&amp;SFSF'!K37</f>
        <v>10364.020956701686</v>
      </c>
      <c r="Z14" s="182">
        <f>'11func_NO_ARRA_With_SFSF'!K37</f>
        <v>10350.403482967207</v>
      </c>
      <c r="AA14" s="182">
        <f>'11func_NO_ARRA_NO_SFSF'!K37</f>
        <v>9837.2707179242279</v>
      </c>
      <c r="AB14" s="182">
        <f>'12func'!$K$37</f>
        <v>10560.993876258526</v>
      </c>
      <c r="AC14" s="182">
        <f>'13func'!$K$37</f>
        <v>11369.754667609619</v>
      </c>
      <c r="AD14" s="182">
        <f>'14func'!$K$37</f>
        <v>11511.507321976151</v>
      </c>
      <c r="AE14" s="182">
        <f>'15func'!$K$37</f>
        <v>12021.267737470165</v>
      </c>
      <c r="AF14" s="182">
        <f>'16func'!$K$37</f>
        <v>11860.716084961321</v>
      </c>
      <c r="AG14" s="182">
        <f>'17func'!$K$37</f>
        <v>12261.864253994952</v>
      </c>
      <c r="AH14" s="182">
        <f>'18func'!$K$37</f>
        <v>12746.364232053425</v>
      </c>
      <c r="AI14" s="182">
        <f>'19func'!$K$37</f>
        <v>12778.472425638876</v>
      </c>
      <c r="AJ14" s="182">
        <f>'20func'!$K$37</f>
        <v>13322.20746785361</v>
      </c>
      <c r="AK14" s="182">
        <f>'21func'!$K$37</f>
        <v>14311.520571295867</v>
      </c>
      <c r="AL14" s="182">
        <f>'22func'!$K$37</f>
        <v>13371.836844437152</v>
      </c>
      <c r="AM14" s="182">
        <f>'23func'!$K$37</f>
        <v>14343.822119666049</v>
      </c>
    </row>
    <row r="15" spans="1:39" x14ac:dyDescent="0.2">
      <c r="A15" s="104" t="s">
        <v>83</v>
      </c>
      <c r="B15" s="6">
        <f>'91func'!K38</f>
        <v>6494.0461658425256</v>
      </c>
      <c r="C15" s="6">
        <f>'92func'!K38</f>
        <v>6671.5207998461847</v>
      </c>
      <c r="D15" s="6">
        <f>'93func'!K38</f>
        <v>6487.9048379193364</v>
      </c>
      <c r="E15" s="6">
        <f>'94func'!K39</f>
        <v>6212.1322485615647</v>
      </c>
      <c r="F15" s="6">
        <f>'95func'!K38</f>
        <v>6093.9843271270338</v>
      </c>
      <c r="G15" s="6">
        <f>'96func'!K38</f>
        <v>6361.113746684352</v>
      </c>
      <c r="H15" s="6">
        <f>'97func'!K39</f>
        <v>6706.7424185724185</v>
      </c>
      <c r="I15" s="6">
        <f>'98func'!K41</f>
        <v>7017.3031138070482</v>
      </c>
      <c r="J15" s="6">
        <f>'99func'!K44</f>
        <v>6761.6617806215718</v>
      </c>
      <c r="K15" s="149">
        <f>'00func'!K38</f>
        <v>7363.4163439306367</v>
      </c>
      <c r="L15" s="149">
        <f>'01func'!K38</f>
        <v>7900.7810048248375</v>
      </c>
      <c r="M15" s="149">
        <f>'02func'!K38</f>
        <v>8301.8750546558695</v>
      </c>
      <c r="N15" s="149">
        <f>'03func'!K38</f>
        <v>8957.0174882168103</v>
      </c>
      <c r="O15" s="149">
        <f>'04func'!K38</f>
        <v>8917.9284076682325</v>
      </c>
      <c r="P15" s="150">
        <f>'05func'!K38</f>
        <v>9139.2282151869695</v>
      </c>
      <c r="Q15" s="182">
        <v>9293.5326236345554</v>
      </c>
      <c r="R15" s="182">
        <f>'07func'!$K38</f>
        <v>10117.548269694533</v>
      </c>
      <c r="S15" s="182">
        <f>'08func'!$K38</f>
        <v>10893.951266005783</v>
      </c>
      <c r="T15" s="182">
        <f>'09funcWithARRA'!$K38</f>
        <v>10750.66181295231</v>
      </c>
      <c r="U15" s="182">
        <f>'09func_NO_ARRA'!$K38</f>
        <v>10749.607403971053</v>
      </c>
      <c r="V15" s="182">
        <f>'10funcWithARRA&amp;SFSF'!K38</f>
        <v>12326.444767784738</v>
      </c>
      <c r="W15" s="182">
        <f>'10func_NO_ARRA_With_SFSF'!K38</f>
        <v>12167.795702174712</v>
      </c>
      <c r="X15" s="182">
        <f>'10func_NO_ARRA_NO_SFSF'!K38</f>
        <v>11959.957174714338</v>
      </c>
      <c r="Y15" s="182">
        <f>'11funcWithARRA&amp;SFSF'!K38</f>
        <v>12117.559341111873</v>
      </c>
      <c r="Z15" s="182">
        <f>'11func_NO_ARRA_With_SFSF'!K38</f>
        <v>11900.088579272477</v>
      </c>
      <c r="AA15" s="182">
        <f>'11func_NO_ARRA_NO_SFSF'!K38</f>
        <v>11348.414519560742</v>
      </c>
      <c r="AB15" s="182">
        <f>'12func'!$K$38</f>
        <v>11309.458064267847</v>
      </c>
      <c r="AC15" s="182">
        <f>'13func'!$K$38</f>
        <v>11720.601498643762</v>
      </c>
      <c r="AD15" s="182">
        <f>'14func'!$K$38</f>
        <v>12970.752449150765</v>
      </c>
      <c r="AE15" s="182">
        <f>'15func'!$K$38</f>
        <v>12808.499770925111</v>
      </c>
      <c r="AF15" s="182">
        <f>'16func'!$K$38</f>
        <v>12566.585149425289</v>
      </c>
      <c r="AG15" s="182">
        <f>'17func'!$K$38</f>
        <v>12859.629007092199</v>
      </c>
      <c r="AH15" s="182">
        <f>'18func'!$K$38</f>
        <v>13209.630060724354</v>
      </c>
      <c r="AI15" s="182">
        <f>'19func'!$K$38</f>
        <v>13801.45114659237</v>
      </c>
      <c r="AJ15" s="182">
        <f>'20func'!$K$38</f>
        <v>13861.943858452858</v>
      </c>
      <c r="AK15" s="182">
        <f>'21func'!$K$38</f>
        <v>14600.536128281117</v>
      </c>
      <c r="AL15" s="182">
        <f>'22func'!$K$38</f>
        <v>15050.798427133805</v>
      </c>
      <c r="AM15" s="182">
        <f>'23func'!$K$38</f>
        <v>15223.815571766561</v>
      </c>
    </row>
    <row r="16" spans="1:39" x14ac:dyDescent="0.2">
      <c r="A16" s="104" t="s">
        <v>84</v>
      </c>
      <c r="B16" s="6">
        <f>'91func'!K39</f>
        <v>7067.7340526018106</v>
      </c>
      <c r="C16" s="6">
        <f>'92func'!K39</f>
        <v>7620.4026513911622</v>
      </c>
      <c r="D16" s="6">
        <f>'93func'!K39</f>
        <v>8323.9825793244618</v>
      </c>
      <c r="E16" s="6">
        <f>'94func'!K40</f>
        <v>8012.9519744615964</v>
      </c>
      <c r="F16" s="6">
        <f>'95func'!K39</f>
        <v>7843.6706384586341</v>
      </c>
      <c r="G16" s="6">
        <f>'96func'!K39</f>
        <v>7857.3209282617263</v>
      </c>
      <c r="H16" s="6">
        <f>'97func'!K40</f>
        <v>8091.0054967520064</v>
      </c>
      <c r="I16" s="6">
        <f>'98func'!K42</f>
        <v>8330.3945439903364</v>
      </c>
      <c r="J16" s="6">
        <f>'99func'!K45</f>
        <v>8602.5791783948262</v>
      </c>
      <c r="K16" s="149">
        <f>'00func'!K39</f>
        <v>8780.9703133539806</v>
      </c>
      <c r="L16" s="149">
        <f>'01func'!K39</f>
        <v>9704.6590166331571</v>
      </c>
      <c r="M16" s="149">
        <f>'02func'!K39</f>
        <v>10125.002080015924</v>
      </c>
      <c r="N16" s="149">
        <f>'03func'!K39</f>
        <v>10990.324951020408</v>
      </c>
      <c r="O16" s="149">
        <f>'04func'!K39</f>
        <v>10885.717533734691</v>
      </c>
      <c r="P16" s="150">
        <f>'05func'!K39</f>
        <v>10958.360265069705</v>
      </c>
      <c r="Q16" s="182">
        <v>11379.458211366658</v>
      </c>
      <c r="R16" s="182">
        <f>'07func'!$K39</f>
        <v>12013.216483600305</v>
      </c>
      <c r="S16" s="182">
        <f>'08func'!$K39</f>
        <v>12403.039434194341</v>
      </c>
      <c r="T16" s="182">
        <f>'09funcWithARRA'!$K39</f>
        <v>12399.688427939196</v>
      </c>
      <c r="U16" s="182">
        <f>'09func_NO_ARRA'!$K39</f>
        <v>12399.496009236098</v>
      </c>
      <c r="V16" s="182">
        <f>'10funcWithARRA&amp;SFSF'!K39</f>
        <v>13327.390307403935</v>
      </c>
      <c r="W16" s="182">
        <f>'10func_NO_ARRA_With_SFSF'!K39</f>
        <v>13201.293422680412</v>
      </c>
      <c r="X16" s="182">
        <f>'10func_NO_ARRA_NO_SFSF'!K39</f>
        <v>12959.768436738519</v>
      </c>
      <c r="Y16" s="182">
        <f>'11funcWithARRA&amp;SFSF'!K39</f>
        <v>13765.855614952548</v>
      </c>
      <c r="Z16" s="182">
        <f>'11func_NO_ARRA_With_SFSF'!K39</f>
        <v>13699.869432500484</v>
      </c>
      <c r="AA16" s="182">
        <f>'11func_NO_ARRA_NO_SFSF'!K39</f>
        <v>13050.877199302729</v>
      </c>
      <c r="AB16" s="182">
        <f>'12func'!$K$39</f>
        <v>14233.816957947531</v>
      </c>
      <c r="AC16" s="182">
        <f>'13func'!$K$39</f>
        <v>13779.45935783522</v>
      </c>
      <c r="AD16" s="182">
        <f>'14func'!$K$39</f>
        <v>14938.143632936508</v>
      </c>
      <c r="AE16" s="182">
        <f>'15func'!$K$39</f>
        <v>14600.961313175903</v>
      </c>
      <c r="AF16" s="182">
        <f>'16func'!$K$39</f>
        <v>15325.779201520912</v>
      </c>
      <c r="AG16" s="182">
        <f>'17func'!$K$39</f>
        <v>15835.115798718749</v>
      </c>
      <c r="AH16" s="182">
        <f>'18func'!$K$39</f>
        <v>16416.390050492908</v>
      </c>
      <c r="AI16" s="182">
        <f>'19func'!$K$39</f>
        <v>17636.121819660704</v>
      </c>
      <c r="AJ16" s="182">
        <f>'20func'!$K$39</f>
        <v>18225.199541423866</v>
      </c>
      <c r="AK16" s="182">
        <f>'21func'!$K$39</f>
        <v>18532.596215526046</v>
      </c>
      <c r="AL16" s="182">
        <f>'22func'!$K$39</f>
        <v>18674.712680628269</v>
      </c>
      <c r="AM16" s="182">
        <f>'23func'!$K$39</f>
        <v>19772.654523618894</v>
      </c>
    </row>
    <row r="17" spans="1:39" x14ac:dyDescent="0.2">
      <c r="A17" s="114" t="s">
        <v>85</v>
      </c>
      <c r="B17" s="7">
        <f>'91func'!K40</f>
        <v>10617.090537360893</v>
      </c>
      <c r="C17" s="7">
        <f>'92func'!K40</f>
        <v>11107.562953910616</v>
      </c>
      <c r="D17" s="7">
        <f>'93func'!K40</f>
        <v>12210.751746781116</v>
      </c>
      <c r="E17" s="7">
        <f>'94func'!K41</f>
        <v>12136.07438859715</v>
      </c>
      <c r="F17" s="7">
        <f>'95func'!K40</f>
        <v>11460.243703448277</v>
      </c>
      <c r="G17" s="7">
        <f>'96func'!K40</f>
        <v>11421.725990597717</v>
      </c>
      <c r="H17" s="7">
        <f>'97func'!K41</f>
        <v>11163.745700817099</v>
      </c>
      <c r="I17" s="7">
        <f>'98func'!K43</f>
        <v>11229.774061679789</v>
      </c>
      <c r="J17" s="7">
        <f>'99func'!K46</f>
        <v>11805.884861392833</v>
      </c>
      <c r="K17" s="151">
        <f>'00func'!K40</f>
        <v>11924.312916378714</v>
      </c>
      <c r="L17" s="151">
        <f>'01func'!K40</f>
        <v>12620.256512158056</v>
      </c>
      <c r="M17" s="151">
        <f>'02func'!K40</f>
        <v>13087.107828767124</v>
      </c>
      <c r="N17" s="151">
        <f>'03func'!K40</f>
        <v>13996.569060052219</v>
      </c>
      <c r="O17" s="151">
        <f>'04func'!K40</f>
        <v>14658.44730769231</v>
      </c>
      <c r="P17" s="151">
        <f>'05func'!K40</f>
        <v>14962.027701283549</v>
      </c>
      <c r="Q17" s="183">
        <v>15803.867755102037</v>
      </c>
      <c r="R17" s="183">
        <f>'07func'!$K40</f>
        <v>17591.941476510063</v>
      </c>
      <c r="S17" s="183">
        <f>'08func'!$K40</f>
        <v>17948.332142426072</v>
      </c>
      <c r="T17" s="183">
        <f>'09funcWithARRA'!$K40</f>
        <v>20425.8949527027</v>
      </c>
      <c r="U17" s="183">
        <f>'09func_NO_ARRA'!$K40</f>
        <v>20419.526709459456</v>
      </c>
      <c r="V17" s="183">
        <f>'10funcWithARRA&amp;SFSF'!K40</f>
        <v>21302.937304147468</v>
      </c>
      <c r="W17" s="183">
        <f>'10func_NO_ARRA_With_SFSF'!K40</f>
        <v>21253.272390552997</v>
      </c>
      <c r="X17" s="183">
        <f>'10func_NO_ARRA_NO_SFSF'!K40</f>
        <v>20909.572943548388</v>
      </c>
      <c r="Y17" s="183">
        <f>'11funcWithARRA&amp;SFSF'!K40</f>
        <v>21605.458872832369</v>
      </c>
      <c r="Z17" s="183">
        <f>'11func_NO_ARRA_With_SFSF'!K40</f>
        <v>21370.382969653176</v>
      </c>
      <c r="AA17" s="183">
        <f>'11func_NO_ARRA_NO_SFSF'!K40</f>
        <v>20412.059942196534</v>
      </c>
      <c r="AB17" s="183">
        <f>'12func'!$K$40</f>
        <v>22673.095230574858</v>
      </c>
      <c r="AC17" s="183">
        <f>'13func'!$K$40</f>
        <v>22059.694003548197</v>
      </c>
      <c r="AD17" s="183">
        <f>'14func'!$K$40</f>
        <v>23733.998472121646</v>
      </c>
      <c r="AE17" s="183">
        <f>'15func'!$K$40</f>
        <v>24394.255994946299</v>
      </c>
      <c r="AF17" s="183">
        <f>'16func'!$K$40</f>
        <v>22884.126650631391</v>
      </c>
      <c r="AG17" s="183">
        <f>'17func'!$K$40</f>
        <v>23695.385467854863</v>
      </c>
      <c r="AH17" s="183">
        <f>'18func'!$K$40</f>
        <v>23227.557927576599</v>
      </c>
      <c r="AI17" s="183">
        <f>'19func'!$K$40</f>
        <v>25745.499115603292</v>
      </c>
      <c r="AJ17" s="183">
        <f>'20func'!$K$40</f>
        <v>25211.432082474228</v>
      </c>
      <c r="AK17" s="183">
        <f>'21func'!$K$40</f>
        <v>26476.165167235493</v>
      </c>
      <c r="AL17" s="183">
        <f>'22func'!$K$40</f>
        <v>28455.041049562689</v>
      </c>
      <c r="AM17" s="183">
        <f>'23func'!$K$40</f>
        <v>27985.074590163935</v>
      </c>
    </row>
    <row r="18" spans="1:39" x14ac:dyDescent="0.2">
      <c r="A18" s="104" t="s">
        <v>135</v>
      </c>
      <c r="B18" s="6">
        <f>'91func'!K41</f>
        <v>6331.5882554135023</v>
      </c>
      <c r="C18" s="6">
        <f>'92func'!K41</f>
        <v>6668.4395693482929</v>
      </c>
      <c r="D18" s="6">
        <f>'93func'!K41</f>
        <v>6790.2283032894902</v>
      </c>
      <c r="E18" s="6">
        <f>'94func'!K42</f>
        <v>6533.3006768728819</v>
      </c>
      <c r="F18" s="6">
        <f>'95func'!K41</f>
        <v>6242.6196038212311</v>
      </c>
      <c r="G18" s="6">
        <f>'96func'!K41</f>
        <v>6323.7187274848347</v>
      </c>
      <c r="H18" s="6">
        <f>'97func'!K42</f>
        <v>6443.5013949639979</v>
      </c>
      <c r="I18" s="6">
        <f>'98func'!K44</f>
        <v>6585.0250370403428</v>
      </c>
      <c r="J18" s="6">
        <f>'99func'!K47</f>
        <v>6696.7884234095118</v>
      </c>
      <c r="K18" s="150">
        <f>'00func'!K41</f>
        <v>6904.7865614735902</v>
      </c>
      <c r="L18" s="149">
        <f>'01func'!K41</f>
        <v>7408.0585762522351</v>
      </c>
      <c r="M18" s="149">
        <f>'02func'!K41</f>
        <v>7678.2164948266891</v>
      </c>
      <c r="N18" s="149">
        <f>'03func'!K41</f>
        <v>8056.0280457589533</v>
      </c>
      <c r="O18" s="149">
        <f>'04func'!K41</f>
        <v>8306.990431689459</v>
      </c>
      <c r="P18" s="150">
        <f>'05func'!K41</f>
        <v>8679.5820529324264</v>
      </c>
      <c r="Q18" s="182">
        <v>9031.8544101916668</v>
      </c>
      <c r="R18" s="182">
        <f>'07func'!$K41</f>
        <v>9494.9435900043918</v>
      </c>
      <c r="S18" s="182">
        <f>'08func'!$K41</f>
        <v>10031.461977917246</v>
      </c>
      <c r="T18" s="182">
        <f>'09funcWithARRA'!$K41</f>
        <v>10503.800903877791</v>
      </c>
      <c r="U18" s="182">
        <f>'09func_NO_ARRA'!$K41</f>
        <v>10502.67347238543</v>
      </c>
      <c r="V18" s="182">
        <f>'10funcWithARRA&amp;SFSF'!K41</f>
        <v>11262.204402823802</v>
      </c>
      <c r="W18" s="182">
        <f>'10func_NO_ARRA_With_SFSF'!K41</f>
        <v>11104.808018297073</v>
      </c>
      <c r="X18" s="182">
        <f>'10func_NO_ARRA_NO_SFSF'!K41</f>
        <v>10899.847519809824</v>
      </c>
      <c r="Y18" s="182">
        <f>'11funcWithARRA&amp;SFSF'!K41</f>
        <v>11267.669697881471</v>
      </c>
      <c r="Z18" s="182">
        <f>'11func_NO_ARRA_With_SFSF'!K41</f>
        <v>11129.010726564233</v>
      </c>
      <c r="AA18" s="182">
        <f>'11func_NO_ARRA_NO_SFSF'!K41</f>
        <v>10581.576326485314</v>
      </c>
      <c r="AB18" s="182">
        <f>'12func'!$K$41</f>
        <v>11276.070962608586</v>
      </c>
      <c r="AC18" s="182">
        <f>'13func'!$K$41</f>
        <v>11479.272039172287</v>
      </c>
      <c r="AD18" s="182">
        <f>'14func'!$K$41</f>
        <v>11994.22782539724</v>
      </c>
      <c r="AE18" s="182">
        <f>'15func'!$K$41</f>
        <v>12106.500499293821</v>
      </c>
      <c r="AF18" s="182">
        <f>'16func'!$K$41</f>
        <v>12256.922915209674</v>
      </c>
      <c r="AG18" s="182">
        <f>'17func'!$K$41</f>
        <v>12525.156181461629</v>
      </c>
      <c r="AH18" s="182">
        <f>'18func'!$K$41</f>
        <v>13045.782705098616</v>
      </c>
      <c r="AI18" s="182">
        <f>'19func'!$K$41</f>
        <v>13706.301907561481</v>
      </c>
      <c r="AJ18" s="182">
        <f>'20func'!$K$41</f>
        <v>13751.10349739917</v>
      </c>
      <c r="AK18" s="182">
        <f>'21func'!$K$41</f>
        <v>14339.369450846754</v>
      </c>
      <c r="AL18" s="182">
        <f>'22func'!$K$41</f>
        <v>14540.924896323491</v>
      </c>
      <c r="AM18" s="182">
        <f>'23func'!$K$41</f>
        <v>15013.660929871456</v>
      </c>
    </row>
    <row r="19" spans="1:39" x14ac:dyDescent="0.2">
      <c r="A19" s="104"/>
      <c r="B19" s="6"/>
      <c r="C19" s="6"/>
      <c r="D19" s="6"/>
      <c r="E19" s="6"/>
      <c r="F19" s="6"/>
      <c r="G19" s="6"/>
      <c r="H19" s="6"/>
      <c r="I19" s="6"/>
      <c r="J19" s="6"/>
      <c r="K19" s="150"/>
      <c r="L19" s="150"/>
      <c r="M19" s="149"/>
      <c r="N19" s="149"/>
      <c r="O19" s="149"/>
      <c r="P19" s="149"/>
      <c r="Q19" s="182"/>
      <c r="R19" s="182"/>
      <c r="S19" s="182"/>
      <c r="T19" s="182"/>
      <c r="U19" s="182"/>
      <c r="V19" s="182"/>
      <c r="W19" s="182"/>
      <c r="X19" s="182"/>
      <c r="Y19" s="182"/>
      <c r="Z19" s="182"/>
      <c r="AA19" s="182"/>
    </row>
    <row r="20" spans="1:39" x14ac:dyDescent="0.2">
      <c r="A20" s="104" t="s">
        <v>86</v>
      </c>
      <c r="B20" s="6">
        <f>'91func'!K43</f>
        <v>0</v>
      </c>
      <c r="C20" s="6">
        <f>'92func'!K43</f>
        <v>0</v>
      </c>
      <c r="D20" s="6">
        <f>'93func'!K43</f>
        <v>4940.2257405299952</v>
      </c>
      <c r="E20" s="6">
        <f>'94func'!K44</f>
        <v>4997.9973400509898</v>
      </c>
      <c r="F20" s="6">
        <f>'95func'!K43</f>
        <v>4957.1357504466941</v>
      </c>
      <c r="G20" s="6">
        <f>'96func'!K43</f>
        <v>4966.1394151945005</v>
      </c>
      <c r="H20" s="6">
        <f>'97func'!K44</f>
        <v>5028.5054249485956</v>
      </c>
      <c r="I20" s="6">
        <f>'98func'!K47</f>
        <v>5404.4241297615363</v>
      </c>
      <c r="J20" s="6">
        <f>'99func'!K49</f>
        <v>5693.6420142687266</v>
      </c>
      <c r="K20" s="150">
        <f>'00func'!K43</f>
        <v>5892.5598816088223</v>
      </c>
      <c r="L20" s="149">
        <f>'01func'!K43</f>
        <v>6345.8289808917198</v>
      </c>
      <c r="M20" s="149">
        <f>'02func'!K43</f>
        <v>6604.5469997512228</v>
      </c>
      <c r="N20" s="149">
        <f>'03func'!K43</f>
        <v>6965.5571796970926</v>
      </c>
      <c r="O20" s="149">
        <f>'04func'!K43</f>
        <v>7180.5172948177533</v>
      </c>
      <c r="P20" s="150">
        <f>'05func'!K43</f>
        <v>7450.0502644671387</v>
      </c>
      <c r="Q20" s="182">
        <v>7579.4830664666715</v>
      </c>
      <c r="R20" s="182">
        <f>'07func'!$K43</f>
        <v>8018.1195308782935</v>
      </c>
      <c r="S20" s="182">
        <f>'08func'!$K43</f>
        <v>8437.4179023696706</v>
      </c>
      <c r="T20" s="182">
        <f>'09funcWithARRA'!$K43</f>
        <v>8711.1788146106137</v>
      </c>
      <c r="U20" s="182">
        <f>'09func_NO_ARRA'!$K43</f>
        <v>8692.2721492566707</v>
      </c>
      <c r="V20" s="182">
        <f>'10funcWithARRA&amp;SFSF'!K43</f>
        <v>9303.9020804904594</v>
      </c>
      <c r="W20" s="182">
        <f>'10func_NO_ARRA_With_SFSF'!K43</f>
        <v>9085.9715000494416</v>
      </c>
      <c r="X20" s="182">
        <f>'10func_NO_ARRA_NO_SFSF'!K43</f>
        <v>8914.8545881538612</v>
      </c>
      <c r="Y20" s="182">
        <f>'11funcWithARRA&amp;SFSF'!K43</f>
        <v>9635.5524248476995</v>
      </c>
      <c r="Z20" s="182">
        <f>'11func_NO_ARRA_With_SFSF'!K43</f>
        <v>9382.2486028163385</v>
      </c>
      <c r="AA20" s="182">
        <f>'11func_NO_ARRA_NO_SFSF'!K43</f>
        <v>8922.9287985618685</v>
      </c>
      <c r="AB20" s="182">
        <f>'12func'!$K$43</f>
        <v>10335.722429734444</v>
      </c>
      <c r="AC20" s="182">
        <f>'13func'!$K$43</f>
        <v>10484.522071456462</v>
      </c>
      <c r="AD20" s="182">
        <f>'14func'!$K$43</f>
        <v>10285.724558692425</v>
      </c>
      <c r="AE20" s="182">
        <f>'15func'!$K$43</f>
        <v>10537.950102610082</v>
      </c>
      <c r="AF20" s="182">
        <f>'16func'!$K$43</f>
        <v>10857.495511913074</v>
      </c>
      <c r="AG20" s="182">
        <f>'17func'!$K$43</f>
        <v>10999.064162071681</v>
      </c>
      <c r="AH20" s="182">
        <f>'18func'!$K$43</f>
        <v>10995.809410779111</v>
      </c>
      <c r="AI20" s="182">
        <f>'19func'!$K$43</f>
        <v>11429.536725163814</v>
      </c>
      <c r="AJ20" s="182">
        <f>'20func'!$K$43</f>
        <v>11789.181873572534</v>
      </c>
      <c r="AK20" s="182">
        <f>'21func'!$K$43</f>
        <v>13108.357255080589</v>
      </c>
      <c r="AL20" s="182">
        <f>'22func'!$K$43</f>
        <v>13660.769728106869</v>
      </c>
      <c r="AM20" s="182">
        <f>'23func'!$K$43</f>
        <v>13412.261513209014</v>
      </c>
    </row>
    <row r="21" spans="1:39" x14ac:dyDescent="0.2">
      <c r="A21" s="114" t="s">
        <v>87</v>
      </c>
      <c r="B21" s="7">
        <f>'91func'!K44</f>
        <v>0</v>
      </c>
      <c r="C21" s="7">
        <f>'92func'!K44</f>
        <v>0</v>
      </c>
      <c r="D21" s="7">
        <f>'93func'!K44</f>
        <v>8031.9837998808816</v>
      </c>
      <c r="E21" s="7">
        <f>'94func'!K45</f>
        <v>8253.8757081621716</v>
      </c>
      <c r="F21" s="7">
        <f>'95func'!K44</f>
        <v>7185.8245249854726</v>
      </c>
      <c r="G21" s="7">
        <f>'96func'!K44</f>
        <v>7258.6965638897127</v>
      </c>
      <c r="H21" s="7">
        <f>'97func'!K45</f>
        <v>7390.6493418293294</v>
      </c>
      <c r="I21" s="7">
        <f>'98func'!K48</f>
        <v>7640.8471036406336</v>
      </c>
      <c r="J21" s="7">
        <f>'99func'!K50</f>
        <v>8003.5335691561886</v>
      </c>
      <c r="K21" s="151">
        <f>'00func'!K44</f>
        <v>8301.7057549438814</v>
      </c>
      <c r="L21" s="151">
        <f>'01func'!K44</f>
        <v>9041.3671614691593</v>
      </c>
      <c r="M21" s="151">
        <f>'02func'!K44</f>
        <v>9838.1357227866501</v>
      </c>
      <c r="N21" s="151">
        <f>'03func'!K44</f>
        <v>10218.904337541951</v>
      </c>
      <c r="O21" s="151">
        <f>'04func'!K44</f>
        <v>10730.094456539668</v>
      </c>
      <c r="P21" s="151">
        <f>'05func'!K44</f>
        <v>11422.718817290695</v>
      </c>
      <c r="Q21" s="183">
        <v>11411.209500276856</v>
      </c>
      <c r="R21" s="183">
        <f>'07func'!$K44</f>
        <v>12310.507520851308</v>
      </c>
      <c r="S21" s="183">
        <f>'08func'!$K44</f>
        <v>12606.092659589727</v>
      </c>
      <c r="T21" s="183">
        <f>'09funcWithARRA'!$K44</f>
        <v>13209.734586727196</v>
      </c>
      <c r="U21" s="183">
        <f>'09func_NO_ARRA'!$K44</f>
        <v>13207.645789825074</v>
      </c>
      <c r="V21" s="183">
        <f>'10funcWithARRA&amp;SFSF'!K44</f>
        <v>13922.271430481285</v>
      </c>
      <c r="W21" s="183">
        <f>'10func_NO_ARRA_With_SFSF'!K44</f>
        <v>13647.609338235294</v>
      </c>
      <c r="X21" s="183">
        <f>'10func_NO_ARRA_NO_SFSF'!K44</f>
        <v>13420.39670053476</v>
      </c>
      <c r="Y21" s="183">
        <f>'11funcWithARRA&amp;SFSF'!K44</f>
        <v>15020.22202250201</v>
      </c>
      <c r="Z21" s="183">
        <f>'11func_NO_ARRA_With_SFSF'!K44</f>
        <v>14800.495387088133</v>
      </c>
      <c r="AA21" s="183">
        <f>'11func_NO_ARRA_NO_SFSF'!K44</f>
        <v>14188.021915349585</v>
      </c>
      <c r="AB21" s="183">
        <f>'12func'!$K$44</f>
        <v>14752.449847876003</v>
      </c>
      <c r="AC21" s="183">
        <f>'13func'!$K$44</f>
        <v>14249.283607621153</v>
      </c>
      <c r="AD21" s="183">
        <f>'14func'!$K$44</f>
        <v>15283.729068466993</v>
      </c>
      <c r="AE21" s="183">
        <f>'15func'!$K$44</f>
        <v>15245.502818918916</v>
      </c>
      <c r="AF21" s="183">
        <f>'16func'!$K$44</f>
        <v>15635.226945512395</v>
      </c>
      <c r="AG21" s="183">
        <f>'17func'!$K$44</f>
        <v>15906.868166492426</v>
      </c>
      <c r="AH21" s="183">
        <f>'18func'!$K$44</f>
        <v>16065.065550096964</v>
      </c>
      <c r="AI21" s="183">
        <f>'19func'!$K$44</f>
        <v>16702.312418782061</v>
      </c>
      <c r="AJ21" s="183">
        <f>'20func'!$K$44</f>
        <v>17413.533440697232</v>
      </c>
      <c r="AK21" s="183">
        <f>'21func'!$K$44</f>
        <v>18562.054915143606</v>
      </c>
      <c r="AL21" s="183">
        <f>'22func'!$K$44</f>
        <v>19482.506260989012</v>
      </c>
      <c r="AM21" s="183">
        <f>'23func'!$K$44</f>
        <v>20691.206952754841</v>
      </c>
    </row>
    <row r="22" spans="1:39" x14ac:dyDescent="0.2">
      <c r="A22" s="104" t="s">
        <v>136</v>
      </c>
      <c r="B22" s="6">
        <f>'91func'!K45</f>
        <v>0</v>
      </c>
      <c r="C22" s="6">
        <f>'92func'!K45</f>
        <v>0</v>
      </c>
      <c r="D22" s="6">
        <f>'93func'!K45</f>
        <v>5603.1965938697322</v>
      </c>
      <c r="E22" s="6">
        <f>'94func'!K46</f>
        <v>6315.5503165654818</v>
      </c>
      <c r="F22" s="6">
        <f>'95func'!K45</f>
        <v>5861.8588029248722</v>
      </c>
      <c r="G22" s="6">
        <f>'96func'!K45</f>
        <v>5814.1731118056705</v>
      </c>
      <c r="H22" s="6">
        <f>'97func'!K46</f>
        <v>5847.8736830619446</v>
      </c>
      <c r="I22" s="6">
        <f>'98func'!K49</f>
        <v>6176.6520949918886</v>
      </c>
      <c r="J22" s="6">
        <f>'99func'!K51</f>
        <v>6487.1263062031649</v>
      </c>
      <c r="K22" s="150">
        <f>'00func'!K45</f>
        <v>6802.43310102947</v>
      </c>
      <c r="L22" s="149">
        <f>'01func'!K45</f>
        <v>7345.1768033502894</v>
      </c>
      <c r="M22" s="149">
        <f>'02func'!K45</f>
        <v>7780.3043643464025</v>
      </c>
      <c r="N22" s="149">
        <f>'03func'!K45</f>
        <v>8067.5598413815496</v>
      </c>
      <c r="O22" s="149">
        <f>'04func'!K45</f>
        <v>8365.4686400176179</v>
      </c>
      <c r="P22" s="150">
        <f>'05func'!K45</f>
        <v>8848.3487036199112</v>
      </c>
      <c r="Q22" s="182">
        <v>9126.6515734168024</v>
      </c>
      <c r="R22" s="182">
        <f>'07func'!$K45</f>
        <v>9727.4057979728568</v>
      </c>
      <c r="S22" s="182">
        <f>'08func'!$K45</f>
        <v>10095.989429827065</v>
      </c>
      <c r="T22" s="182">
        <f>'09funcWithARRA'!$K45</f>
        <v>10620.375469794852</v>
      </c>
      <c r="U22" s="182">
        <f>'09func_NO_ARRA'!$K45</f>
        <v>10608.606343647283</v>
      </c>
      <c r="V22" s="182">
        <f>'10funcWithARRA&amp;SFSF'!K45</f>
        <v>11267.490026715172</v>
      </c>
      <c r="W22" s="182">
        <f>'10func_NO_ARRA_With_SFSF'!K45</f>
        <v>11025.438960381969</v>
      </c>
      <c r="X22" s="182">
        <f>'10func_NO_ARRA_NO_SFSF'!K45</f>
        <v>10830.471879156483</v>
      </c>
      <c r="Y22" s="182">
        <f>'11funcWithARRA&amp;SFSF'!K45</f>
        <v>11935.566339607531</v>
      </c>
      <c r="Z22" s="182">
        <f>'11func_NO_ARRA_With_SFSF'!K45</f>
        <v>11696.604715372732</v>
      </c>
      <c r="AA22" s="182">
        <f>'11func_NO_ARRA_NO_SFSF'!K45</f>
        <v>11171.866678871789</v>
      </c>
      <c r="AB22" s="182">
        <f>'12func'!$K$45</f>
        <v>12116.108675807011</v>
      </c>
      <c r="AC22" s="182">
        <f>'13func'!$K$45</f>
        <v>12043.861455366845</v>
      </c>
      <c r="AD22" s="182">
        <f>'14func'!$K$45</f>
        <v>12388.517297871122</v>
      </c>
      <c r="AE22" s="182">
        <f>'15func'!$K$45</f>
        <v>12535.649959284323</v>
      </c>
      <c r="AF22" s="182">
        <f>'16func'!$K$45</f>
        <v>12908.162872994199</v>
      </c>
      <c r="AG22" s="182">
        <f>'17func'!$K$45</f>
        <v>13107.92064465409</v>
      </c>
      <c r="AH22" s="182">
        <f>'18func'!$K$45</f>
        <v>13117.829988635136</v>
      </c>
      <c r="AI22" s="182">
        <f>'19func'!$K$45</f>
        <v>13349.503851532565</v>
      </c>
      <c r="AJ22" s="182">
        <f>'20func'!$K$45</f>
        <v>13861.214975337365</v>
      </c>
      <c r="AK22" s="182">
        <f>'21func'!$K$45</f>
        <v>15013.296793433656</v>
      </c>
      <c r="AL22" s="182">
        <f>'22func'!$K$45</f>
        <v>15578.344696860013</v>
      </c>
      <c r="AM22" s="182">
        <f>'23func'!$K$45</f>
        <v>15767.373858788491</v>
      </c>
    </row>
    <row r="23" spans="1:39" x14ac:dyDescent="0.2">
      <c r="A23" s="104"/>
      <c r="B23" s="6"/>
      <c r="C23" s="6"/>
      <c r="D23" s="6"/>
      <c r="E23" s="6"/>
      <c r="F23" s="6"/>
      <c r="G23" s="6"/>
      <c r="H23" s="6"/>
      <c r="I23" s="6"/>
      <c r="J23" s="6"/>
      <c r="K23" s="150"/>
      <c r="L23" s="152"/>
      <c r="M23" s="149"/>
      <c r="N23" s="149"/>
      <c r="O23" s="149"/>
      <c r="P23" s="151"/>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row>
    <row r="24" spans="1:39" ht="13.5" thickBot="1" x14ac:dyDescent="0.25">
      <c r="A24" s="142" t="s">
        <v>137</v>
      </c>
      <c r="B24" s="8">
        <f>'91func'!K47</f>
        <v>4999.6602058525368</v>
      </c>
      <c r="C24" s="8">
        <f>'92func'!K47</f>
        <v>5204.214535859579</v>
      </c>
      <c r="D24" s="8">
        <f>'93func'!K47</f>
        <v>5343.3408425177577</v>
      </c>
      <c r="E24" s="8">
        <f>'94func'!K48</f>
        <v>5418.1490377827331</v>
      </c>
      <c r="F24" s="8">
        <f>'95func'!K47</f>
        <v>5320.360084210397</v>
      </c>
      <c r="G24" s="8">
        <f>'96func'!K47</f>
        <v>5424.0355719066001</v>
      </c>
      <c r="H24" s="8">
        <f>'97func'!K48</f>
        <v>5584.9515221508627</v>
      </c>
      <c r="I24" s="8">
        <f>'98func'!K51</f>
        <v>5811.2331022806311</v>
      </c>
      <c r="J24" s="8">
        <f>'99func'!K53</f>
        <v>6037.975490099102</v>
      </c>
      <c r="K24" s="153">
        <f>'00func'!K47</f>
        <v>6284.9832074219676</v>
      </c>
      <c r="L24" s="153">
        <f>'01func'!K47</f>
        <v>6720.5404100395563</v>
      </c>
      <c r="M24" s="153">
        <f>'02func'!K47</f>
        <v>7092.8635248188848</v>
      </c>
      <c r="N24" s="153">
        <f>'03func'!K47</f>
        <v>7569.5040206981666</v>
      </c>
      <c r="O24" s="153">
        <f>'04func'!K47</f>
        <v>7863.5250747676664</v>
      </c>
      <c r="P24" s="153">
        <f>'05func'!K47</f>
        <v>8167.0111327987433</v>
      </c>
      <c r="Q24" s="192">
        <v>8531.9063886258464</v>
      </c>
      <c r="R24" s="192">
        <f>'07func'!$K47</f>
        <v>9031.4327389657137</v>
      </c>
      <c r="S24" s="192">
        <f>'08func'!$K47</f>
        <v>9403.3241555172244</v>
      </c>
      <c r="T24" s="192">
        <f>'09funcWithARRA'!$K47</f>
        <v>9669.5693666025581</v>
      </c>
      <c r="U24" s="192">
        <f>'09func_NO_ARRA'!$K47</f>
        <v>9661.9550766621251</v>
      </c>
      <c r="V24" s="192">
        <f>'10funcWithARRA&amp;SFSF'!K47</f>
        <v>10299.550881604137</v>
      </c>
      <c r="W24" s="192">
        <f>'10func_NO_ARRA_With_SFSF'!K47</f>
        <v>10046.382785208074</v>
      </c>
      <c r="X24" s="192">
        <f>'10func_NO_ARRA_NO_SFSF'!K47</f>
        <v>9869.2915125113359</v>
      </c>
      <c r="Y24" s="192">
        <f>'11funcWithARRA&amp;SFSF'!K47</f>
        <v>10488.418372588112</v>
      </c>
      <c r="Z24" s="192">
        <f>'11func_NO_ARRA_With_SFSF'!K47</f>
        <v>10275.205132497553</v>
      </c>
      <c r="AA24" s="192">
        <f>'11func_NO_ARRA_NO_SFSF'!K47</f>
        <v>9802.3486024397662</v>
      </c>
      <c r="AB24" s="192">
        <f>'12func'!$K$47</f>
        <v>10400.238327673276</v>
      </c>
      <c r="AC24" s="192">
        <f>'13func'!$K$47</f>
        <v>10535.721747469619</v>
      </c>
      <c r="AD24" s="192">
        <f>'14func'!$K$47</f>
        <v>10874.104337235054</v>
      </c>
      <c r="AE24" s="192">
        <f>'15func'!$K$47</f>
        <v>11045.006138946521</v>
      </c>
      <c r="AF24" s="192">
        <f>'16func'!$K$47</f>
        <v>11287.036064173333</v>
      </c>
      <c r="AG24" s="192">
        <f>'17func'!$K$47</f>
        <v>11437.127967285862</v>
      </c>
      <c r="AH24" s="192">
        <f>'18func'!$K$47</f>
        <v>11768.642878118</v>
      </c>
      <c r="AI24" s="192">
        <f>'19func'!$K$47</f>
        <v>12247.142584388184</v>
      </c>
      <c r="AJ24" s="192">
        <f>'20func'!$K$47</f>
        <v>12562.889249287173</v>
      </c>
      <c r="AK24" s="192">
        <f>'21func'!$K$47</f>
        <v>13379.958718429583</v>
      </c>
      <c r="AL24" s="192">
        <f>'22func'!$K$47</f>
        <v>14147.63664508994</v>
      </c>
      <c r="AM24" s="192">
        <f>'23func'!$K$47</f>
        <v>14451.301291861415</v>
      </c>
    </row>
    <row r="25" spans="1:39" ht="13.5" thickTop="1" x14ac:dyDescent="0.2">
      <c r="A25" s="104"/>
      <c r="B25" s="6"/>
      <c r="C25" s="6"/>
      <c r="D25" s="6"/>
      <c r="E25" s="6"/>
      <c r="F25" s="6"/>
      <c r="G25" s="6"/>
      <c r="H25" s="6"/>
      <c r="I25" s="6"/>
      <c r="J25" s="6"/>
      <c r="K25" s="150"/>
      <c r="L25" s="150"/>
      <c r="M25" s="150"/>
      <c r="N25" s="150"/>
      <c r="O25" s="150"/>
      <c r="P25" s="150"/>
      <c r="Q25" s="83"/>
      <c r="AB25" s="122"/>
      <c r="AC25" s="122"/>
      <c r="AD25" s="122"/>
      <c r="AE25" s="122"/>
      <c r="AF25" s="122"/>
      <c r="AG25" s="122"/>
      <c r="AH25" s="122"/>
      <c r="AI25" s="122"/>
      <c r="AJ25" s="122"/>
      <c r="AK25" s="122"/>
      <c r="AL25" s="122"/>
      <c r="AM25" s="122"/>
    </row>
    <row r="26" spans="1:39" x14ac:dyDescent="0.2">
      <c r="A26" s="104" t="s">
        <v>517</v>
      </c>
      <c r="B26" s="199"/>
      <c r="C26" s="199">
        <f t="shared" ref="C26:T26" si="0">(C24/B24)-1</f>
        <v>4.0913646444931118E-2</v>
      </c>
      <c r="D26" s="199">
        <f t="shared" si="0"/>
        <v>2.6733391888349445E-2</v>
      </c>
      <c r="E26" s="199">
        <f t="shared" si="0"/>
        <v>1.4000266400697292E-2</v>
      </c>
      <c r="F26" s="199">
        <f t="shared" si="0"/>
        <v>-1.8048405994449013E-2</v>
      </c>
      <c r="G26" s="199">
        <f t="shared" si="0"/>
        <v>1.9486554679614354E-2</v>
      </c>
      <c r="H26" s="199">
        <f t="shared" si="0"/>
        <v>2.966720039184767E-2</v>
      </c>
      <c r="I26" s="199">
        <f t="shared" si="0"/>
        <v>4.0516301570800994E-2</v>
      </c>
      <c r="J26" s="199">
        <f t="shared" si="0"/>
        <v>3.9017947452406609E-2</v>
      </c>
      <c r="K26" s="199">
        <f t="shared" si="0"/>
        <v>4.0909029479815118E-2</v>
      </c>
      <c r="L26" s="199">
        <f t="shared" si="0"/>
        <v>6.9301251609270365E-2</v>
      </c>
      <c r="M26" s="199">
        <f t="shared" si="0"/>
        <v>5.5400770185553672E-2</v>
      </c>
      <c r="N26" s="199">
        <f t="shared" si="0"/>
        <v>6.720000944772897E-2</v>
      </c>
      <c r="O26" s="199">
        <f t="shared" si="0"/>
        <v>3.8842842710106851E-2</v>
      </c>
      <c r="P26" s="199">
        <f t="shared" si="0"/>
        <v>3.8594148952979968E-2</v>
      </c>
      <c r="Q26" s="199">
        <f t="shared" si="0"/>
        <v>4.4679167187820168E-2</v>
      </c>
      <c r="R26" s="199">
        <f t="shared" si="0"/>
        <v>5.854803458765101E-2</v>
      </c>
      <c r="S26" s="199">
        <f t="shared" si="0"/>
        <v>4.1177455150277709E-2</v>
      </c>
      <c r="T26" s="199">
        <f t="shared" si="0"/>
        <v>2.8313945864465229E-2</v>
      </c>
      <c r="U26" s="199">
        <f>(U24/S24)-1</f>
        <v>2.7504201372570369E-2</v>
      </c>
      <c r="V26" s="199">
        <f>(V24/T24)-1</f>
        <v>6.5150938073566422E-2</v>
      </c>
      <c r="W26" s="199">
        <f>(W24/U24)-1</f>
        <v>3.9787776438177769E-2</v>
      </c>
      <c r="X26" s="199">
        <f t="shared" ref="X26:AB26" si="1">(X24/U24)-1</f>
        <v>2.1459056081726047E-2</v>
      </c>
      <c r="Y26" s="199">
        <f t="shared" si="1"/>
        <v>1.8337449191236921E-2</v>
      </c>
      <c r="Z26" s="199">
        <f t="shared" si="1"/>
        <v>2.2776590558184706E-2</v>
      </c>
      <c r="AA26" s="199">
        <f t="shared" si="1"/>
        <v>-6.7829499196275789E-3</v>
      </c>
      <c r="AB26" s="199">
        <f t="shared" si="1"/>
        <v>-8.4073729500815375E-3</v>
      </c>
      <c r="AC26" s="312">
        <f>(AC24/AB24)-1</f>
        <v>1.3026953376235939E-2</v>
      </c>
      <c r="AD26" s="312">
        <f>(AD24/AC24)-1</f>
        <v>3.2117646790235765E-2</v>
      </c>
      <c r="AE26" s="312">
        <f t="shared" ref="AE26:AM26" si="2">(AE24/AD24)-1</f>
        <v>1.5716402603041635E-2</v>
      </c>
      <c r="AF26" s="312">
        <f t="shared" si="2"/>
        <v>2.1913063893497897E-2</v>
      </c>
      <c r="AG26" s="312">
        <f t="shared" si="2"/>
        <v>1.3297725129889582E-2</v>
      </c>
      <c r="AH26" s="312">
        <f t="shared" si="2"/>
        <v>2.8985853072588386E-2</v>
      </c>
      <c r="AI26" s="312">
        <f t="shared" si="2"/>
        <v>4.0658868760465205E-2</v>
      </c>
      <c r="AJ26" s="312">
        <f t="shared" si="2"/>
        <v>2.5781251644892311E-2</v>
      </c>
      <c r="AK26" s="312">
        <f t="shared" si="2"/>
        <v>6.5038340538484896E-2</v>
      </c>
      <c r="AL26" s="312">
        <f t="shared" si="2"/>
        <v>5.7375208908750697E-2</v>
      </c>
      <c r="AM26" s="312">
        <f t="shared" si="2"/>
        <v>2.1463984012966897E-2</v>
      </c>
    </row>
    <row r="27" spans="1:39" ht="14.25" x14ac:dyDescent="0.2">
      <c r="A27" s="140" t="s">
        <v>430</v>
      </c>
      <c r="B27" s="6"/>
      <c r="C27" s="6"/>
      <c r="D27" s="6"/>
      <c r="E27" s="6"/>
      <c r="F27" s="6"/>
      <c r="G27" s="6"/>
      <c r="H27" s="6"/>
      <c r="I27" s="6"/>
      <c r="J27" s="6"/>
      <c r="K27" s="150"/>
      <c r="L27" s="150"/>
      <c r="M27" s="150"/>
      <c r="N27" s="150"/>
      <c r="O27" s="150"/>
      <c r="P27" s="134"/>
      <c r="Q27" s="83"/>
    </row>
    <row r="28" spans="1:39" x14ac:dyDescent="0.2">
      <c r="A28" s="138" t="s">
        <v>429</v>
      </c>
      <c r="B28" s="6"/>
      <c r="C28" s="6"/>
      <c r="D28" s="6"/>
      <c r="E28" s="6"/>
      <c r="F28" s="6"/>
      <c r="G28" s="6"/>
      <c r="H28" s="6"/>
      <c r="I28" s="6"/>
      <c r="J28" s="6"/>
      <c r="K28" s="150"/>
      <c r="L28" s="150"/>
      <c r="M28" s="150"/>
      <c r="N28" s="150"/>
      <c r="O28" s="150"/>
      <c r="P28" s="134"/>
      <c r="Q28" s="83"/>
    </row>
    <row r="29" spans="1:39" x14ac:dyDescent="0.2">
      <c r="A29" s="138" t="s">
        <v>427</v>
      </c>
      <c r="B29" s="6"/>
      <c r="C29" s="6"/>
      <c r="D29" s="6"/>
      <c r="E29" s="6"/>
      <c r="F29" s="6"/>
      <c r="G29" s="6"/>
      <c r="H29" s="6"/>
      <c r="I29" s="6"/>
      <c r="J29" s="6"/>
      <c r="K29" s="150"/>
      <c r="L29" s="150"/>
      <c r="M29" s="150"/>
      <c r="N29" s="150"/>
      <c r="O29" s="150"/>
      <c r="P29" s="134"/>
      <c r="Q29" s="83"/>
    </row>
    <row r="30" spans="1:39" x14ac:dyDescent="0.2">
      <c r="A30" s="138" t="s">
        <v>426</v>
      </c>
      <c r="B30" s="6"/>
      <c r="C30" s="6"/>
      <c r="D30" s="6"/>
      <c r="E30" s="6"/>
      <c r="F30" s="6"/>
      <c r="G30" s="6"/>
      <c r="H30" s="6"/>
      <c r="I30" s="6"/>
      <c r="J30" s="6"/>
      <c r="K30" s="150"/>
      <c r="L30" s="150"/>
      <c r="M30" s="150"/>
      <c r="N30" s="150"/>
      <c r="O30" s="150"/>
      <c r="P30" s="134"/>
      <c r="Q30" s="83"/>
    </row>
    <row r="31" spans="1:39" x14ac:dyDescent="0.2">
      <c r="A31" s="104"/>
      <c r="B31" s="6"/>
      <c r="C31" s="6"/>
      <c r="D31" s="6"/>
      <c r="E31" s="6"/>
      <c r="F31" s="6"/>
      <c r="G31" s="6"/>
      <c r="H31" s="6"/>
      <c r="I31" s="6"/>
      <c r="J31" s="6"/>
      <c r="K31" s="150"/>
      <c r="L31" s="150"/>
      <c r="M31" s="150"/>
      <c r="N31" s="150"/>
      <c r="O31" s="150"/>
      <c r="P31" s="134"/>
      <c r="Q31" s="83"/>
    </row>
    <row r="32" spans="1:39" x14ac:dyDescent="0.2">
      <c r="A32" s="104"/>
      <c r="B32" s="6"/>
      <c r="C32" s="6"/>
      <c r="D32" s="6"/>
      <c r="E32" s="6"/>
      <c r="F32" s="6"/>
      <c r="G32" s="6"/>
      <c r="H32" s="6"/>
      <c r="I32" s="6"/>
      <c r="J32" s="6"/>
      <c r="K32" s="150"/>
      <c r="L32" s="150"/>
      <c r="M32" s="150"/>
      <c r="N32" s="150"/>
      <c r="O32" s="150"/>
      <c r="P32" s="134"/>
      <c r="Q32" s="83"/>
    </row>
    <row r="33" spans="1:17" x14ac:dyDescent="0.2">
      <c r="A33" s="104"/>
      <c r="B33" s="6"/>
      <c r="C33" s="6"/>
      <c r="D33" s="6"/>
      <c r="E33" s="6"/>
      <c r="F33" s="6"/>
      <c r="G33" s="6"/>
      <c r="H33" s="6"/>
      <c r="I33" s="6"/>
      <c r="J33" s="6"/>
      <c r="K33" s="150"/>
      <c r="L33" s="150"/>
      <c r="M33" s="150"/>
      <c r="N33" s="150"/>
      <c r="O33" s="150"/>
      <c r="P33" s="134"/>
      <c r="Q33" s="83"/>
    </row>
    <row r="34" spans="1:17" x14ac:dyDescent="0.2">
      <c r="A34" s="104"/>
      <c r="B34" s="6"/>
      <c r="C34" s="6"/>
      <c r="D34" s="6"/>
      <c r="E34" s="6"/>
      <c r="F34" s="6"/>
      <c r="G34" s="6"/>
      <c r="H34" s="6"/>
      <c r="I34" s="6"/>
      <c r="J34" s="6"/>
      <c r="K34" s="150"/>
      <c r="L34" s="150"/>
      <c r="M34" s="150"/>
      <c r="N34" s="150"/>
      <c r="O34" s="150"/>
      <c r="P34" s="134"/>
      <c r="Q34" s="83"/>
    </row>
    <row r="35" spans="1:17" x14ac:dyDescent="0.2">
      <c r="A35" s="104"/>
      <c r="B35" s="6"/>
      <c r="C35" s="6"/>
      <c r="D35" s="6"/>
      <c r="E35" s="6"/>
      <c r="F35" s="6"/>
      <c r="G35" s="6"/>
      <c r="H35" s="6"/>
      <c r="I35" s="6"/>
      <c r="J35" s="6"/>
      <c r="K35" s="150"/>
      <c r="L35" s="150"/>
      <c r="M35" s="150"/>
      <c r="N35" s="150"/>
      <c r="O35" s="150"/>
      <c r="P35" s="134"/>
      <c r="Q35" s="83"/>
    </row>
    <row r="36" spans="1:17" x14ac:dyDescent="0.2">
      <c r="A36" s="104"/>
      <c r="B36" s="6"/>
      <c r="C36" s="6"/>
      <c r="D36" s="6"/>
      <c r="E36" s="6"/>
      <c r="F36" s="6"/>
      <c r="G36" s="6"/>
      <c r="H36" s="6"/>
      <c r="I36" s="6"/>
      <c r="J36" s="6"/>
      <c r="K36" s="150"/>
      <c r="L36" s="150"/>
      <c r="M36" s="150"/>
      <c r="N36" s="150"/>
      <c r="O36" s="150"/>
      <c r="P36" s="134"/>
      <c r="Q36" s="83"/>
    </row>
    <row r="37" spans="1:17" x14ac:dyDescent="0.2">
      <c r="A37" s="104"/>
      <c r="B37" s="6"/>
      <c r="C37" s="6"/>
      <c r="D37" s="6"/>
      <c r="E37" s="6"/>
      <c r="F37" s="6"/>
      <c r="G37" s="6"/>
      <c r="H37" s="6"/>
      <c r="I37" s="6"/>
      <c r="J37" s="6"/>
      <c r="K37" s="150"/>
      <c r="L37" s="150"/>
      <c r="M37" s="150"/>
      <c r="N37" s="150"/>
      <c r="O37" s="150"/>
      <c r="P37" s="134"/>
      <c r="Q37" s="83"/>
    </row>
    <row r="38" spans="1:17" x14ac:dyDescent="0.2">
      <c r="A38" s="104"/>
      <c r="B38" s="6"/>
      <c r="C38" s="6"/>
      <c r="D38" s="6"/>
      <c r="E38" s="6"/>
      <c r="F38" s="6"/>
      <c r="G38" s="6"/>
      <c r="H38" s="6"/>
      <c r="I38" s="6"/>
      <c r="J38" s="6"/>
      <c r="K38" s="150"/>
      <c r="L38" s="150"/>
      <c r="M38" s="150"/>
      <c r="N38" s="150"/>
      <c r="O38" s="150"/>
      <c r="P38" s="134"/>
      <c r="Q38" s="83"/>
    </row>
    <row r="39" spans="1:17" x14ac:dyDescent="0.2">
      <c r="A39" s="104"/>
      <c r="B39" s="6"/>
      <c r="C39" s="6"/>
      <c r="D39" s="6"/>
      <c r="E39" s="6"/>
      <c r="F39" s="6"/>
      <c r="G39" s="6"/>
      <c r="H39" s="6"/>
      <c r="I39" s="6"/>
      <c r="J39" s="6"/>
      <c r="K39" s="150"/>
      <c r="L39" s="150"/>
      <c r="M39" s="150"/>
      <c r="N39" s="150"/>
      <c r="O39" s="150"/>
      <c r="P39" s="134"/>
      <c r="Q39" s="83"/>
    </row>
    <row r="40" spans="1:17" x14ac:dyDescent="0.2">
      <c r="A40" s="104"/>
      <c r="B40" s="6"/>
      <c r="C40" s="6"/>
      <c r="D40" s="6"/>
      <c r="E40" s="6"/>
      <c r="F40" s="6"/>
      <c r="G40" s="6"/>
      <c r="H40" s="6"/>
      <c r="I40" s="6"/>
      <c r="J40" s="6"/>
      <c r="K40" s="150"/>
      <c r="L40" s="150"/>
      <c r="M40" s="150"/>
      <c r="N40" s="150"/>
      <c r="O40" s="150"/>
      <c r="P40" s="134"/>
      <c r="Q40" s="83"/>
    </row>
    <row r="41" spans="1:17" x14ac:dyDescent="0.2">
      <c r="A41" s="104"/>
      <c r="B41" s="6"/>
      <c r="C41" s="6"/>
      <c r="D41" s="6"/>
      <c r="E41" s="6"/>
      <c r="F41" s="6"/>
      <c r="G41" s="6"/>
      <c r="H41" s="6"/>
      <c r="I41" s="6"/>
      <c r="J41" s="6"/>
      <c r="K41" s="150"/>
      <c r="L41" s="150"/>
      <c r="M41" s="150"/>
      <c r="N41" s="150"/>
      <c r="O41" s="150"/>
      <c r="P41" s="134"/>
      <c r="Q41" s="83"/>
    </row>
    <row r="42" spans="1:17" x14ac:dyDescent="0.2">
      <c r="A42" s="104"/>
      <c r="B42" s="6"/>
      <c r="C42" s="6"/>
      <c r="D42" s="6"/>
      <c r="E42" s="6"/>
      <c r="F42" s="6"/>
      <c r="G42" s="6"/>
      <c r="H42" s="6"/>
      <c r="I42" s="6"/>
      <c r="J42" s="6"/>
      <c r="K42" s="150"/>
      <c r="L42" s="150"/>
      <c r="M42" s="150"/>
      <c r="N42" s="150"/>
      <c r="O42" s="150"/>
      <c r="P42" s="134"/>
      <c r="Q42" s="83"/>
    </row>
    <row r="43" spans="1:17" x14ac:dyDescent="0.2">
      <c r="A43" s="104"/>
      <c r="B43" s="6"/>
      <c r="C43" s="6"/>
      <c r="D43" s="6"/>
      <c r="E43" s="6"/>
      <c r="F43" s="6"/>
      <c r="G43" s="6"/>
      <c r="H43" s="6"/>
      <c r="I43" s="6"/>
      <c r="J43" s="6"/>
      <c r="K43" s="150"/>
      <c r="L43" s="150"/>
      <c r="M43" s="150"/>
      <c r="N43" s="150"/>
      <c r="O43" s="150"/>
      <c r="P43" s="134"/>
      <c r="Q43" s="83"/>
    </row>
    <row r="44" spans="1:17" x14ac:dyDescent="0.2">
      <c r="A44" s="104"/>
      <c r="B44" s="6"/>
      <c r="C44" s="6"/>
      <c r="D44" s="6"/>
      <c r="E44" s="6"/>
      <c r="F44" s="6"/>
      <c r="G44" s="6"/>
      <c r="H44" s="6"/>
      <c r="I44" s="6"/>
      <c r="J44" s="6"/>
      <c r="K44" s="150"/>
      <c r="L44" s="150"/>
      <c r="M44" s="150"/>
      <c r="N44" s="150"/>
      <c r="O44" s="150"/>
      <c r="P44" s="134"/>
      <c r="Q44" s="83"/>
    </row>
    <row r="45" spans="1:17" x14ac:dyDescent="0.2">
      <c r="A45" s="104"/>
      <c r="B45" s="6"/>
      <c r="C45" s="6"/>
      <c r="D45" s="6"/>
      <c r="E45" s="6"/>
      <c r="F45" s="6"/>
      <c r="G45" s="6"/>
      <c r="H45" s="6"/>
      <c r="I45" s="6"/>
      <c r="J45" s="6"/>
      <c r="K45" s="150"/>
      <c r="L45" s="150"/>
      <c r="M45" s="150"/>
      <c r="N45" s="150"/>
      <c r="O45" s="150"/>
      <c r="P45" s="134"/>
      <c r="Q45" s="83"/>
    </row>
    <row r="46" spans="1:17" x14ac:dyDescent="0.2">
      <c r="A46" s="104"/>
      <c r="B46" s="6"/>
      <c r="C46" s="6"/>
      <c r="D46" s="6"/>
      <c r="E46" s="6"/>
      <c r="F46" s="6"/>
      <c r="G46" s="6"/>
      <c r="H46" s="6"/>
      <c r="I46" s="6"/>
      <c r="J46" s="6"/>
      <c r="K46" s="150"/>
      <c r="L46" s="150"/>
      <c r="M46" s="150"/>
      <c r="N46" s="150"/>
      <c r="O46" s="150"/>
      <c r="P46" s="134"/>
      <c r="Q46" s="83"/>
    </row>
    <row r="47" spans="1:17" x14ac:dyDescent="0.2">
      <c r="A47" s="104"/>
      <c r="B47" s="6"/>
      <c r="C47" s="6"/>
      <c r="D47" s="6"/>
      <c r="E47" s="6"/>
      <c r="F47" s="6"/>
      <c r="G47" s="6"/>
      <c r="H47" s="6"/>
      <c r="I47" s="6"/>
      <c r="J47" s="6"/>
      <c r="K47" s="150"/>
      <c r="L47" s="150"/>
      <c r="M47" s="150"/>
      <c r="N47" s="150"/>
      <c r="O47" s="150"/>
      <c r="P47" s="134"/>
      <c r="Q47" s="83"/>
    </row>
    <row r="48" spans="1:17" x14ac:dyDescent="0.2">
      <c r="A48" s="104"/>
      <c r="B48" s="6"/>
      <c r="C48" s="6"/>
      <c r="D48" s="6"/>
      <c r="E48" s="6"/>
      <c r="F48" s="6"/>
      <c r="G48" s="6"/>
      <c r="H48" s="6"/>
      <c r="I48" s="6"/>
      <c r="J48" s="6"/>
      <c r="K48" s="150"/>
      <c r="L48" s="150"/>
      <c r="M48" s="150"/>
      <c r="N48" s="150"/>
      <c r="O48" s="150"/>
      <c r="P48" s="134"/>
      <c r="Q48" s="83"/>
    </row>
    <row r="49" spans="1:17" x14ac:dyDescent="0.2">
      <c r="A49" s="104"/>
      <c r="B49" s="6"/>
      <c r="C49" s="6"/>
      <c r="D49" s="6"/>
      <c r="E49" s="6"/>
      <c r="F49" s="6"/>
      <c r="G49" s="6"/>
      <c r="H49" s="6"/>
      <c r="I49" s="6"/>
      <c r="J49" s="6"/>
      <c r="K49" s="150"/>
      <c r="L49" s="150"/>
      <c r="M49" s="150"/>
      <c r="N49" s="150"/>
      <c r="O49" s="150"/>
      <c r="P49" s="134"/>
      <c r="Q49" s="83"/>
    </row>
    <row r="50" spans="1:17" x14ac:dyDescent="0.2">
      <c r="B50" s="6"/>
      <c r="E50" s="1"/>
      <c r="F50" s="1"/>
      <c r="G50" s="1"/>
      <c r="H50" s="1"/>
      <c r="I50" s="1"/>
      <c r="J50" s="1"/>
      <c r="K50" s="150"/>
      <c r="L50" s="150"/>
      <c r="M50" s="150"/>
      <c r="N50" s="150"/>
      <c r="O50" s="150"/>
      <c r="P50" s="134"/>
      <c r="Q50" s="82"/>
    </row>
    <row r="74" spans="1:15" x14ac:dyDescent="0.2">
      <c r="A74" s="138"/>
      <c r="B74" s="104"/>
      <c r="C74" s="104"/>
      <c r="D74" s="104"/>
      <c r="E74" s="1"/>
      <c r="F74" s="6"/>
      <c r="G74" s="1"/>
      <c r="H74" s="1"/>
      <c r="I74" s="1"/>
      <c r="J74" s="1"/>
      <c r="K74" s="149"/>
      <c r="L74" s="149"/>
      <c r="M74" s="149"/>
      <c r="N74" s="149"/>
      <c r="O74" s="149"/>
    </row>
    <row r="75" spans="1:15" x14ac:dyDescent="0.2">
      <c r="A75" s="138"/>
      <c r="B75" s="110"/>
      <c r="C75" s="110"/>
      <c r="D75" s="110"/>
      <c r="E75" s="1"/>
      <c r="F75" s="6"/>
      <c r="G75" s="1"/>
      <c r="H75" s="1"/>
      <c r="I75" s="1"/>
      <c r="J75" s="1"/>
      <c r="K75" s="149"/>
      <c r="L75" s="149"/>
      <c r="M75" s="149"/>
      <c r="N75" s="149"/>
      <c r="O75" s="149"/>
    </row>
    <row r="76" spans="1:15" x14ac:dyDescent="0.2">
      <c r="A76" s="138"/>
      <c r="B76" s="110"/>
      <c r="C76" s="110"/>
      <c r="D76" s="110"/>
      <c r="E76" s="1"/>
      <c r="F76" s="6"/>
      <c r="G76" s="1"/>
      <c r="H76" s="1"/>
      <c r="I76" s="1"/>
      <c r="J76" s="1"/>
      <c r="K76" s="149"/>
      <c r="L76" s="149"/>
      <c r="M76" s="149"/>
      <c r="N76" s="149"/>
      <c r="O76" s="149"/>
    </row>
    <row r="77" spans="1:15" x14ac:dyDescent="0.2">
      <c r="A77" s="104"/>
      <c r="B77" s="104"/>
      <c r="C77" s="104"/>
      <c r="D77" s="104"/>
      <c r="E77" s="1"/>
      <c r="F77" s="6"/>
      <c r="G77" s="1"/>
      <c r="H77" s="1"/>
      <c r="I77" s="1"/>
      <c r="J77" s="1"/>
      <c r="K77" s="149"/>
      <c r="L77" s="149"/>
      <c r="M77" s="149"/>
      <c r="N77" s="149"/>
      <c r="O77" s="149"/>
    </row>
    <row r="78" spans="1:15" x14ac:dyDescent="0.2">
      <c r="A78" s="104"/>
      <c r="B78" s="104"/>
      <c r="C78" s="104"/>
      <c r="D78" s="104"/>
      <c r="E78" s="1"/>
      <c r="F78" s="6"/>
      <c r="G78" s="1"/>
      <c r="H78" s="1"/>
      <c r="I78" s="1"/>
      <c r="J78" s="1"/>
      <c r="K78" s="149"/>
      <c r="L78" s="149"/>
      <c r="M78" s="149"/>
      <c r="N78" s="149"/>
      <c r="O78" s="149"/>
    </row>
    <row r="79" spans="1:15" x14ac:dyDescent="0.2">
      <c r="A79" s="104"/>
      <c r="B79" s="104"/>
      <c r="C79" s="104"/>
      <c r="D79" s="104"/>
      <c r="E79" s="1"/>
      <c r="F79" s="6"/>
      <c r="G79" s="1"/>
      <c r="H79" s="1"/>
      <c r="I79" s="1"/>
      <c r="J79" s="1"/>
      <c r="K79" s="149"/>
      <c r="L79" s="149"/>
      <c r="M79" s="149"/>
      <c r="N79" s="149"/>
      <c r="O79" s="149"/>
    </row>
    <row r="80" spans="1:15" x14ac:dyDescent="0.2">
      <c r="A80" s="104"/>
      <c r="B80" s="104"/>
      <c r="C80" s="104"/>
      <c r="D80" s="104"/>
      <c r="E80" s="1"/>
      <c r="F80" s="6"/>
      <c r="G80" s="1"/>
      <c r="H80" s="1"/>
      <c r="I80" s="1"/>
      <c r="J80" s="1"/>
      <c r="K80" s="149"/>
      <c r="L80" s="149"/>
      <c r="M80" s="149"/>
      <c r="N80" s="149"/>
      <c r="O80" s="149"/>
    </row>
    <row r="81" spans="1:6" x14ac:dyDescent="0.2">
      <c r="A81" s="104"/>
      <c r="B81" s="104"/>
      <c r="C81" s="104"/>
      <c r="D81" s="104"/>
      <c r="F81" s="122"/>
    </row>
    <row r="82" spans="1:6" x14ac:dyDescent="0.2">
      <c r="A82" s="104"/>
      <c r="B82" s="104"/>
      <c r="C82" s="104"/>
      <c r="D82" s="104"/>
      <c r="F82" s="122"/>
    </row>
    <row r="83" spans="1:6" x14ac:dyDescent="0.2">
      <c r="A83" s="104"/>
      <c r="B83" s="104"/>
      <c r="C83" s="104"/>
      <c r="D83" s="104"/>
      <c r="F83" s="122"/>
    </row>
    <row r="84" spans="1:6" x14ac:dyDescent="0.2">
      <c r="A84" s="104"/>
      <c r="B84" s="104"/>
      <c r="C84" s="104"/>
      <c r="D84" s="104"/>
      <c r="F84" s="122"/>
    </row>
    <row r="85" spans="1:6" x14ac:dyDescent="0.2">
      <c r="A85" s="104"/>
      <c r="B85" s="104"/>
      <c r="C85" s="104"/>
      <c r="D85" s="104"/>
      <c r="F85" s="122"/>
    </row>
    <row r="86" spans="1:6" x14ac:dyDescent="0.2">
      <c r="A86" s="104"/>
      <c r="B86" s="104"/>
      <c r="C86" s="104"/>
      <c r="D86" s="104"/>
    </row>
    <row r="87" spans="1:6" x14ac:dyDescent="0.2">
      <c r="A87" s="104"/>
      <c r="B87" s="104"/>
      <c r="C87" s="104"/>
      <c r="D87" s="104"/>
    </row>
    <row r="88" spans="1:6" x14ac:dyDescent="0.2">
      <c r="A88" s="104"/>
      <c r="B88" s="104"/>
      <c r="C88" s="104"/>
      <c r="D88" s="104"/>
    </row>
    <row r="89" spans="1:6" x14ac:dyDescent="0.2">
      <c r="A89" s="104"/>
      <c r="B89" s="104"/>
      <c r="C89" s="104"/>
      <c r="D89" s="104"/>
    </row>
    <row r="90" spans="1:6" x14ac:dyDescent="0.2">
      <c r="A90" s="104"/>
      <c r="B90" s="104"/>
      <c r="C90" s="104"/>
      <c r="D90" s="104"/>
    </row>
    <row r="91" spans="1:6" x14ac:dyDescent="0.2">
      <c r="A91" s="104"/>
      <c r="B91" s="104"/>
      <c r="C91" s="104"/>
      <c r="D91" s="104"/>
    </row>
    <row r="92" spans="1:6" x14ac:dyDescent="0.2">
      <c r="A92" s="104"/>
      <c r="B92" s="104"/>
      <c r="C92" s="104"/>
      <c r="D92" s="104"/>
    </row>
    <row r="93" spans="1:6" x14ac:dyDescent="0.2">
      <c r="A93" s="104"/>
      <c r="B93" s="104"/>
      <c r="C93" s="104"/>
      <c r="D93" s="104"/>
    </row>
    <row r="94" spans="1:6" x14ac:dyDescent="0.2">
      <c r="A94" s="104"/>
      <c r="B94" s="104"/>
      <c r="C94" s="104"/>
      <c r="D94" s="104"/>
    </row>
    <row r="95" spans="1:6" x14ac:dyDescent="0.2">
      <c r="A95" s="104"/>
      <c r="B95" s="104"/>
      <c r="C95" s="104"/>
      <c r="D95" s="104"/>
    </row>
    <row r="96" spans="1:6" x14ac:dyDescent="0.2">
      <c r="A96" s="104"/>
      <c r="B96" s="104"/>
      <c r="C96" s="104"/>
      <c r="D96" s="104"/>
    </row>
    <row r="97" spans="1:4" x14ac:dyDescent="0.2">
      <c r="A97" s="108"/>
      <c r="B97" s="108"/>
      <c r="C97" s="108"/>
      <c r="D97" s="108"/>
    </row>
  </sheetData>
  <phoneticPr fontId="7" type="noConversion"/>
  <pageMargins left="0.25" right="0.25" top="1" bottom="1" header="0.5" footer="0.5"/>
  <pageSetup scale="94" orientation="landscape" r:id="rId1"/>
  <headerFooter alignWithMargins="0">
    <oddFooter>&amp;L&amp;Z&amp;F</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tabColor rgb="FFFFFF00"/>
    <pageSetUpPr fitToPage="1"/>
  </sheetPr>
  <dimension ref="A1:N175"/>
  <sheetViews>
    <sheetView topLeftCell="A141" zoomScaleNormal="100" workbookViewId="0">
      <selection activeCell="I175" sqref="I175"/>
    </sheetView>
  </sheetViews>
  <sheetFormatPr defaultRowHeight="12.75" x14ac:dyDescent="0.2"/>
  <cols>
    <col min="1" max="1" width="26.42578125" customWidth="1"/>
    <col min="2" max="2" width="11.5703125" bestFit="1" customWidth="1"/>
    <col min="3" max="3" width="12.140625" customWidth="1"/>
    <col min="4" max="4" width="16.5703125" bestFit="1" customWidth="1"/>
    <col min="5" max="5" width="15.28515625" bestFit="1" customWidth="1"/>
    <col min="6" max="6" width="12.42578125" bestFit="1" customWidth="1"/>
    <col min="7" max="8" width="14.28515625" bestFit="1" customWidth="1"/>
    <col min="9" max="9" width="16.85546875" bestFit="1" customWidth="1"/>
    <col min="10" max="10" width="11.85546875" bestFit="1" customWidth="1"/>
    <col min="11" max="11" width="12" bestFit="1" customWidth="1"/>
    <col min="12" max="12" width="14.140625" bestFit="1" customWidth="1"/>
    <col min="13" max="13" width="12.7109375" bestFit="1" customWidth="1"/>
  </cols>
  <sheetData>
    <row r="1" spans="1:13" x14ac:dyDescent="0.2">
      <c r="A1" s="36" t="s">
        <v>247</v>
      </c>
    </row>
    <row r="2" spans="1:13" x14ac:dyDescent="0.2">
      <c r="A2" s="22" t="s">
        <v>1411</v>
      </c>
    </row>
    <row r="3" spans="1:13" ht="22.5" x14ac:dyDescent="0.2">
      <c r="A3" s="141" t="s">
        <v>310</v>
      </c>
      <c r="B3" s="141" t="s">
        <v>396</v>
      </c>
      <c r="C3" s="141" t="s">
        <v>556</v>
      </c>
      <c r="D3" s="141" t="s">
        <v>94</v>
      </c>
      <c r="E3" s="141" t="s">
        <v>95</v>
      </c>
      <c r="F3" s="141" t="s">
        <v>96</v>
      </c>
      <c r="G3" s="141" t="s">
        <v>97</v>
      </c>
      <c r="H3" s="141" t="s">
        <v>98</v>
      </c>
      <c r="I3" s="141" t="s">
        <v>99</v>
      </c>
      <c r="J3" s="141" t="s">
        <v>93</v>
      </c>
      <c r="K3" s="141" t="s">
        <v>115</v>
      </c>
      <c r="L3" s="141" t="s">
        <v>113</v>
      </c>
    </row>
    <row r="4" spans="1:13" x14ac:dyDescent="0.2">
      <c r="A4">
        <v>1991</v>
      </c>
      <c r="B4" s="122">
        <f>'91func'!B23</f>
        <v>147970</v>
      </c>
      <c r="C4" s="129">
        <f>L4/B4</f>
        <v>4999.6602058525377</v>
      </c>
      <c r="D4" s="122">
        <f>'91func'!C23</f>
        <v>407252292.01999998</v>
      </c>
      <c r="E4" s="122">
        <f>'91func'!D23</f>
        <v>44842273.889999993</v>
      </c>
      <c r="F4" s="122">
        <f>'91func'!E23</f>
        <v>41449492.829999998</v>
      </c>
      <c r="G4" s="122">
        <f>'91func'!F23</f>
        <v>37804290.409999996</v>
      </c>
      <c r="H4" s="122">
        <f>'91func'!G23</f>
        <v>77120088</v>
      </c>
      <c r="I4" s="122">
        <f>'91func'!H23</f>
        <v>36181933.699999996</v>
      </c>
      <c r="J4" s="122">
        <f>'91func'!I23</f>
        <v>47476949.890000001</v>
      </c>
      <c r="K4" s="122">
        <f>'91func'!J23</f>
        <v>47672399.920000002</v>
      </c>
      <c r="L4" s="122">
        <f>'91func'!K23</f>
        <v>739799720.65999997</v>
      </c>
    </row>
    <row r="5" spans="1:13" x14ac:dyDescent="0.2">
      <c r="A5">
        <v>1992</v>
      </c>
      <c r="B5" s="122">
        <f>'92func'!B23</f>
        <v>148468</v>
      </c>
      <c r="C5" s="129">
        <f t="shared" ref="C5:C18" si="0">L5/B5</f>
        <v>5204.214535859579</v>
      </c>
      <c r="D5" s="122">
        <f>'92func'!C23</f>
        <v>433269038.50999999</v>
      </c>
      <c r="E5" s="122">
        <f>'92func'!D23</f>
        <v>47995918.459999993</v>
      </c>
      <c r="F5" s="122">
        <f>'92func'!E23</f>
        <v>43932998.200000003</v>
      </c>
      <c r="G5" s="122">
        <f>'92func'!F23</f>
        <v>40154142.07</v>
      </c>
      <c r="H5" s="122">
        <f>'92func'!G23</f>
        <v>80685531.920000002</v>
      </c>
      <c r="I5" s="122">
        <f>'92func'!H23</f>
        <v>37344840.109999999</v>
      </c>
      <c r="J5" s="122">
        <f>'92func'!I23</f>
        <v>48410811.769999996</v>
      </c>
      <c r="K5" s="122">
        <f>'92func'!J23</f>
        <v>40866042.670000002</v>
      </c>
      <c r="L5" s="122">
        <f>'92func'!K23</f>
        <v>772659323.71000004</v>
      </c>
    </row>
    <row r="6" spans="1:13" x14ac:dyDescent="0.2">
      <c r="A6">
        <v>1993</v>
      </c>
      <c r="B6" s="122">
        <f>'93func'!B23</f>
        <v>151071</v>
      </c>
      <c r="C6" s="129">
        <f t="shared" si="0"/>
        <v>5343.3408425177558</v>
      </c>
      <c r="D6" s="122">
        <f>'93func'!C23</f>
        <v>451716432.84000003</v>
      </c>
      <c r="E6" s="122">
        <f>'93func'!D23</f>
        <v>53346978.839999996</v>
      </c>
      <c r="F6" s="122">
        <f>'93func'!E23</f>
        <v>45282797.850000001</v>
      </c>
      <c r="G6" s="122">
        <f>'93func'!F23</f>
        <v>41593159.350000001</v>
      </c>
      <c r="H6" s="122">
        <f>'93func'!G23</f>
        <v>83438733.870000005</v>
      </c>
      <c r="I6" s="122">
        <f>'93func'!H23</f>
        <v>40901608.230000004</v>
      </c>
      <c r="J6" s="122">
        <f>'93func'!I23</f>
        <v>49218261.560000002</v>
      </c>
      <c r="K6" s="122">
        <f>'93func'!J23</f>
        <v>41725871.880000003</v>
      </c>
      <c r="L6" s="122">
        <f>'93func'!K23</f>
        <v>807223844.41999996</v>
      </c>
    </row>
    <row r="7" spans="1:13" x14ac:dyDescent="0.2">
      <c r="A7">
        <v>1994</v>
      </c>
      <c r="B7" s="122">
        <f>'94func'!B24</f>
        <v>156950</v>
      </c>
      <c r="C7" s="129">
        <f t="shared" si="0"/>
        <v>5418.1490377827331</v>
      </c>
      <c r="D7" s="122">
        <f>'94func'!C24</f>
        <v>477415411.50999993</v>
      </c>
      <c r="E7" s="122">
        <f>'94func'!D24</f>
        <v>57700225.079999991</v>
      </c>
      <c r="F7" s="122">
        <f>'94func'!E24</f>
        <v>46591499.960000001</v>
      </c>
      <c r="G7" s="122">
        <f>'94func'!F24</f>
        <v>43052335.969999999</v>
      </c>
      <c r="H7" s="122">
        <f>'94func'!G24</f>
        <v>84235173.289999992</v>
      </c>
      <c r="I7" s="122">
        <f>'94func'!H24</f>
        <v>40625962.310000002</v>
      </c>
      <c r="J7" s="122">
        <f>'94func'!I24</f>
        <v>53921147.770000011</v>
      </c>
      <c r="K7" s="122">
        <f>'94func'!J24</f>
        <v>46836735.590000004</v>
      </c>
      <c r="L7" s="122">
        <f>'94func'!K24</f>
        <v>850378491.48000002</v>
      </c>
      <c r="M7" s="122"/>
    </row>
    <row r="8" spans="1:13" x14ac:dyDescent="0.2">
      <c r="A8">
        <v>1995</v>
      </c>
      <c r="B8" s="122">
        <f>'95func'!B23</f>
        <v>162569</v>
      </c>
      <c r="C8" s="129">
        <f t="shared" si="0"/>
        <v>5320.360084210397</v>
      </c>
      <c r="D8" s="122">
        <f>'95func'!C23</f>
        <v>492023430.09999996</v>
      </c>
      <c r="E8" s="122">
        <f>'95func'!D23</f>
        <v>61103672.75999999</v>
      </c>
      <c r="F8" s="122">
        <f>'95func'!E23</f>
        <v>47138237.370000005</v>
      </c>
      <c r="G8" s="122">
        <f>'95func'!F23</f>
        <v>43544743.849999994</v>
      </c>
      <c r="H8" s="122">
        <f>'95func'!G23</f>
        <v>86516519.789999992</v>
      </c>
      <c r="I8" s="122">
        <f>'95func'!H23</f>
        <v>42460587.049999997</v>
      </c>
      <c r="J8" s="122">
        <f>'95func'!I23</f>
        <v>53519382.850000001</v>
      </c>
      <c r="K8" s="122">
        <f>'95func'!J23</f>
        <v>38619044.760000005</v>
      </c>
      <c r="L8" s="122">
        <f>'95func'!K23</f>
        <v>864925618.52999997</v>
      </c>
      <c r="M8" s="122"/>
    </row>
    <row r="9" spans="1:13" x14ac:dyDescent="0.2">
      <c r="A9">
        <v>1996</v>
      </c>
      <c r="B9" s="122">
        <f>'96func'!B23</f>
        <v>163768</v>
      </c>
      <c r="C9" s="129">
        <f t="shared" si="0"/>
        <v>5424.0355719066001</v>
      </c>
      <c r="D9" s="122">
        <f>'96func'!C23</f>
        <v>505228705.35000008</v>
      </c>
      <c r="E9" s="122">
        <f>'96func'!D23</f>
        <v>63744691.5</v>
      </c>
      <c r="F9" s="122">
        <f>'96func'!E23</f>
        <v>47793427.310000002</v>
      </c>
      <c r="G9" s="122">
        <f>'96func'!F23</f>
        <v>45689821.63000001</v>
      </c>
      <c r="H9" s="122">
        <f>'96func'!G23</f>
        <v>88930103.979999989</v>
      </c>
      <c r="I9" s="122">
        <f>'96func'!H23</f>
        <v>43469200.119999997</v>
      </c>
      <c r="J9" s="122">
        <f>'96func'!I23</f>
        <v>54957705.589999996</v>
      </c>
      <c r="K9" s="122">
        <f>'96func'!J23</f>
        <v>38469802.059999995</v>
      </c>
      <c r="L9" s="122">
        <f>'96func'!K23</f>
        <v>888283457.54000008</v>
      </c>
      <c r="M9" s="122"/>
    </row>
    <row r="10" spans="1:13" x14ac:dyDescent="0.2">
      <c r="A10">
        <v>1997</v>
      </c>
      <c r="B10" s="122">
        <f>'97func'!B24</f>
        <v>164734</v>
      </c>
      <c r="C10" s="129">
        <f t="shared" si="0"/>
        <v>5584.9515221508627</v>
      </c>
      <c r="D10" s="122">
        <f>'97func'!C24</f>
        <v>518614259.57000005</v>
      </c>
      <c r="E10" s="122">
        <f>'97func'!D24</f>
        <v>66728223.829999998</v>
      </c>
      <c r="F10" s="122">
        <f>'97func'!E24</f>
        <v>49540490.500000007</v>
      </c>
      <c r="G10" s="122">
        <f>'97func'!F24</f>
        <v>47515701.479999997</v>
      </c>
      <c r="H10" s="122">
        <f>'97func'!G24</f>
        <v>91501393.900000006</v>
      </c>
      <c r="I10" s="122">
        <f>'97func'!H24</f>
        <v>45814911.560000002</v>
      </c>
      <c r="J10" s="122">
        <f>'97func'!I24</f>
        <v>58225733.219999999</v>
      </c>
      <c r="K10" s="122">
        <f>'97func'!J24</f>
        <v>42090689.990000002</v>
      </c>
      <c r="L10" s="122">
        <f>'97func'!K24</f>
        <v>920031404.05000019</v>
      </c>
      <c r="M10" s="122"/>
    </row>
    <row r="11" spans="1:13" x14ac:dyDescent="0.2">
      <c r="A11">
        <v>1998</v>
      </c>
      <c r="B11" s="122">
        <f>'98func'!B24</f>
        <v>163902</v>
      </c>
      <c r="C11" s="129">
        <f t="shared" si="0"/>
        <v>5811.2331022806311</v>
      </c>
      <c r="D11" s="122">
        <f>'98func'!C24</f>
        <v>537773729.60000002</v>
      </c>
      <c r="E11" s="122">
        <f>'98func'!D24</f>
        <v>71287601.949999988</v>
      </c>
      <c r="F11" s="122">
        <f>'98func'!E24</f>
        <v>50578659.989999995</v>
      </c>
      <c r="G11" s="122">
        <f>'98func'!F24</f>
        <v>48762624.68</v>
      </c>
      <c r="H11" s="122">
        <f>'98func'!G24</f>
        <v>92140897.060000002</v>
      </c>
      <c r="I11" s="122">
        <f>'98func'!H24</f>
        <v>46611109.659999996</v>
      </c>
      <c r="J11" s="122">
        <f>'98func'!I24</f>
        <v>60003534.710000001</v>
      </c>
      <c r="K11" s="122">
        <f>'98func'!J24</f>
        <v>45314570.280000001</v>
      </c>
      <c r="L11" s="122">
        <f>'98func'!K24</f>
        <v>952472727.92999995</v>
      </c>
      <c r="M11" s="122"/>
    </row>
    <row r="12" spans="1:13" x14ac:dyDescent="0.2">
      <c r="A12">
        <v>1999</v>
      </c>
      <c r="B12" s="122">
        <f>'99func'!B24</f>
        <v>161753</v>
      </c>
      <c r="C12" s="129">
        <f t="shared" si="0"/>
        <v>6037.975490099102</v>
      </c>
      <c r="D12" s="122">
        <f>'99func'!C24</f>
        <v>549287424.3900001</v>
      </c>
      <c r="E12" s="122">
        <f>'99func'!D24</f>
        <v>74399230.210000008</v>
      </c>
      <c r="F12" s="122">
        <f>'99func'!E24</f>
        <v>50791924.259999998</v>
      </c>
      <c r="G12" s="122">
        <f>'99func'!F24</f>
        <v>49668842.939999998</v>
      </c>
      <c r="H12" s="122">
        <f>'99func'!G24</f>
        <v>95919233.99000001</v>
      </c>
      <c r="I12" s="122">
        <f>'99func'!H24</f>
        <v>47197964.409999996</v>
      </c>
      <c r="J12" s="122">
        <f>'99func'!I24</f>
        <v>61580845.74000001</v>
      </c>
      <c r="K12" s="122">
        <f>'99func'!J24</f>
        <v>47815183.510000005</v>
      </c>
      <c r="L12" s="122">
        <f>'99func'!K24</f>
        <v>976660649.45000005</v>
      </c>
      <c r="M12" s="122"/>
    </row>
    <row r="13" spans="1:13" x14ac:dyDescent="0.2">
      <c r="A13">
        <v>2000</v>
      </c>
      <c r="B13" s="122">
        <f>'00func'!B23</f>
        <v>159742</v>
      </c>
      <c r="C13" s="129">
        <f t="shared" si="0"/>
        <v>6284.9832074219676</v>
      </c>
      <c r="D13" s="122">
        <f>'00func'!C23</f>
        <v>569084623.0999999</v>
      </c>
      <c r="E13" s="122">
        <f>'00func'!D23</f>
        <v>77686242.579999998</v>
      </c>
      <c r="F13" s="122">
        <f>'00func'!E23</f>
        <v>51550395.550000004</v>
      </c>
      <c r="G13" s="122">
        <f>'00func'!F23</f>
        <v>51846125.310000002</v>
      </c>
      <c r="H13" s="122">
        <f>'00func'!G23</f>
        <v>100176770.29000001</v>
      </c>
      <c r="I13" s="122">
        <f>'00func'!H23</f>
        <v>48885864.789999999</v>
      </c>
      <c r="J13" s="122">
        <f>'00func'!I23</f>
        <v>62738246.330000006</v>
      </c>
      <c r="K13" s="122">
        <f>'00func'!J23</f>
        <v>42007519.57</v>
      </c>
      <c r="L13" s="122">
        <f>'00func'!K23</f>
        <v>1003975787.52</v>
      </c>
      <c r="M13" s="122"/>
    </row>
    <row r="14" spans="1:13" x14ac:dyDescent="0.2">
      <c r="A14">
        <v>2001</v>
      </c>
      <c r="B14" s="122">
        <f>'01func'!B23</f>
        <v>157497</v>
      </c>
      <c r="C14" s="129">
        <f t="shared" si="0"/>
        <v>6720.5404100395554</v>
      </c>
      <c r="D14" s="122">
        <f>'01func'!C23</f>
        <v>587185626.75999999</v>
      </c>
      <c r="E14" s="122">
        <f>'01func'!D23</f>
        <v>83441643.600000024</v>
      </c>
      <c r="F14" s="122">
        <f>'01func'!E23</f>
        <v>57057956.330000013</v>
      </c>
      <c r="G14" s="122">
        <f>'01func'!F23</f>
        <v>53874563.179999992</v>
      </c>
      <c r="H14" s="122">
        <f>'01func'!G23</f>
        <v>108599455.52</v>
      </c>
      <c r="I14" s="122">
        <f>'01func'!H23</f>
        <v>53233828.010000005</v>
      </c>
      <c r="J14" s="122">
        <f>'01func'!I23</f>
        <v>66515516.449999996</v>
      </c>
      <c r="K14" s="122">
        <f>'01func'!J23</f>
        <v>48556363.109999999</v>
      </c>
      <c r="L14" s="122">
        <f>'01func'!K23</f>
        <v>1058464952.9599999</v>
      </c>
      <c r="M14" s="122"/>
    </row>
    <row r="15" spans="1:13" x14ac:dyDescent="0.2">
      <c r="A15">
        <v>2002</v>
      </c>
      <c r="B15" s="122">
        <f>'02func'!B23</f>
        <v>154459</v>
      </c>
      <c r="C15" s="129">
        <f t="shared" si="0"/>
        <v>7092.8635248188848</v>
      </c>
      <c r="D15" s="122">
        <f>'02func'!C23</f>
        <v>604271717.24000001</v>
      </c>
      <c r="E15" s="122">
        <f>'02func'!D23</f>
        <v>85287616.579999998</v>
      </c>
      <c r="F15" s="122">
        <f>'02func'!E23</f>
        <v>58141280.470000006</v>
      </c>
      <c r="G15" s="122">
        <f>'02func'!F23</f>
        <v>56465288.359999992</v>
      </c>
      <c r="H15" s="122">
        <f>'02func'!G23</f>
        <v>108618536.48000002</v>
      </c>
      <c r="I15" s="122">
        <f>'02func'!H23</f>
        <v>53971718.230000004</v>
      </c>
      <c r="J15" s="122">
        <f>'02func'!I23</f>
        <v>68411382.859999999</v>
      </c>
      <c r="K15" s="122">
        <f>'02func'!J23</f>
        <v>60389066.960000001</v>
      </c>
      <c r="L15" s="122">
        <f>'02func'!K23</f>
        <v>1095556607.1800001</v>
      </c>
    </row>
    <row r="16" spans="1:13" x14ac:dyDescent="0.2">
      <c r="A16">
        <v>2003</v>
      </c>
      <c r="B16" s="122">
        <f>'03func'!B23</f>
        <v>151511</v>
      </c>
      <c r="C16" s="129">
        <f t="shared" si="0"/>
        <v>7569.5040206981657</v>
      </c>
      <c r="D16" s="122">
        <f>'03func'!C23</f>
        <v>631744452.56999993</v>
      </c>
      <c r="E16" s="122">
        <f>'03func'!D23</f>
        <v>88539585.079999998</v>
      </c>
      <c r="F16" s="122">
        <f>'03func'!E23</f>
        <v>65186628.849999994</v>
      </c>
      <c r="G16" s="122">
        <f>'03func'!F23</f>
        <v>60585902.609999999</v>
      </c>
      <c r="H16" s="122">
        <f>'03func'!G23</f>
        <v>114712215.02999999</v>
      </c>
      <c r="I16" s="122">
        <f>'03func'!H23</f>
        <v>56342827.950000003</v>
      </c>
      <c r="J16" s="122">
        <f>'03func'!I23</f>
        <v>70779588.25999999</v>
      </c>
      <c r="K16" s="122">
        <f>'03func'!J23</f>
        <v>58971923.329999998</v>
      </c>
      <c r="L16" s="122">
        <f>'03func'!K23</f>
        <v>1146863123.6799998</v>
      </c>
    </row>
    <row r="17" spans="1:14" x14ac:dyDescent="0.2">
      <c r="A17">
        <v>2004</v>
      </c>
      <c r="B17" s="122">
        <f>'04func'!B23</f>
        <v>149463</v>
      </c>
      <c r="C17" s="129">
        <f t="shared" si="0"/>
        <v>7863.5250747676664</v>
      </c>
      <c r="D17" s="122">
        <f>'04func'!C23</f>
        <v>645856705.28999996</v>
      </c>
      <c r="E17" s="122">
        <f>'04func'!D23</f>
        <v>95387407.590000004</v>
      </c>
      <c r="F17" s="122">
        <f>'04func'!E23</f>
        <v>65541848.499999993</v>
      </c>
      <c r="G17" s="122">
        <f>'04func'!F23</f>
        <v>61829110.269999988</v>
      </c>
      <c r="H17" s="122">
        <f>'04func'!G23</f>
        <v>116787915.23999999</v>
      </c>
      <c r="I17" s="122">
        <f>'04func'!H23</f>
        <v>58990852.880000003</v>
      </c>
      <c r="J17" s="122">
        <f>'04func'!I23</f>
        <v>73019801.399999991</v>
      </c>
      <c r="K17" s="122">
        <f>'04func'!J23</f>
        <v>57892407.079999998</v>
      </c>
      <c r="L17" s="122">
        <f>'04func'!K23</f>
        <v>1175306048.2499998</v>
      </c>
    </row>
    <row r="18" spans="1:14" x14ac:dyDescent="0.2">
      <c r="A18">
        <v>2005</v>
      </c>
      <c r="B18" s="122">
        <f>'05func'!B23</f>
        <v>147652</v>
      </c>
      <c r="C18" s="129">
        <f t="shared" si="0"/>
        <v>8167.0111327987424</v>
      </c>
      <c r="D18" s="122">
        <f>'05func'!C23</f>
        <v>662850717.08000004</v>
      </c>
      <c r="E18" s="122">
        <f>'05func'!D23</f>
        <v>99263861.920000002</v>
      </c>
      <c r="F18" s="122">
        <f>'05func'!E23</f>
        <v>64356319.530000001</v>
      </c>
      <c r="G18" s="122">
        <f>'05func'!F23</f>
        <v>64865316.609999999</v>
      </c>
      <c r="H18" s="122">
        <f>'05func'!G23</f>
        <v>119314687.17999999</v>
      </c>
      <c r="I18" s="122">
        <f>'05func'!H23</f>
        <v>61935086.140000001</v>
      </c>
      <c r="J18" s="122">
        <f>'05func'!I23</f>
        <v>75332038.909999996</v>
      </c>
      <c r="K18" s="122">
        <f>'05func'!J23</f>
        <v>57957500.409999996</v>
      </c>
      <c r="L18" s="122">
        <f>'05func'!K23</f>
        <v>1205875527.78</v>
      </c>
    </row>
    <row r="19" spans="1:14" x14ac:dyDescent="0.2">
      <c r="A19">
        <v>2006</v>
      </c>
      <c r="B19" s="122">
        <v>148899</v>
      </c>
      <c r="C19" s="122">
        <f t="shared" ref="C19:C32" si="1">L19/B19</f>
        <v>8531.9063886258464</v>
      </c>
      <c r="D19" s="122">
        <v>692353845.51000011</v>
      </c>
      <c r="E19" s="122">
        <v>106125242.15000001</v>
      </c>
      <c r="F19" s="122">
        <v>68355879.079999998</v>
      </c>
      <c r="G19" s="122">
        <v>66991870.520000003</v>
      </c>
      <c r="H19" s="122">
        <v>129849346.18000001</v>
      </c>
      <c r="I19" s="122">
        <v>66228652.590000004</v>
      </c>
      <c r="J19" s="122">
        <v>79272306.890000001</v>
      </c>
      <c r="K19" s="122">
        <v>61215186.439999998</v>
      </c>
      <c r="L19" s="122">
        <v>1270392329.3599999</v>
      </c>
      <c r="M19" s="122"/>
    </row>
    <row r="20" spans="1:14" x14ac:dyDescent="0.2">
      <c r="A20">
        <v>2007</v>
      </c>
      <c r="B20" s="122">
        <f>'07func'!B23</f>
        <v>147019</v>
      </c>
      <c r="C20" s="122">
        <f t="shared" si="1"/>
        <v>9031.4327389657137</v>
      </c>
      <c r="D20" s="122">
        <f>'07func'!C23</f>
        <v>727100626.75999999</v>
      </c>
      <c r="E20" s="122">
        <f>'07func'!D23</f>
        <v>111435566.66000001</v>
      </c>
      <c r="F20" s="122">
        <f>'07func'!E23</f>
        <v>69642653.950000003</v>
      </c>
      <c r="G20" s="122">
        <f>'07func'!F23</f>
        <v>70042592.359999999</v>
      </c>
      <c r="H20" s="122">
        <f>'07func'!G23</f>
        <v>132788424.91</v>
      </c>
      <c r="I20" s="122">
        <f>'07func'!H23</f>
        <v>69649599.420000017</v>
      </c>
      <c r="J20" s="122">
        <f>'07func'!I23</f>
        <v>83624437.319999993</v>
      </c>
      <c r="K20" s="122">
        <f>'07func'!J23</f>
        <v>63508308.469999999</v>
      </c>
      <c r="L20" s="122">
        <f>'07func'!K23</f>
        <v>1327792209.8500001</v>
      </c>
      <c r="M20" s="122"/>
      <c r="N20" s="122"/>
    </row>
    <row r="21" spans="1:14" x14ac:dyDescent="0.2">
      <c r="A21">
        <v>2008</v>
      </c>
      <c r="B21" s="122">
        <f>'08func'!B23</f>
        <v>150157</v>
      </c>
      <c r="C21" s="122">
        <f t="shared" si="1"/>
        <v>9403.3241555172244</v>
      </c>
      <c r="D21" s="122">
        <f>'08func'!C23</f>
        <v>756523092.6500001</v>
      </c>
      <c r="E21" s="122">
        <f>'08func'!D23</f>
        <v>117103563.83000001</v>
      </c>
      <c r="F21" s="122">
        <f>'08func'!E23</f>
        <v>72027675.099999994</v>
      </c>
      <c r="G21" s="122">
        <f>'08func'!F23</f>
        <v>74066667.349999994</v>
      </c>
      <c r="H21" s="122">
        <f>'08func'!G23</f>
        <v>143877168.66999999</v>
      </c>
      <c r="I21" s="122">
        <f>'08func'!H23</f>
        <v>76915794.200000003</v>
      </c>
      <c r="J21" s="122">
        <f>'08func'!I23</f>
        <v>89241775.86999999</v>
      </c>
      <c r="K21" s="122">
        <f>'08func'!J23</f>
        <v>82219207.549999997</v>
      </c>
      <c r="L21" s="122">
        <f>'08func'!K23</f>
        <v>1411974945.2199998</v>
      </c>
      <c r="M21" s="122"/>
      <c r="N21" s="122"/>
    </row>
    <row r="22" spans="1:14" x14ac:dyDescent="0.2">
      <c r="A22" t="s">
        <v>25</v>
      </c>
      <c r="B22" s="122">
        <v>149748</v>
      </c>
      <c r="C22" s="122">
        <f t="shared" si="1"/>
        <v>9669.5693666025581</v>
      </c>
      <c r="D22" s="122">
        <v>780107550.5</v>
      </c>
      <c r="E22" s="122">
        <v>120752004.93000001</v>
      </c>
      <c r="F22" s="122">
        <v>74005548.340000004</v>
      </c>
      <c r="G22" s="122">
        <v>75480318.210000008</v>
      </c>
      <c r="H22" s="122">
        <v>147634014.13</v>
      </c>
      <c r="I22" s="122">
        <v>78813084.460000008</v>
      </c>
      <c r="J22" s="122">
        <v>93849597.730000004</v>
      </c>
      <c r="K22" s="122">
        <v>77356555.210000008</v>
      </c>
      <c r="L22" s="122">
        <v>1447998673.51</v>
      </c>
      <c r="M22" s="122"/>
      <c r="N22" s="122"/>
    </row>
    <row r="23" spans="1:14" x14ac:dyDescent="0.2">
      <c r="A23" t="s">
        <v>26</v>
      </c>
      <c r="B23" s="122">
        <v>149748</v>
      </c>
      <c r="C23" s="122">
        <f t="shared" si="1"/>
        <v>9661.9550766621251</v>
      </c>
      <c r="D23" s="122">
        <v>779213793.09000003</v>
      </c>
      <c r="E23" s="122">
        <v>120698952.21000001</v>
      </c>
      <c r="F23" s="122">
        <v>74005548.340000004</v>
      </c>
      <c r="G23" s="122">
        <v>75478925.25999999</v>
      </c>
      <c r="H23" s="122">
        <v>147564134.69</v>
      </c>
      <c r="I23" s="122">
        <v>78812594.719999999</v>
      </c>
      <c r="J23" s="122">
        <v>93787030.299999997</v>
      </c>
      <c r="K23" s="122">
        <v>77297470.210000008</v>
      </c>
      <c r="L23" s="122">
        <v>1446858448.8199999</v>
      </c>
      <c r="M23" s="122"/>
      <c r="N23" s="122"/>
    </row>
    <row r="24" spans="1:14" x14ac:dyDescent="0.2">
      <c r="A24" s="138" t="s">
        <v>1063</v>
      </c>
      <c r="B24" s="122">
        <v>148865</v>
      </c>
      <c r="C24" s="122">
        <f t="shared" si="1"/>
        <v>10299.550881604138</v>
      </c>
      <c r="D24" s="122">
        <v>817988332.34000003</v>
      </c>
      <c r="E24" s="122">
        <v>131458168.95000002</v>
      </c>
      <c r="F24" s="122">
        <v>77960190.479999989</v>
      </c>
      <c r="G24" s="122">
        <v>77462187.690000013</v>
      </c>
      <c r="H24" s="122">
        <v>160284148.25</v>
      </c>
      <c r="I24" s="122">
        <v>81042731.25</v>
      </c>
      <c r="J24" s="122">
        <v>95059784.069999993</v>
      </c>
      <c r="K24" s="122">
        <v>91987098.959999979</v>
      </c>
      <c r="L24" s="122">
        <v>1533242641.99</v>
      </c>
      <c r="M24" s="122"/>
      <c r="N24" s="122"/>
    </row>
    <row r="25" spans="1:14" x14ac:dyDescent="0.2">
      <c r="A25" s="138" t="s">
        <v>1064</v>
      </c>
      <c r="B25" s="122">
        <v>148865</v>
      </c>
      <c r="C25" s="122">
        <f t="shared" si="1"/>
        <v>10046.382785208074</v>
      </c>
      <c r="D25" s="122">
        <v>788164364.05999994</v>
      </c>
      <c r="E25" s="122">
        <v>126894272.94999999</v>
      </c>
      <c r="F25" s="122">
        <v>77665680.890000001</v>
      </c>
      <c r="G25" s="122">
        <v>77032702.790000007</v>
      </c>
      <c r="H25" s="122">
        <v>159798158.57999998</v>
      </c>
      <c r="I25" s="122">
        <v>80241755.50999999</v>
      </c>
      <c r="J25" s="122">
        <v>90812520.879999995</v>
      </c>
      <c r="K25" s="122">
        <v>94945317.659999996</v>
      </c>
      <c r="L25" s="122">
        <v>1495554773.3199999</v>
      </c>
      <c r="M25" s="122"/>
      <c r="N25" s="122"/>
    </row>
    <row r="26" spans="1:14" x14ac:dyDescent="0.2">
      <c r="A26" s="138" t="s">
        <v>1065</v>
      </c>
      <c r="B26" s="122">
        <v>148865</v>
      </c>
      <c r="C26" s="122">
        <f t="shared" si="1"/>
        <v>9869.2915125113359</v>
      </c>
      <c r="D26" s="122">
        <v>766607010.42000008</v>
      </c>
      <c r="E26" s="122">
        <v>123351587.95999999</v>
      </c>
      <c r="F26" s="122">
        <v>77165489.849999994</v>
      </c>
      <c r="G26" s="122">
        <v>76396632.450000003</v>
      </c>
      <c r="H26" s="122">
        <v>159798158.57999998</v>
      </c>
      <c r="I26" s="122">
        <v>80230097.36999999</v>
      </c>
      <c r="J26" s="122">
        <v>90784281.659999996</v>
      </c>
      <c r="K26" s="122">
        <v>94858822.719999999</v>
      </c>
      <c r="L26" s="122">
        <v>1469192081.01</v>
      </c>
      <c r="M26" s="122"/>
      <c r="N26" s="122"/>
    </row>
    <row r="27" spans="1:14" x14ac:dyDescent="0.2">
      <c r="A27" s="138" t="s">
        <v>1116</v>
      </c>
      <c r="B27" s="122">
        <v>147965</v>
      </c>
      <c r="C27" s="122">
        <f t="shared" si="1"/>
        <v>10488.418372588112</v>
      </c>
      <c r="D27" s="122">
        <v>824963155.19999993</v>
      </c>
      <c r="E27" s="122">
        <v>136653240.42000002</v>
      </c>
      <c r="F27" s="122">
        <v>79112982.00999999</v>
      </c>
      <c r="G27" s="122">
        <v>78446196.839999989</v>
      </c>
      <c r="H27" s="122">
        <v>155917180.75</v>
      </c>
      <c r="I27" s="122">
        <v>83204865.680000007</v>
      </c>
      <c r="J27" s="122">
        <v>99614654.999999985</v>
      </c>
      <c r="K27" s="122">
        <v>94006548.599999994</v>
      </c>
      <c r="L27" s="122">
        <v>1551918824.5</v>
      </c>
      <c r="M27" s="122"/>
      <c r="N27" s="122"/>
    </row>
    <row r="28" spans="1:14" x14ac:dyDescent="0.2">
      <c r="A28" s="138" t="s">
        <v>1117</v>
      </c>
      <c r="B28" s="122">
        <v>147965</v>
      </c>
      <c r="C28" s="122">
        <f t="shared" si="1"/>
        <v>10275.205132497553</v>
      </c>
      <c r="D28" s="122">
        <v>802116099.15999997</v>
      </c>
      <c r="E28" s="122">
        <v>131378897.37</v>
      </c>
      <c r="F28" s="122">
        <v>78768686.239999995</v>
      </c>
      <c r="G28" s="122">
        <v>78079471.220000014</v>
      </c>
      <c r="H28" s="122">
        <v>155435575.41</v>
      </c>
      <c r="I28" s="122">
        <v>82543067.830000013</v>
      </c>
      <c r="J28" s="122">
        <v>92475433.909999996</v>
      </c>
      <c r="K28" s="122">
        <v>99573496.289999992</v>
      </c>
      <c r="L28" s="122">
        <v>1520370727.4300003</v>
      </c>
      <c r="M28" s="122"/>
      <c r="N28" s="122"/>
    </row>
    <row r="29" spans="1:14" x14ac:dyDescent="0.2">
      <c r="A29" s="138" t="s">
        <v>1118</v>
      </c>
      <c r="B29" s="122">
        <v>147965</v>
      </c>
      <c r="C29" s="122">
        <f t="shared" si="1"/>
        <v>9802.3486024397662</v>
      </c>
      <c r="D29" s="122">
        <v>738699030.49000001</v>
      </c>
      <c r="E29" s="122">
        <v>126372571.18000001</v>
      </c>
      <c r="F29" s="122">
        <v>78522081.439999998</v>
      </c>
      <c r="G29" s="122">
        <v>77186887.790000007</v>
      </c>
      <c r="H29" s="122">
        <v>155268283.66</v>
      </c>
      <c r="I29" s="122">
        <v>82535575.140000001</v>
      </c>
      <c r="J29" s="122">
        <v>92329302.569999993</v>
      </c>
      <c r="K29" s="122">
        <v>99490778.689999998</v>
      </c>
      <c r="L29" s="122">
        <v>1450404510.96</v>
      </c>
      <c r="M29" s="122"/>
      <c r="N29" s="122"/>
    </row>
    <row r="30" spans="1:14" x14ac:dyDescent="0.2">
      <c r="A30" s="138">
        <v>2012</v>
      </c>
      <c r="B30" s="122">
        <v>147525</v>
      </c>
      <c r="C30" s="122">
        <f t="shared" si="1"/>
        <v>10400.238327673276</v>
      </c>
      <c r="D30" s="122">
        <v>813811082.03000009</v>
      </c>
      <c r="E30" s="122">
        <v>134809354.66000003</v>
      </c>
      <c r="F30" s="122">
        <v>80825429.960000008</v>
      </c>
      <c r="G30" s="122">
        <v>79795202.840000004</v>
      </c>
      <c r="H30" s="122">
        <v>151517249.14000002</v>
      </c>
      <c r="I30" s="122">
        <v>83955019.390000015</v>
      </c>
      <c r="J30" s="122">
        <v>104226860.21000001</v>
      </c>
      <c r="K30" s="122">
        <v>85354961.060000002</v>
      </c>
      <c r="L30" s="122">
        <v>1534295159.29</v>
      </c>
      <c r="M30" s="122"/>
      <c r="N30" s="122"/>
    </row>
    <row r="31" spans="1:14" x14ac:dyDescent="0.2">
      <c r="A31" s="138">
        <v>2013</v>
      </c>
      <c r="B31" s="122">
        <v>147705</v>
      </c>
      <c r="C31" s="122">
        <f t="shared" si="1"/>
        <v>10535.721747469619</v>
      </c>
      <c r="D31" s="122">
        <v>831268878.19999981</v>
      </c>
      <c r="E31" s="122">
        <v>141204379.31</v>
      </c>
      <c r="F31" s="122">
        <v>82446173.819999993</v>
      </c>
      <c r="G31" s="122">
        <v>81282670.219999999</v>
      </c>
      <c r="H31" s="122">
        <v>150415535.69</v>
      </c>
      <c r="I31" s="122">
        <v>84587929.129999995</v>
      </c>
      <c r="J31" s="122">
        <v>102372446.59</v>
      </c>
      <c r="K31" s="122">
        <v>82600767.75</v>
      </c>
      <c r="L31" s="122">
        <v>1556178780.71</v>
      </c>
      <c r="M31" s="122"/>
      <c r="N31" s="122"/>
    </row>
    <row r="32" spans="1:14" x14ac:dyDescent="0.2">
      <c r="A32" s="138">
        <v>2014</v>
      </c>
      <c r="B32" s="122">
        <v>148567</v>
      </c>
      <c r="C32" s="122">
        <f t="shared" si="1"/>
        <v>10874.10433723505</v>
      </c>
      <c r="D32" s="122">
        <v>854664317.02999985</v>
      </c>
      <c r="E32" s="122">
        <v>147267103.50999999</v>
      </c>
      <c r="F32" s="122">
        <v>87588217.129999995</v>
      </c>
      <c r="G32" s="122">
        <v>84374550.379999995</v>
      </c>
      <c r="H32" s="122">
        <v>163355915.97000003</v>
      </c>
      <c r="I32" s="122">
        <v>88882788.160000026</v>
      </c>
      <c r="J32" s="122">
        <v>106679499.11999997</v>
      </c>
      <c r="K32" s="122">
        <v>82720667.770000011</v>
      </c>
      <c r="L32" s="122">
        <f t="shared" ref="L32:L37" si="2">SUM(D32:K32)</f>
        <v>1615533059.0699997</v>
      </c>
      <c r="M32" s="122"/>
      <c r="N32" s="122"/>
    </row>
    <row r="33" spans="1:12" x14ac:dyDescent="0.2">
      <c r="A33" s="138">
        <v>2015</v>
      </c>
      <c r="B33" s="122">
        <v>149410</v>
      </c>
      <c r="C33" s="122">
        <f t="shared" ref="C33:C35" si="3">L33/B33</f>
        <v>11045.006138946525</v>
      </c>
      <c r="D33" s="122">
        <v>864674113.77999997</v>
      </c>
      <c r="E33" s="122">
        <v>149603747.99000001</v>
      </c>
      <c r="F33" s="122">
        <v>94017621.25</v>
      </c>
      <c r="G33" s="122">
        <v>85458305.610000014</v>
      </c>
      <c r="H33" s="122">
        <v>167683539.33000001</v>
      </c>
      <c r="I33" s="122">
        <v>86964676.449999988</v>
      </c>
      <c r="J33" s="122">
        <v>111954661.90000002</v>
      </c>
      <c r="K33" s="122">
        <v>89877700.909999996</v>
      </c>
      <c r="L33" s="122">
        <f t="shared" si="2"/>
        <v>1650234367.2200003</v>
      </c>
    </row>
    <row r="34" spans="1:12" x14ac:dyDescent="0.2">
      <c r="A34" s="138">
        <v>2016</v>
      </c>
      <c r="B34" s="122">
        <v>150187</v>
      </c>
      <c r="C34" s="122">
        <f t="shared" si="3"/>
        <v>11287.073587061466</v>
      </c>
      <c r="D34" s="122">
        <v>889915206.33000016</v>
      </c>
      <c r="E34" s="122">
        <v>153785856.75</v>
      </c>
      <c r="F34" s="122">
        <v>97134759.659999996</v>
      </c>
      <c r="G34" s="122">
        <v>89438443.140000001</v>
      </c>
      <c r="H34" s="122">
        <v>168637155.66</v>
      </c>
      <c r="I34" s="122">
        <v>87630568.75</v>
      </c>
      <c r="J34" s="122">
        <v>115134004.37</v>
      </c>
      <c r="K34" s="122">
        <v>93495726.159999996</v>
      </c>
      <c r="L34" s="122">
        <f t="shared" si="2"/>
        <v>1695171720.8200004</v>
      </c>
    </row>
    <row r="35" spans="1:12" x14ac:dyDescent="0.2">
      <c r="A35" s="138">
        <v>2017</v>
      </c>
      <c r="B35" s="122">
        <v>151433</v>
      </c>
      <c r="C35" s="122">
        <f t="shared" si="3"/>
        <v>11437.855294156494</v>
      </c>
      <c r="D35" s="122">
        <v>907051878.94999993</v>
      </c>
      <c r="E35" s="122">
        <v>158017143.95000002</v>
      </c>
      <c r="F35" s="122">
        <v>100651514.34999999</v>
      </c>
      <c r="G35" s="122">
        <v>91180153.24000001</v>
      </c>
      <c r="H35" s="122">
        <v>169654006.53</v>
      </c>
      <c r="I35" s="122">
        <v>91404994.650000006</v>
      </c>
      <c r="J35" s="122">
        <v>117053004.43000001</v>
      </c>
      <c r="K35" s="122">
        <v>97056044.659999996</v>
      </c>
      <c r="L35" s="122">
        <f t="shared" si="2"/>
        <v>1732068740.7600002</v>
      </c>
    </row>
    <row r="36" spans="1:12" x14ac:dyDescent="0.2">
      <c r="A36" s="138">
        <v>2018</v>
      </c>
      <c r="B36" s="122">
        <f>'18func'!B23</f>
        <v>152221</v>
      </c>
      <c r="C36" s="122">
        <f t="shared" ref="C36:C37" si="4">L36/B36</f>
        <v>11768.642878118</v>
      </c>
      <c r="D36" s="122">
        <f>'18func'!C23</f>
        <v>922753778.3499999</v>
      </c>
      <c r="E36" s="122">
        <f>'18func'!D23</f>
        <v>164745105.42000002</v>
      </c>
      <c r="F36" s="122">
        <f>'18func'!E23</f>
        <v>100107971.46000001</v>
      </c>
      <c r="G36" s="122">
        <f>'18func'!F23</f>
        <v>93543994.519999981</v>
      </c>
      <c r="H36" s="122">
        <f>'18func'!G23</f>
        <v>169758700.15000004</v>
      </c>
      <c r="I36" s="122">
        <f>'18func'!H23</f>
        <v>94690439.989999995</v>
      </c>
      <c r="J36" s="122">
        <f>'18func'!I23</f>
        <v>120736178.89000002</v>
      </c>
      <c r="K36" s="122">
        <f>'18func'!J23</f>
        <v>125098418.77</v>
      </c>
      <c r="L36" s="122">
        <f t="shared" si="2"/>
        <v>1791434587.5500002</v>
      </c>
    </row>
    <row r="37" spans="1:12" x14ac:dyDescent="0.2">
      <c r="A37" s="138">
        <v>2019</v>
      </c>
      <c r="B37" s="122">
        <f>'19func'!$B$23</f>
        <v>152628</v>
      </c>
      <c r="C37" s="122">
        <f t="shared" si="4"/>
        <v>12247.142584388186</v>
      </c>
      <c r="D37" s="122">
        <f>'19func'!$C$23</f>
        <v>957998674.06000006</v>
      </c>
      <c r="E37" s="122">
        <f>'19func'!$D$23</f>
        <v>169218311.81</v>
      </c>
      <c r="F37" s="122">
        <f>'19func'!$E$23</f>
        <v>103791502.02000001</v>
      </c>
      <c r="G37" s="122">
        <f>'19func'!$F$23</f>
        <v>97868291.969999999</v>
      </c>
      <c r="H37" s="122">
        <f>'19func'!$G$23</f>
        <v>176430018.08000001</v>
      </c>
      <c r="I37" s="122">
        <f>'19func'!$H$23</f>
        <v>99124081.210000008</v>
      </c>
      <c r="J37" s="122">
        <f>'19func'!$I$23</f>
        <v>122491714.81999999</v>
      </c>
      <c r="K37" s="122">
        <f>'19func'!$J$23</f>
        <v>142334284.40000001</v>
      </c>
      <c r="L37" s="122">
        <f t="shared" si="2"/>
        <v>1869256878.3700001</v>
      </c>
    </row>
    <row r="38" spans="1:12" x14ac:dyDescent="0.2">
      <c r="A38" s="138">
        <v>2020</v>
      </c>
      <c r="B38" s="122">
        <f>'20func'!$B$23</f>
        <v>153614</v>
      </c>
      <c r="C38" s="122">
        <f t="shared" ref="C38" si="5">L38/B38</f>
        <v>12562.889249287175</v>
      </c>
      <c r="D38" s="122">
        <f>'20func'!$C$23</f>
        <v>979730783.72000003</v>
      </c>
      <c r="E38" s="122">
        <f>'20func'!$D$23</f>
        <v>165541664.94999999</v>
      </c>
      <c r="F38" s="122">
        <f>'20func'!$E$23</f>
        <v>110101440.38</v>
      </c>
      <c r="G38" s="122">
        <f>'20func'!$F$23</f>
        <v>101304360.59999999</v>
      </c>
      <c r="H38" s="122">
        <f>'20func'!$G$23</f>
        <v>184393698.81</v>
      </c>
      <c r="I38" s="122">
        <f>'20func'!$H$23</f>
        <v>94236427.909999996</v>
      </c>
      <c r="J38" s="122">
        <f>'20func'!$I$23</f>
        <v>119825505.83</v>
      </c>
      <c r="K38" s="122">
        <f>'20func'!$J$23</f>
        <v>174701786.94</v>
      </c>
      <c r="L38" s="122">
        <f t="shared" ref="L38" si="6">SUM(D38:K38)</f>
        <v>1929835669.1400001</v>
      </c>
    </row>
    <row r="39" spans="1:12" x14ac:dyDescent="0.2">
      <c r="A39" s="138">
        <v>2021</v>
      </c>
      <c r="B39" s="122">
        <f>'21func'!$B$23</f>
        <v>155169</v>
      </c>
      <c r="C39" s="122">
        <f t="shared" ref="C39" si="7">L39/B39</f>
        <v>13379.958718429583</v>
      </c>
      <c r="D39" s="122">
        <f>'21func'!$C$23</f>
        <v>1068619454.4899999</v>
      </c>
      <c r="E39" s="122">
        <f>'21func'!$D$23</f>
        <v>176717198.02999997</v>
      </c>
      <c r="F39" s="122">
        <f>'21func'!$E$23</f>
        <v>118394346.38999999</v>
      </c>
      <c r="G39" s="122">
        <f>'21func'!$F$23</f>
        <v>104803651.75</v>
      </c>
      <c r="H39" s="122">
        <f>'21func'!$G$23</f>
        <v>208189149.26000002</v>
      </c>
      <c r="I39" s="122">
        <f>'21func'!$H$23</f>
        <v>100904291.15000001</v>
      </c>
      <c r="J39" s="122">
        <f>'21func'!$I$23</f>
        <v>126285950.66999999</v>
      </c>
      <c r="K39" s="122">
        <f>'21func'!$J$23</f>
        <v>172240772.63999999</v>
      </c>
      <c r="L39" s="122">
        <f t="shared" ref="L39" si="8">SUM(D39:K39)</f>
        <v>2076154814.3800001</v>
      </c>
    </row>
    <row r="40" spans="1:12" x14ac:dyDescent="0.2">
      <c r="A40" s="138">
        <v>2022</v>
      </c>
      <c r="B40" s="122">
        <f>'22func'!$B$23</f>
        <v>153715</v>
      </c>
      <c r="C40" s="122">
        <f t="shared" ref="C40" si="9">L40/B40</f>
        <v>14147.63664508994</v>
      </c>
      <c r="D40" s="122">
        <f>'22func'!$C$23</f>
        <v>1100703023.1900001</v>
      </c>
      <c r="E40" s="122">
        <f>'22func'!$D$23</f>
        <v>184204882.30000001</v>
      </c>
      <c r="F40" s="122">
        <f>'22func'!$E$23</f>
        <v>130797360.19999999</v>
      </c>
      <c r="G40" s="122">
        <f>'22func'!$F$23</f>
        <v>108640747.73999998</v>
      </c>
      <c r="H40" s="122">
        <f>'22func'!$G$23</f>
        <v>212844784.5</v>
      </c>
      <c r="I40" s="122">
        <f>'22func'!$H$23</f>
        <v>106451443.06</v>
      </c>
      <c r="J40" s="122">
        <f>'22func'!$I$23</f>
        <v>146404084.71000001</v>
      </c>
      <c r="K40" s="122">
        <f>'22func'!$J$23</f>
        <v>184657641.19999999</v>
      </c>
      <c r="L40" s="122">
        <f t="shared" ref="L40" si="10">SUM(D40:K40)</f>
        <v>2174703966.9000001</v>
      </c>
    </row>
    <row r="41" spans="1:12" x14ac:dyDescent="0.2">
      <c r="A41" s="138">
        <v>2023</v>
      </c>
      <c r="B41" s="122">
        <f>'23func'!$B$23</f>
        <v>155543</v>
      </c>
      <c r="C41" s="122">
        <f t="shared" ref="C41" si="11">L41/B41</f>
        <v>14451.301291861415</v>
      </c>
      <c r="D41" s="122">
        <f>'23func'!$C$23</f>
        <v>1104269656.4200001</v>
      </c>
      <c r="E41" s="122">
        <f>'23func'!$D$23</f>
        <v>186353039.21000001</v>
      </c>
      <c r="F41" s="122">
        <f>'23func'!$E$23</f>
        <v>136653454.24000001</v>
      </c>
      <c r="G41" s="122">
        <f>'23func'!$F$23</f>
        <v>111106148.13</v>
      </c>
      <c r="H41" s="122">
        <f>'23func'!$G$23</f>
        <v>236063209.19</v>
      </c>
      <c r="I41" s="122">
        <f>'23func'!$H$23</f>
        <v>120612417.48</v>
      </c>
      <c r="J41" s="122">
        <f>'23func'!$I$23</f>
        <v>153154427.56</v>
      </c>
      <c r="K41" s="122">
        <f>'23func'!$J$23</f>
        <v>199586404.61000001</v>
      </c>
      <c r="L41" s="122">
        <f t="shared" ref="L41" si="12">SUM(D41:K41)</f>
        <v>2247798756.8400002</v>
      </c>
    </row>
    <row r="42" spans="1:12" x14ac:dyDescent="0.2">
      <c r="A42" s="138"/>
      <c r="B42" s="122"/>
      <c r="C42" s="122"/>
      <c r="D42" s="122"/>
      <c r="E42" s="122"/>
      <c r="F42" s="122"/>
      <c r="G42" s="122"/>
      <c r="H42" s="122"/>
      <c r="I42" s="122"/>
      <c r="J42" s="122"/>
      <c r="K42" s="122"/>
      <c r="L42" s="122"/>
    </row>
    <row r="43" spans="1:12" x14ac:dyDescent="0.2">
      <c r="A43" s="36" t="s">
        <v>247</v>
      </c>
    </row>
    <row r="44" spans="1:12" x14ac:dyDescent="0.2">
      <c r="A44" s="22" t="s">
        <v>1412</v>
      </c>
    </row>
    <row r="45" spans="1:12" ht="22.5" x14ac:dyDescent="0.2">
      <c r="A45" s="141" t="s">
        <v>310</v>
      </c>
      <c r="B45" s="141" t="s">
        <v>396</v>
      </c>
      <c r="C45" s="141" t="s">
        <v>312</v>
      </c>
      <c r="D45" s="141" t="s">
        <v>89</v>
      </c>
      <c r="E45" s="141" t="s">
        <v>90</v>
      </c>
      <c r="F45" s="141" t="s">
        <v>91</v>
      </c>
      <c r="G45" s="141" t="s">
        <v>92</v>
      </c>
      <c r="H45" s="141" t="s">
        <v>93</v>
      </c>
      <c r="I45" s="141" t="s">
        <v>106</v>
      </c>
    </row>
    <row r="46" spans="1:12" x14ac:dyDescent="0.2">
      <c r="A46">
        <v>1991</v>
      </c>
      <c r="B46" s="122">
        <f>'91obj'!B24</f>
        <v>147970</v>
      </c>
      <c r="C46" s="137">
        <f>D46/I46</f>
        <v>0.72292677094128721</v>
      </c>
      <c r="D46" s="122">
        <f>'91obj'!C24</f>
        <v>534821023.20000005</v>
      </c>
      <c r="E46" s="122">
        <f>'91obj'!D24</f>
        <v>78534137.75</v>
      </c>
      <c r="F46" s="122">
        <f>'91obj'!E24</f>
        <v>59847466.429999992</v>
      </c>
      <c r="G46" s="122">
        <f>'91obj'!F24</f>
        <v>40933726.890000001</v>
      </c>
      <c r="H46" s="122">
        <f>'91obj'!G24</f>
        <v>25663366.390000001</v>
      </c>
      <c r="I46" s="122">
        <f>'91obj'!H24</f>
        <v>739799720.65999997</v>
      </c>
      <c r="J46" s="138"/>
    </row>
    <row r="47" spans="1:12" x14ac:dyDescent="0.2">
      <c r="A47">
        <v>1992</v>
      </c>
      <c r="B47" s="122">
        <f>'92obj'!B24</f>
        <v>148468</v>
      </c>
      <c r="C47" s="137">
        <f>D47/I47</f>
        <v>0.73659607663469129</v>
      </c>
      <c r="D47" s="122">
        <f>'92obj'!C24</f>
        <v>569137826.41999996</v>
      </c>
      <c r="E47" s="122">
        <f>'92obj'!D24</f>
        <v>81335400.769999996</v>
      </c>
      <c r="F47" s="122">
        <f>'92obj'!E24</f>
        <v>62746529.589999996</v>
      </c>
      <c r="G47" s="122">
        <f>'92obj'!F24</f>
        <v>34014704.659999996</v>
      </c>
      <c r="H47" s="122">
        <f>'92obj'!G24</f>
        <v>25424862.27</v>
      </c>
      <c r="I47" s="122">
        <f>'92obj'!H24</f>
        <v>772659323.71000004</v>
      </c>
      <c r="J47" s="138"/>
    </row>
    <row r="48" spans="1:12" x14ac:dyDescent="0.2">
      <c r="A48">
        <v>1993</v>
      </c>
      <c r="B48" s="122">
        <f>'93obj'!B24</f>
        <v>151071</v>
      </c>
      <c r="C48" s="137">
        <f>D48/I48</f>
        <v>0.74388283654015708</v>
      </c>
      <c r="D48" s="122">
        <f>'93obj'!C24</f>
        <v>600479963.11000001</v>
      </c>
      <c r="E48" s="122">
        <f>'93obj'!D24</f>
        <v>82950778.790000007</v>
      </c>
      <c r="F48" s="122">
        <f>'93obj'!E24</f>
        <v>62796540.24000001</v>
      </c>
      <c r="G48" s="122">
        <f>'93obj'!F24</f>
        <v>32358219.049999997</v>
      </c>
      <c r="H48" s="122">
        <f>'93obj'!G24</f>
        <v>28638343.229999997</v>
      </c>
      <c r="I48" s="122">
        <f>'93obj'!H24</f>
        <v>807223844.41999996</v>
      </c>
      <c r="J48" s="138"/>
    </row>
    <row r="49" spans="1:10" x14ac:dyDescent="0.2">
      <c r="A49">
        <v>1994</v>
      </c>
      <c r="B49" s="122">
        <f>'94obj'!B24</f>
        <v>156950</v>
      </c>
      <c r="C49" s="137">
        <f>D49/I49</f>
        <v>0.74137135172924051</v>
      </c>
      <c r="D49" s="122">
        <f>'94obj'!C24</f>
        <v>630446251.71000004</v>
      </c>
      <c r="E49" s="122">
        <f>'94obj'!D24</f>
        <v>85213304.019999996</v>
      </c>
      <c r="F49" s="122">
        <f>'94obj'!E24</f>
        <v>66788856.219999999</v>
      </c>
      <c r="G49" s="122">
        <f>'94obj'!F24</f>
        <v>35322350.969999999</v>
      </c>
      <c r="H49" s="122">
        <f>'94obj'!G24</f>
        <v>32607728.559999995</v>
      </c>
      <c r="I49" s="122">
        <f>'94obj'!H24</f>
        <v>850378491.48000002</v>
      </c>
    </row>
    <row r="50" spans="1:10" x14ac:dyDescent="0.2">
      <c r="A50">
        <v>1995</v>
      </c>
      <c r="B50" s="122">
        <f>'95obj'!B24</f>
        <v>162569</v>
      </c>
      <c r="C50" s="137">
        <f t="shared" ref="C50:C58" si="13">D50/I50</f>
        <v>0.74962907729794692</v>
      </c>
      <c r="D50" s="122">
        <f>'95obj'!C24</f>
        <v>648373393.35000002</v>
      </c>
      <c r="E50" s="122">
        <f>'95obj'!D24</f>
        <v>87787198.310000002</v>
      </c>
      <c r="F50" s="122">
        <f>'95obj'!E24</f>
        <v>68482136.209999993</v>
      </c>
      <c r="G50" s="122">
        <f>'95obj'!F24</f>
        <v>33097747.059999999</v>
      </c>
      <c r="H50" s="122">
        <f>'95obj'!G24</f>
        <v>27185143.600000001</v>
      </c>
      <c r="I50" s="122">
        <f>'95obj'!H24</f>
        <v>864925618.53000009</v>
      </c>
    </row>
    <row r="51" spans="1:10" x14ac:dyDescent="0.2">
      <c r="A51">
        <v>1996</v>
      </c>
      <c r="B51" s="122">
        <f>'96obj'!B24</f>
        <v>163768</v>
      </c>
      <c r="C51" s="137">
        <f t="shared" si="13"/>
        <v>0.75129160586370858</v>
      </c>
      <c r="D51" s="122">
        <f>'96obj'!C24</f>
        <v>667362239.30000007</v>
      </c>
      <c r="E51" s="122">
        <f>'96obj'!D24</f>
        <v>91546399.840000004</v>
      </c>
      <c r="F51" s="122">
        <f>'96obj'!E24</f>
        <v>67658042.150000006</v>
      </c>
      <c r="G51" s="122">
        <f>'96obj'!F24</f>
        <v>34947367.229999997</v>
      </c>
      <c r="H51" s="122">
        <f>'96obj'!G24</f>
        <v>26772515.700000003</v>
      </c>
      <c r="I51" s="122">
        <f>'96obj'!H24</f>
        <v>888286564.22000003</v>
      </c>
    </row>
    <row r="52" spans="1:10" x14ac:dyDescent="0.2">
      <c r="A52">
        <v>1997</v>
      </c>
      <c r="B52" s="122">
        <f>'97obj'!B24</f>
        <v>164734</v>
      </c>
      <c r="C52" s="137">
        <f t="shared" si="13"/>
        <v>0.74763831850963436</v>
      </c>
      <c r="D52" s="122">
        <f>'97obj'!C24</f>
        <v>687850731.89999998</v>
      </c>
      <c r="E52" s="122">
        <f>'97obj'!D24</f>
        <v>96475168.239999995</v>
      </c>
      <c r="F52" s="122">
        <f>'97obj'!E24</f>
        <v>72437809.579999998</v>
      </c>
      <c r="G52" s="122">
        <f>'97obj'!F24</f>
        <v>34905681.309999995</v>
      </c>
      <c r="H52" s="122">
        <f>'97obj'!G24</f>
        <v>28362013.020000003</v>
      </c>
      <c r="I52" s="122">
        <f>'97obj'!H24</f>
        <v>920031404.04999995</v>
      </c>
    </row>
    <row r="53" spans="1:10" x14ac:dyDescent="0.2">
      <c r="A53">
        <v>1998</v>
      </c>
      <c r="B53" s="122">
        <f>'98obj'!B24</f>
        <v>163902</v>
      </c>
      <c r="C53" s="137">
        <f t="shared" si="13"/>
        <v>0.74346782072068185</v>
      </c>
      <c r="D53" s="122">
        <f>'98obj'!C24</f>
        <v>708132823.33000004</v>
      </c>
      <c r="E53" s="122">
        <f>'98obj'!D24</f>
        <v>98504839.590000004</v>
      </c>
      <c r="F53" s="122">
        <f>'98obj'!E24</f>
        <v>75406784.449999988</v>
      </c>
      <c r="G53" s="122">
        <f>'98obj'!F24</f>
        <v>39170583.949999996</v>
      </c>
      <c r="H53" s="122">
        <f>'98obj'!G24</f>
        <v>31257696.609999999</v>
      </c>
      <c r="I53" s="122">
        <f>'98obj'!H24</f>
        <v>952472727.93000007</v>
      </c>
    </row>
    <row r="54" spans="1:10" x14ac:dyDescent="0.2">
      <c r="A54">
        <v>1999</v>
      </c>
      <c r="B54" s="122">
        <f>'99obj'!B24</f>
        <v>161753</v>
      </c>
      <c r="C54" s="137">
        <f t="shared" si="13"/>
        <v>0.74082096455657498</v>
      </c>
      <c r="D54" s="122">
        <f>'99obj'!C24</f>
        <v>723530684.36999989</v>
      </c>
      <c r="E54" s="122">
        <f>'99obj'!D24</f>
        <v>103336581.3</v>
      </c>
      <c r="F54" s="122">
        <f>'99obj'!E24</f>
        <v>80230031.620000005</v>
      </c>
      <c r="G54" s="122">
        <f>'99obj'!F24</f>
        <v>38627123.920000002</v>
      </c>
      <c r="H54" s="122">
        <f>'99obj'!G24</f>
        <v>30936228.240000002</v>
      </c>
      <c r="I54" s="122">
        <f>'99obj'!H24</f>
        <v>976660649.44999993</v>
      </c>
    </row>
    <row r="55" spans="1:10" x14ac:dyDescent="0.2">
      <c r="A55">
        <v>2000</v>
      </c>
      <c r="B55" s="122">
        <f>'00obj'!B25</f>
        <v>159742</v>
      </c>
      <c r="C55" s="137">
        <f t="shared" si="13"/>
        <v>0.74753151340818491</v>
      </c>
      <c r="D55" s="122">
        <f>'00obj'!C25</f>
        <v>750503539.86999989</v>
      </c>
      <c r="E55" s="122">
        <f>'00obj'!D25</f>
        <v>107512280.36</v>
      </c>
      <c r="F55" s="122">
        <f>'00obj'!E25</f>
        <v>85129108.280000001</v>
      </c>
      <c r="G55" s="122">
        <f>'00obj'!F25</f>
        <v>30457132.050000001</v>
      </c>
      <c r="H55" s="122">
        <f>'00obj'!G25</f>
        <v>30373726.960000001</v>
      </c>
      <c r="I55" s="122">
        <f>'00obj'!H25</f>
        <v>1003975787.52</v>
      </c>
    </row>
    <row r="56" spans="1:10" x14ac:dyDescent="0.2">
      <c r="A56">
        <v>2001</v>
      </c>
      <c r="B56" s="122">
        <f>'01obj'!B25</f>
        <v>157497</v>
      </c>
      <c r="C56" s="137">
        <f t="shared" si="13"/>
        <v>0.73769560817901536</v>
      </c>
      <c r="D56" s="122">
        <f>'01obj'!C25</f>
        <v>780824947.21000004</v>
      </c>
      <c r="E56" s="122">
        <f>'01obj'!D25</f>
        <v>116460844.36999999</v>
      </c>
      <c r="F56" s="122">
        <f>'01obj'!E25</f>
        <v>94227198.949999988</v>
      </c>
      <c r="G56" s="122">
        <f>'01obj'!F25</f>
        <v>34848568.630000003</v>
      </c>
      <c r="H56" s="122">
        <f>'01obj'!G25</f>
        <v>32103393.799999997</v>
      </c>
      <c r="I56" s="122">
        <f>'01obj'!H25</f>
        <v>1058464952.9599999</v>
      </c>
    </row>
    <row r="57" spans="1:10" x14ac:dyDescent="0.2">
      <c r="A57">
        <v>2002</v>
      </c>
      <c r="B57" s="122">
        <f>'02obj'!B25</f>
        <v>154459</v>
      </c>
      <c r="C57" s="137">
        <f t="shared" si="13"/>
        <v>0.73417764260523333</v>
      </c>
      <c r="D57" s="122">
        <f>'02obj'!C25</f>
        <v>804333167.20000005</v>
      </c>
      <c r="E57" s="122">
        <f>'02obj'!D25</f>
        <v>115844690.84</v>
      </c>
      <c r="F57" s="122">
        <f>'02obj'!E25</f>
        <v>97674888</v>
      </c>
      <c r="G57" s="122">
        <f>'02obj'!F25</f>
        <v>41790197.939999998</v>
      </c>
      <c r="H57" s="122">
        <f>'02obj'!G25</f>
        <v>35913663.200000003</v>
      </c>
      <c r="I57" s="122">
        <f>'02obj'!H25</f>
        <v>1095556607.1800001</v>
      </c>
    </row>
    <row r="58" spans="1:10" x14ac:dyDescent="0.2">
      <c r="A58">
        <v>2003</v>
      </c>
      <c r="B58" s="122">
        <f>'03obj'!B25</f>
        <v>151511</v>
      </c>
      <c r="C58" s="137">
        <f t="shared" si="13"/>
        <v>0.73292250016100025</v>
      </c>
      <c r="D58" s="122">
        <f>'03obj'!C25</f>
        <v>840561787.95000005</v>
      </c>
      <c r="E58" s="122">
        <f>'03obj'!D25</f>
        <v>124273352.61</v>
      </c>
      <c r="F58" s="122">
        <f>'03obj'!E25</f>
        <v>106471816.22000001</v>
      </c>
      <c r="G58" s="122">
        <f>'03obj'!F25</f>
        <v>42399377.240000002</v>
      </c>
      <c r="H58" s="122">
        <f>'03obj'!G25</f>
        <v>33156789.660000004</v>
      </c>
      <c r="I58" s="122">
        <f>'03obj'!H25</f>
        <v>1146863123.6800001</v>
      </c>
    </row>
    <row r="59" spans="1:10" x14ac:dyDescent="0.2">
      <c r="A59">
        <v>2004</v>
      </c>
      <c r="B59" s="122">
        <f>'04obj'!B25</f>
        <v>149463</v>
      </c>
      <c r="C59" s="137">
        <f t="shared" ref="C59:C74" si="14">D59/I59</f>
        <v>0.73438546872429855</v>
      </c>
      <c r="D59" s="122">
        <f>'04obj'!C25</f>
        <v>863130742.27999985</v>
      </c>
      <c r="E59" s="122">
        <f>'04obj'!D25</f>
        <v>131891451.49000001</v>
      </c>
      <c r="F59" s="122">
        <f>'04obj'!E25</f>
        <v>106322499.58000001</v>
      </c>
      <c r="G59" s="122">
        <f>'04obj'!F25</f>
        <v>39360564.869999997</v>
      </c>
      <c r="H59" s="122">
        <f>'04obj'!G25</f>
        <v>34604955.609999999</v>
      </c>
      <c r="I59" s="122">
        <f>'04obj'!H25</f>
        <v>1175310213.8299997</v>
      </c>
    </row>
    <row r="60" spans="1:10" x14ac:dyDescent="0.2">
      <c r="A60">
        <v>2005</v>
      </c>
      <c r="B60" s="122">
        <f>'05obj'!B25</f>
        <v>147652</v>
      </c>
      <c r="C60" s="137">
        <f t="shared" si="14"/>
        <v>0.73887514991725789</v>
      </c>
      <c r="D60" s="122">
        <f>'05obj'!C25</f>
        <v>890991461.37</v>
      </c>
      <c r="E60" s="122">
        <f>'05obj'!D25</f>
        <v>135937489.51999998</v>
      </c>
      <c r="F60" s="122">
        <f>'05obj'!E25</f>
        <v>103468744.62</v>
      </c>
      <c r="G60" s="122">
        <f>'05obj'!F25</f>
        <v>38569987.019999996</v>
      </c>
      <c r="H60" s="122">
        <f>'05obj'!G25</f>
        <v>36907845.25</v>
      </c>
      <c r="I60" s="122">
        <f>'05obj'!H25</f>
        <v>1205875527.78</v>
      </c>
    </row>
    <row r="61" spans="1:10" x14ac:dyDescent="0.2">
      <c r="A61">
        <v>2006</v>
      </c>
      <c r="B61" s="122">
        <v>148899</v>
      </c>
      <c r="C61" s="205">
        <f t="shared" si="14"/>
        <v>0.7334244976505736</v>
      </c>
      <c r="D61" s="122">
        <v>931736855.98000002</v>
      </c>
      <c r="E61" s="122">
        <v>148145012.30000001</v>
      </c>
      <c r="F61" s="122">
        <v>111828181.78000002</v>
      </c>
      <c r="G61" s="122">
        <v>38368504.759999998</v>
      </c>
      <c r="H61" s="122">
        <v>40313774.540000014</v>
      </c>
      <c r="I61" s="122">
        <v>1270392329.3599999</v>
      </c>
    </row>
    <row r="62" spans="1:10" x14ac:dyDescent="0.2">
      <c r="A62" s="230">
        <v>2007</v>
      </c>
      <c r="B62" s="148">
        <f>'07obj'!B23</f>
        <v>147019</v>
      </c>
      <c r="C62" s="231">
        <f t="shared" si="14"/>
        <v>0.73499483488478146</v>
      </c>
      <c r="D62" s="148">
        <f>'07obj'!C23</f>
        <v>975920416.04000008</v>
      </c>
      <c r="E62" s="148">
        <f>'07obj'!D23</f>
        <v>152035861.35000002</v>
      </c>
      <c r="F62" s="148">
        <f>'07obj'!E23</f>
        <v>118555671.38</v>
      </c>
      <c r="G62" s="148">
        <f>'07obj'!F23</f>
        <v>40110202.299999997</v>
      </c>
      <c r="H62" s="148">
        <f>'07obj'!G23</f>
        <v>41170058.780000001</v>
      </c>
      <c r="I62" s="148">
        <f>'07obj'!H23</f>
        <v>1327792209.8500004</v>
      </c>
      <c r="J62" s="129"/>
    </row>
    <row r="63" spans="1:10" x14ac:dyDescent="0.2">
      <c r="A63" s="230">
        <v>2008</v>
      </c>
      <c r="B63" s="148">
        <f>'08obj'!B$23</f>
        <v>150157</v>
      </c>
      <c r="C63" s="231">
        <f t="shared" si="14"/>
        <v>0.72559345488978866</v>
      </c>
      <c r="D63" s="148">
        <f>'08obj'!C$23</f>
        <v>1024519778.7200001</v>
      </c>
      <c r="E63" s="148">
        <f>'08obj'!D$23</f>
        <v>161023534.97</v>
      </c>
      <c r="F63" s="148">
        <f>'08obj'!E$23</f>
        <v>121705678.73</v>
      </c>
      <c r="G63" s="148">
        <f>'08obj'!F$23</f>
        <v>57965221.079999998</v>
      </c>
      <c r="H63" s="148">
        <f>'08obj'!G$23</f>
        <v>46760731.719999999</v>
      </c>
      <c r="I63" s="148">
        <f>'08obj'!H$23</f>
        <v>1411974945.2200003</v>
      </c>
      <c r="J63" s="129"/>
    </row>
    <row r="64" spans="1:10" x14ac:dyDescent="0.2">
      <c r="A64" t="s">
        <v>25</v>
      </c>
      <c r="B64" s="122">
        <v>149748</v>
      </c>
      <c r="C64" s="231">
        <f t="shared" si="14"/>
        <v>0.72914537849727434</v>
      </c>
      <c r="D64" s="148">
        <v>1055801540.8600001</v>
      </c>
      <c r="E64" s="148">
        <v>169360366.25999999</v>
      </c>
      <c r="F64" s="148">
        <v>124971696.59999999</v>
      </c>
      <c r="G64" s="148">
        <v>49791167.980000004</v>
      </c>
      <c r="H64" s="148">
        <v>48073901.809999995</v>
      </c>
      <c r="I64" s="148">
        <v>1447998673.51</v>
      </c>
      <c r="J64" s="129"/>
    </row>
    <row r="65" spans="1:10" x14ac:dyDescent="0.2">
      <c r="A65" t="s">
        <v>26</v>
      </c>
      <c r="B65" s="122">
        <v>149748</v>
      </c>
      <c r="C65" s="231">
        <f t="shared" si="14"/>
        <v>0.7291736002028566</v>
      </c>
      <c r="D65" s="148">
        <v>1055010984.1100001</v>
      </c>
      <c r="E65" s="148">
        <v>169285727.80000001</v>
      </c>
      <c r="F65" s="148">
        <v>124842102.99000001</v>
      </c>
      <c r="G65" s="148">
        <v>49645732.109999999</v>
      </c>
      <c r="H65" s="148">
        <v>48073901.809999995</v>
      </c>
      <c r="I65" s="148">
        <v>1446858448.8200002</v>
      </c>
      <c r="J65" s="129"/>
    </row>
    <row r="66" spans="1:10" x14ac:dyDescent="0.2">
      <c r="A66" s="138" t="s">
        <v>1063</v>
      </c>
      <c r="B66" s="122">
        <v>148865</v>
      </c>
      <c r="C66" s="231">
        <f t="shared" si="14"/>
        <v>0.72140732769106874</v>
      </c>
      <c r="D66" s="148">
        <v>1106092477.0599999</v>
      </c>
      <c r="E66" s="148">
        <v>182053405.41000003</v>
      </c>
      <c r="F66" s="148">
        <v>129584575.12</v>
      </c>
      <c r="G66" s="148">
        <v>72810312.460000008</v>
      </c>
      <c r="H66" s="148">
        <v>42701871.940000005</v>
      </c>
      <c r="I66" s="148">
        <v>1533242641.99</v>
      </c>
      <c r="J66" s="129"/>
    </row>
    <row r="67" spans="1:10" x14ac:dyDescent="0.2">
      <c r="A67" s="138" t="s">
        <v>1064</v>
      </c>
      <c r="B67" s="122">
        <v>148865</v>
      </c>
      <c r="C67" s="231">
        <f t="shared" si="14"/>
        <v>0.72334515286825229</v>
      </c>
      <c r="D67" s="148">
        <v>1081802296.1299999</v>
      </c>
      <c r="E67" s="148">
        <v>178537904.81</v>
      </c>
      <c r="F67" s="148">
        <v>121933503.63999999</v>
      </c>
      <c r="G67" s="148">
        <v>70579196.800000012</v>
      </c>
      <c r="H67" s="148">
        <v>42701871.940000005</v>
      </c>
      <c r="I67" s="148">
        <v>1495554773.3200002</v>
      </c>
      <c r="J67" s="129"/>
    </row>
    <row r="68" spans="1:10" x14ac:dyDescent="0.2">
      <c r="A68" s="138" t="s">
        <v>1065</v>
      </c>
      <c r="B68" s="122">
        <v>148865</v>
      </c>
      <c r="C68" s="231">
        <f t="shared" si="14"/>
        <v>0.71950595749420265</v>
      </c>
      <c r="D68" s="148">
        <v>1057092454.99</v>
      </c>
      <c r="E68" s="148">
        <v>177767831.38</v>
      </c>
      <c r="F68" s="148">
        <v>121139982.39000002</v>
      </c>
      <c r="G68" s="148">
        <v>70489940.310000002</v>
      </c>
      <c r="H68" s="148">
        <v>42701871.940000005</v>
      </c>
      <c r="I68" s="148">
        <v>1469192081.0099998</v>
      </c>
      <c r="J68" s="129"/>
    </row>
    <row r="69" spans="1:10" x14ac:dyDescent="0.2">
      <c r="A69" s="138" t="s">
        <v>1116</v>
      </c>
      <c r="B69" s="122">
        <v>147965</v>
      </c>
      <c r="C69" s="231">
        <f t="shared" si="14"/>
        <v>0.7252466221502426</v>
      </c>
      <c r="D69" s="148">
        <v>1125523885.3200002</v>
      </c>
      <c r="E69" s="148">
        <v>187050095.72999999</v>
      </c>
      <c r="F69" s="148">
        <v>125441102.70000002</v>
      </c>
      <c r="G69" s="148">
        <v>66622398.870000005</v>
      </c>
      <c r="H69" s="148">
        <v>47281341.879999995</v>
      </c>
      <c r="I69" s="148">
        <v>1551918824.5</v>
      </c>
      <c r="J69" s="129"/>
    </row>
    <row r="70" spans="1:10" x14ac:dyDescent="0.2">
      <c r="A70" s="138" t="s">
        <v>1117</v>
      </c>
      <c r="B70" s="122">
        <v>147965</v>
      </c>
      <c r="C70" s="231">
        <f t="shared" si="14"/>
        <v>0.72654490367439561</v>
      </c>
      <c r="D70" s="148">
        <v>1104617603.71</v>
      </c>
      <c r="E70" s="148">
        <v>183795219.16</v>
      </c>
      <c r="F70" s="148">
        <v>120565759.91</v>
      </c>
      <c r="G70" s="148">
        <v>64111183.019999996</v>
      </c>
      <c r="H70" s="148">
        <v>47280961.629999995</v>
      </c>
      <c r="I70" s="148">
        <v>1520370727.4299998</v>
      </c>
      <c r="J70" s="129"/>
    </row>
    <row r="71" spans="1:10" x14ac:dyDescent="0.2">
      <c r="A71" s="138" t="s">
        <v>1118</v>
      </c>
      <c r="B71" s="122">
        <v>147965</v>
      </c>
      <c r="C71" s="231">
        <f t="shared" si="14"/>
        <v>0.71403033193445531</v>
      </c>
      <c r="D71" s="148">
        <v>1035632814.4000001</v>
      </c>
      <c r="E71" s="148">
        <v>183599732.87</v>
      </c>
      <c r="F71" s="148">
        <v>119906894.79999998</v>
      </c>
      <c r="G71" s="148">
        <v>63984107.259999998</v>
      </c>
      <c r="H71" s="148">
        <v>47280961.629999995</v>
      </c>
      <c r="I71" s="148">
        <v>1450404510.96</v>
      </c>
      <c r="J71" s="129"/>
    </row>
    <row r="72" spans="1:10" x14ac:dyDescent="0.2">
      <c r="A72" s="138">
        <v>2012</v>
      </c>
      <c r="B72" s="122">
        <v>147525</v>
      </c>
      <c r="C72" s="231">
        <f t="shared" si="14"/>
        <v>0.72584478204311087</v>
      </c>
      <c r="D72" s="148">
        <v>1113660136</v>
      </c>
      <c r="E72" s="148">
        <v>184897022</v>
      </c>
      <c r="F72" s="148">
        <v>130971903</v>
      </c>
      <c r="G72" s="148">
        <v>57170966</v>
      </c>
      <c r="H72" s="148">
        <v>47595133</v>
      </c>
      <c r="I72" s="148">
        <v>1534295160</v>
      </c>
      <c r="J72" s="129"/>
    </row>
    <row r="73" spans="1:10" x14ac:dyDescent="0.2">
      <c r="A73" s="138">
        <v>2013</v>
      </c>
      <c r="B73" s="122">
        <f>B31</f>
        <v>147705</v>
      </c>
      <c r="C73" s="309">
        <f t="shared" si="14"/>
        <v>0.73070561310352067</v>
      </c>
      <c r="D73" s="308">
        <v>1137108571</v>
      </c>
      <c r="E73" s="308">
        <v>189823601</v>
      </c>
      <c r="F73" s="308">
        <v>128248120</v>
      </c>
      <c r="G73" s="308">
        <v>52953903</v>
      </c>
      <c r="H73" s="308">
        <v>48044587</v>
      </c>
      <c r="I73" s="308">
        <v>1556178782</v>
      </c>
      <c r="J73" s="129"/>
    </row>
    <row r="74" spans="1:10" x14ac:dyDescent="0.2">
      <c r="A74" s="138">
        <v>2014</v>
      </c>
      <c r="B74" s="122">
        <f>B32</f>
        <v>148567</v>
      </c>
      <c r="C74" s="309">
        <f t="shared" si="14"/>
        <v>0.72303766121779345</v>
      </c>
      <c r="D74" s="219">
        <v>1168091244.6499999</v>
      </c>
      <c r="E74" s="219">
        <v>202739406.05999997</v>
      </c>
      <c r="F74" s="219">
        <v>134637517.82999998</v>
      </c>
      <c r="G74" s="219">
        <v>60526342.919999987</v>
      </c>
      <c r="H74" s="219">
        <v>49538547.609999999</v>
      </c>
      <c r="I74" s="219">
        <f>SUM(D74:H74)</f>
        <v>1615533059.0699997</v>
      </c>
    </row>
    <row r="75" spans="1:10" x14ac:dyDescent="0.2">
      <c r="A75" s="138">
        <v>2015</v>
      </c>
      <c r="B75" s="122">
        <f>B33</f>
        <v>149410</v>
      </c>
      <c r="C75" s="309">
        <f t="shared" ref="C75:C76" si="15">D75/I75</f>
        <v>0.72059441289739501</v>
      </c>
      <c r="D75" s="219">
        <v>1189149664.9900002</v>
      </c>
      <c r="E75" s="219">
        <v>207649706.88</v>
      </c>
      <c r="F75" s="219">
        <v>135044554.73000002</v>
      </c>
      <c r="G75" s="219">
        <v>60584434.310000002</v>
      </c>
      <c r="H75" s="219">
        <v>57806006.309999995</v>
      </c>
      <c r="I75" s="219">
        <f t="shared" ref="I75:I77" si="16">SUM(D75:H75)</f>
        <v>1650234367.2200003</v>
      </c>
    </row>
    <row r="76" spans="1:10" x14ac:dyDescent="0.2">
      <c r="A76" s="138">
        <v>2016</v>
      </c>
      <c r="B76" s="122">
        <f>B34</f>
        <v>150187</v>
      </c>
      <c r="C76" s="309">
        <f t="shared" si="15"/>
        <v>0.72296478499368122</v>
      </c>
      <c r="D76" s="219">
        <v>1225549458.6700001</v>
      </c>
      <c r="E76" s="219">
        <v>213267684.03999999</v>
      </c>
      <c r="F76" s="219">
        <v>136280950.01999998</v>
      </c>
      <c r="G76" s="219">
        <v>58525038.400000006</v>
      </c>
      <c r="H76" s="219">
        <v>61548589.689999998</v>
      </c>
      <c r="I76" s="219">
        <f t="shared" si="16"/>
        <v>1695171720.8200002</v>
      </c>
    </row>
    <row r="77" spans="1:10" x14ac:dyDescent="0.2">
      <c r="A77" s="338">
        <v>2017</v>
      </c>
      <c r="B77" s="122">
        <f>B35</f>
        <v>151433</v>
      </c>
      <c r="C77" s="309">
        <f t="shared" ref="C77" si="17">D77/I77</f>
        <v>0.72296734554036457</v>
      </c>
      <c r="D77" s="219">
        <v>1225549724.9899998</v>
      </c>
      <c r="E77" s="219">
        <v>213250633.55000001</v>
      </c>
      <c r="F77" s="219">
        <v>136276804.25</v>
      </c>
      <c r="G77" s="219">
        <v>58549759.490000002</v>
      </c>
      <c r="H77" s="219">
        <v>61539163.089999996</v>
      </c>
      <c r="I77" s="219">
        <f t="shared" si="16"/>
        <v>1695166085.3699996</v>
      </c>
    </row>
    <row r="78" spans="1:10" x14ac:dyDescent="0.2">
      <c r="A78" s="338">
        <v>2018</v>
      </c>
      <c r="B78" s="122">
        <f>'18obj'!B23</f>
        <v>152221</v>
      </c>
      <c r="C78" s="309">
        <f t="shared" ref="C78" si="18">D78/I78</f>
        <v>0.72057717563408996</v>
      </c>
      <c r="D78" s="219">
        <f>'18obj'!C23</f>
        <v>1290866875.4299998</v>
      </c>
      <c r="E78" s="219">
        <f>'18obj'!D23</f>
        <v>220029067.48999998</v>
      </c>
      <c r="F78" s="219">
        <f>'18obj'!E23</f>
        <v>132517798.39999999</v>
      </c>
      <c r="G78" s="219">
        <f>'18obj'!F23</f>
        <v>49780416.890000001</v>
      </c>
      <c r="H78" s="219">
        <f>'18obj'!G23</f>
        <v>98240429.340000004</v>
      </c>
      <c r="I78" s="219">
        <f t="shared" ref="I78" si="19">SUM(D78:H78)</f>
        <v>1791434587.55</v>
      </c>
    </row>
    <row r="79" spans="1:10" x14ac:dyDescent="0.2">
      <c r="A79" s="338">
        <v>2019</v>
      </c>
      <c r="B79" s="122">
        <f>'19obj'!$B$23</f>
        <v>152628</v>
      </c>
      <c r="C79" s="309">
        <f t="shared" ref="C79" si="20">D79/I79</f>
        <v>0.71189920324401623</v>
      </c>
      <c r="D79" s="219">
        <f>'19obj'!$C$23</f>
        <v>1330722482.3699999</v>
      </c>
      <c r="E79" s="219">
        <f>'19obj'!$D$23</f>
        <v>228284718.71000001</v>
      </c>
      <c r="F79" s="219">
        <f>'19obj'!$E$23</f>
        <v>140672178.09999996</v>
      </c>
      <c r="G79" s="219">
        <f>'19obj'!$F$23</f>
        <v>52745182.640000001</v>
      </c>
      <c r="H79" s="219">
        <f>'19obj'!$G$23</f>
        <v>116832316.55000001</v>
      </c>
      <c r="I79" s="219">
        <f t="shared" ref="I79" si="21">SUM(D79:H79)</f>
        <v>1869256878.3699999</v>
      </c>
    </row>
    <row r="80" spans="1:10" x14ac:dyDescent="0.2">
      <c r="A80" s="338">
        <v>2020</v>
      </c>
      <c r="B80" s="122">
        <f>'20obj'!$B$23</f>
        <v>153614</v>
      </c>
      <c r="C80" s="309">
        <f t="shared" ref="C80" si="22">D80/I80</f>
        <v>0.70813600145498246</v>
      </c>
      <c r="D80" s="219">
        <f>'20obj'!$C$23</f>
        <v>1366586114.21</v>
      </c>
      <c r="E80" s="219">
        <f>'20obj'!$D$23</f>
        <v>218031879.37</v>
      </c>
      <c r="F80" s="219">
        <f>'20obj'!$E$23</f>
        <v>144033619.06</v>
      </c>
      <c r="G80" s="219">
        <f>'20obj'!$F$23</f>
        <v>76155962.090000004</v>
      </c>
      <c r="H80" s="219">
        <f>'20obj'!$G$23</f>
        <v>125028094.41</v>
      </c>
      <c r="I80" s="219">
        <f t="shared" ref="I80" si="23">SUM(D80:H80)</f>
        <v>1929835669.1399999</v>
      </c>
    </row>
    <row r="81" spans="1:12" x14ac:dyDescent="0.2">
      <c r="A81" s="338">
        <v>2021</v>
      </c>
      <c r="B81" s="122">
        <f>'21obj'!$B$23</f>
        <v>155169</v>
      </c>
      <c r="C81" s="309">
        <f t="shared" ref="C81" si="24">D81/I81</f>
        <v>0.69399192164302781</v>
      </c>
      <c r="D81" s="219">
        <f>'21obj'!$C$23</f>
        <v>1440834669.2600002</v>
      </c>
      <c r="E81" s="219">
        <f>'21obj'!$D$23</f>
        <v>225404705.31</v>
      </c>
      <c r="F81" s="219">
        <f>'21obj'!$E$23</f>
        <v>202502599.75000003</v>
      </c>
      <c r="G81" s="219">
        <f>'21obj'!$F$23</f>
        <v>76813365.660000011</v>
      </c>
      <c r="H81" s="219">
        <f>'21obj'!$G$23</f>
        <v>130599474.39999999</v>
      </c>
      <c r="I81" s="219">
        <f t="shared" ref="I81" si="25">SUM(D81:H81)</f>
        <v>2076154814.3800004</v>
      </c>
    </row>
    <row r="82" spans="1:12" x14ac:dyDescent="0.2">
      <c r="A82" s="338">
        <v>2022</v>
      </c>
      <c r="B82" s="122">
        <f>'22obj'!$B$23</f>
        <v>153715</v>
      </c>
      <c r="C82" s="309">
        <f t="shared" ref="C82" si="26">D82/I82</f>
        <v>0.69132294308687037</v>
      </c>
      <c r="D82" s="219">
        <f>'22obj'!$C$23</f>
        <v>1503422746.7399998</v>
      </c>
      <c r="E82" s="219">
        <f>'22obj'!$D$23</f>
        <v>254827471.31000003</v>
      </c>
      <c r="F82" s="219">
        <f>'22obj'!$E$23</f>
        <v>195344237.19999999</v>
      </c>
      <c r="G82" s="219">
        <f>'22obj'!$F$23</f>
        <v>87837703.729999989</v>
      </c>
      <c r="H82" s="219">
        <f>'22obj'!$G$23</f>
        <v>133271807.91999999</v>
      </c>
      <c r="I82" s="219">
        <f t="shared" ref="I82" si="27">SUM(D82:H82)</f>
        <v>2174703966.8999996</v>
      </c>
    </row>
    <row r="83" spans="1:12" x14ac:dyDescent="0.2">
      <c r="A83" s="338">
        <v>2023</v>
      </c>
      <c r="B83" s="122">
        <f>'23obj'!$B$23</f>
        <v>155543</v>
      </c>
      <c r="C83" s="309">
        <f t="shared" ref="C83" si="28">D83/I83</f>
        <v>0.68279105084461378</v>
      </c>
      <c r="D83" s="219">
        <f>'23obj'!$C$23</f>
        <v>1534776875.27</v>
      </c>
      <c r="E83" s="219">
        <f>'23obj'!$D$23</f>
        <v>268496697.15999997</v>
      </c>
      <c r="F83" s="219">
        <f>'23obj'!$E$23</f>
        <v>190082088.69</v>
      </c>
      <c r="G83" s="219">
        <f>'23obj'!$F$23</f>
        <v>121036893.33</v>
      </c>
      <c r="H83" s="219">
        <f>'23obj'!$G$23</f>
        <v>133406202.39</v>
      </c>
      <c r="I83" s="219">
        <f t="shared" ref="I83" si="29">SUM(D83:H83)</f>
        <v>2247798756.8399997</v>
      </c>
    </row>
    <row r="84" spans="1:12" x14ac:dyDescent="0.2">
      <c r="A84" s="138"/>
      <c r="B84" s="219"/>
      <c r="C84" s="309"/>
      <c r="D84" s="219"/>
      <c r="E84" s="219"/>
      <c r="F84" s="219"/>
      <c r="G84" s="219"/>
      <c r="H84" s="219"/>
      <c r="I84" s="219"/>
    </row>
    <row r="85" spans="1:12" ht="14.25" x14ac:dyDescent="0.2">
      <c r="A85" s="140" t="s">
        <v>430</v>
      </c>
    </row>
    <row r="86" spans="1:12" x14ac:dyDescent="0.2">
      <c r="A86" s="138" t="s">
        <v>429</v>
      </c>
    </row>
    <row r="87" spans="1:12" x14ac:dyDescent="0.2">
      <c r="A87" s="138" t="s">
        <v>427</v>
      </c>
    </row>
    <row r="88" spans="1:12" x14ac:dyDescent="0.2">
      <c r="A88" s="138" t="s">
        <v>426</v>
      </c>
    </row>
    <row r="93" spans="1:12" x14ac:dyDescent="0.2">
      <c r="A93" s="36" t="s">
        <v>247</v>
      </c>
    </row>
    <row r="94" spans="1:12" x14ac:dyDescent="0.2">
      <c r="A94" s="22" t="str">
        <f>A2</f>
        <v>Expenditures by Function FY1991-2022  -  School Profile Definition a</v>
      </c>
    </row>
    <row r="95" spans="1:12" ht="22.5" x14ac:dyDescent="0.2">
      <c r="A95" s="141" t="s">
        <v>310</v>
      </c>
      <c r="B95" s="141" t="s">
        <v>396</v>
      </c>
      <c r="C95" s="141" t="s">
        <v>311</v>
      </c>
      <c r="D95" s="141" t="s">
        <v>94</v>
      </c>
      <c r="E95" s="141" t="s">
        <v>95</v>
      </c>
      <c r="F95" s="141" t="s">
        <v>96</v>
      </c>
      <c r="G95" s="141" t="s">
        <v>97</v>
      </c>
      <c r="H95" s="141" t="s">
        <v>98</v>
      </c>
      <c r="I95" s="141" t="s">
        <v>99</v>
      </c>
      <c r="J95" s="141" t="s">
        <v>93</v>
      </c>
      <c r="K95" s="141" t="s">
        <v>115</v>
      </c>
      <c r="L95" s="141" t="s">
        <v>113</v>
      </c>
    </row>
    <row r="96" spans="1:12" x14ac:dyDescent="0.2">
      <c r="A96">
        <v>1991</v>
      </c>
      <c r="B96" s="122">
        <v>147970</v>
      </c>
      <c r="C96" s="310">
        <f>D96/L96</f>
        <v>0.55048992402521679</v>
      </c>
      <c r="D96" s="122">
        <f>D4/$B$4</f>
        <v>2752.2625668716632</v>
      </c>
      <c r="E96" s="122">
        <f t="shared" ref="E96:L96" si="30">E4/$B$4</f>
        <v>303.04976610123668</v>
      </c>
      <c r="F96" s="122">
        <f t="shared" si="30"/>
        <v>280.12092201121845</v>
      </c>
      <c r="G96" s="122">
        <f t="shared" si="30"/>
        <v>255.48618240183819</v>
      </c>
      <c r="H96" s="122">
        <f t="shared" si="30"/>
        <v>521.18732175440971</v>
      </c>
      <c r="I96" s="122">
        <f t="shared" si="30"/>
        <v>244.52209028857197</v>
      </c>
      <c r="J96" s="122">
        <f t="shared" si="30"/>
        <v>320.85524018382102</v>
      </c>
      <c r="K96" s="122">
        <f t="shared" si="30"/>
        <v>322.17611623977837</v>
      </c>
      <c r="L96" s="122">
        <f t="shared" si="30"/>
        <v>4999.6602058525377</v>
      </c>
    </row>
    <row r="97" spans="1:12" x14ac:dyDescent="0.2">
      <c r="A97">
        <v>1992</v>
      </c>
      <c r="B97" s="122">
        <v>148468</v>
      </c>
      <c r="C97" s="310">
        <f t="shared" ref="C97:C111" si="31">D97/L97</f>
        <v>0.56075041769976441</v>
      </c>
      <c r="D97" s="122">
        <f>D5/$B$5</f>
        <v>2918.2654747824445</v>
      </c>
      <c r="E97" s="122">
        <f t="shared" ref="E97:L97" si="32">E5/$B$5</f>
        <v>323.27449995958722</v>
      </c>
      <c r="F97" s="122">
        <f t="shared" si="32"/>
        <v>295.90887059837814</v>
      </c>
      <c r="G97" s="122">
        <f t="shared" si="32"/>
        <v>270.45654329552497</v>
      </c>
      <c r="H97" s="122">
        <f t="shared" si="32"/>
        <v>543.45402322385974</v>
      </c>
      <c r="I97" s="122">
        <f t="shared" si="32"/>
        <v>251.53460752485384</v>
      </c>
      <c r="J97" s="122">
        <f t="shared" si="32"/>
        <v>326.0689964840908</v>
      </c>
      <c r="K97" s="122">
        <f t="shared" si="32"/>
        <v>275.25151999083977</v>
      </c>
      <c r="L97" s="122">
        <f t="shared" si="32"/>
        <v>5204.214535859579</v>
      </c>
    </row>
    <row r="98" spans="1:12" x14ac:dyDescent="0.2">
      <c r="A98">
        <v>1993</v>
      </c>
      <c r="B98" s="122">
        <v>151071</v>
      </c>
      <c r="C98" s="310">
        <f t="shared" si="31"/>
        <v>0.55959252933684556</v>
      </c>
      <c r="D98" s="122">
        <f>D6/$B$6</f>
        <v>2990.0936171733824</v>
      </c>
      <c r="E98" s="122">
        <f t="shared" ref="E98:L98" si="33">E6/$B$6</f>
        <v>353.12521158925273</v>
      </c>
      <c r="F98" s="122">
        <f t="shared" si="33"/>
        <v>299.74513870961334</v>
      </c>
      <c r="G98" s="122">
        <f t="shared" si="33"/>
        <v>275.32193041682388</v>
      </c>
      <c r="H98" s="122">
        <f t="shared" si="33"/>
        <v>552.31469885020954</v>
      </c>
      <c r="I98" s="122">
        <f t="shared" si="33"/>
        <v>270.74427408304706</v>
      </c>
      <c r="J98" s="122">
        <f t="shared" si="33"/>
        <v>325.79556341058179</v>
      </c>
      <c r="K98" s="122">
        <f t="shared" si="33"/>
        <v>276.20040828484622</v>
      </c>
      <c r="L98" s="122">
        <f t="shared" si="33"/>
        <v>5343.3408425177558</v>
      </c>
    </row>
    <row r="99" spans="1:12" x14ac:dyDescent="0.2">
      <c r="A99">
        <v>1994</v>
      </c>
      <c r="B99" s="122">
        <v>156950</v>
      </c>
      <c r="C99" s="310">
        <f t="shared" si="31"/>
        <v>0.56141520075267359</v>
      </c>
      <c r="D99" s="122">
        <f>D7/$B$7</f>
        <v>3041.8312297546986</v>
      </c>
      <c r="E99" s="122">
        <f t="shared" ref="E99:L99" si="34">E7/$B$7</f>
        <v>367.63443822873523</v>
      </c>
      <c r="F99" s="122">
        <f t="shared" si="34"/>
        <v>296.8556862695126</v>
      </c>
      <c r="G99" s="122">
        <f t="shared" si="34"/>
        <v>274.30605906339599</v>
      </c>
      <c r="H99" s="122">
        <f t="shared" si="34"/>
        <v>536.70068996495695</v>
      </c>
      <c r="I99" s="122">
        <f t="shared" si="34"/>
        <v>258.84652634597006</v>
      </c>
      <c r="J99" s="122">
        <f t="shared" si="34"/>
        <v>343.55621388977386</v>
      </c>
      <c r="K99" s="122">
        <f t="shared" si="34"/>
        <v>298.41819426568975</v>
      </c>
      <c r="L99" s="122">
        <f t="shared" si="34"/>
        <v>5418.1490377827331</v>
      </c>
    </row>
    <row r="100" spans="1:12" x14ac:dyDescent="0.2">
      <c r="A100">
        <v>1995</v>
      </c>
      <c r="B100" s="122">
        <v>162569</v>
      </c>
      <c r="C100" s="310">
        <f t="shared" si="31"/>
        <v>0.56886213052196011</v>
      </c>
      <c r="D100" s="122">
        <f>D8/$B$8</f>
        <v>3026.5513726479217</v>
      </c>
      <c r="E100" s="122">
        <f t="shared" ref="E100:L100" si="35">E8/$B$8</f>
        <v>375.86300438582998</v>
      </c>
      <c r="F100" s="122">
        <f t="shared" si="35"/>
        <v>289.95833996641431</v>
      </c>
      <c r="G100" s="122">
        <f t="shared" si="35"/>
        <v>267.853919566461</v>
      </c>
      <c r="H100" s="122">
        <f t="shared" si="35"/>
        <v>532.18337930355722</v>
      </c>
      <c r="I100" s="122">
        <f t="shared" si="35"/>
        <v>261.18501713118735</v>
      </c>
      <c r="J100" s="122">
        <f t="shared" si="35"/>
        <v>329.21026056628261</v>
      </c>
      <c r="K100" s="122">
        <f t="shared" si="35"/>
        <v>237.55479064274249</v>
      </c>
      <c r="L100" s="122">
        <f t="shared" si="35"/>
        <v>5320.360084210397</v>
      </c>
    </row>
    <row r="101" spans="1:12" x14ac:dyDescent="0.2">
      <c r="A101">
        <v>1996</v>
      </c>
      <c r="B101" s="122">
        <v>163768</v>
      </c>
      <c r="C101" s="310">
        <f t="shared" si="31"/>
        <v>0.56876968839335762</v>
      </c>
      <c r="D101" s="122">
        <f>D9/$B$9</f>
        <v>3085.027022067804</v>
      </c>
      <c r="E101" s="122">
        <f t="shared" ref="E101:K101" si="36">E9/$B$9</f>
        <v>389.23777233647598</v>
      </c>
      <c r="F101" s="122">
        <f t="shared" si="36"/>
        <v>291.83617867959555</v>
      </c>
      <c r="G101" s="122">
        <f t="shared" si="36"/>
        <v>278.99114375213725</v>
      </c>
      <c r="H101" s="122">
        <f t="shared" si="36"/>
        <v>543.02491316984992</v>
      </c>
      <c r="I101" s="122">
        <f t="shared" si="36"/>
        <v>265.43158687899955</v>
      </c>
      <c r="J101" s="122">
        <f t="shared" si="36"/>
        <v>335.58268764349566</v>
      </c>
      <c r="K101" s="122">
        <f t="shared" si="36"/>
        <v>234.90426737824237</v>
      </c>
      <c r="L101" s="122">
        <f>L9/$B$9</f>
        <v>5424.0355719066001</v>
      </c>
    </row>
    <row r="102" spans="1:12" x14ac:dyDescent="0.2">
      <c r="A102">
        <v>1997</v>
      </c>
      <c r="B102" s="122">
        <v>164734</v>
      </c>
      <c r="C102" s="310">
        <f t="shared" si="31"/>
        <v>0.56369191017507414</v>
      </c>
      <c r="D102" s="122">
        <f>D10/$B$10</f>
        <v>3148.1919917564078</v>
      </c>
      <c r="E102" s="122">
        <f t="shared" ref="E102:L102" si="37">E10/$B$10</f>
        <v>405.06649404494516</v>
      </c>
      <c r="F102" s="122">
        <f t="shared" si="37"/>
        <v>300.7302105212039</v>
      </c>
      <c r="G102" s="122">
        <f t="shared" si="37"/>
        <v>288.43894690834918</v>
      </c>
      <c r="H102" s="122">
        <f t="shared" si="37"/>
        <v>555.44935411026268</v>
      </c>
      <c r="I102" s="122">
        <f t="shared" si="37"/>
        <v>278.11448492721598</v>
      </c>
      <c r="J102" s="122">
        <f t="shared" si="37"/>
        <v>353.45304078089526</v>
      </c>
      <c r="K102" s="122">
        <f t="shared" si="37"/>
        <v>255.50699910158195</v>
      </c>
      <c r="L102" s="122">
        <f t="shared" si="37"/>
        <v>5584.9515221508627</v>
      </c>
    </row>
    <row r="103" spans="1:12" x14ac:dyDescent="0.2">
      <c r="A103">
        <v>1998</v>
      </c>
      <c r="B103" s="122">
        <v>163902</v>
      </c>
      <c r="C103" s="310">
        <f t="shared" si="31"/>
        <v>0.56460800800957167</v>
      </c>
      <c r="D103" s="122">
        <f>D11/$B$11</f>
        <v>3281.0687459579508</v>
      </c>
      <c r="E103" s="122">
        <f t="shared" ref="E103:L103" si="38">E11/$B$11</f>
        <v>434.94040310673444</v>
      </c>
      <c r="F103" s="122">
        <f t="shared" si="38"/>
        <v>308.59086521213891</v>
      </c>
      <c r="G103" s="122">
        <f t="shared" si="38"/>
        <v>297.5108581957511</v>
      </c>
      <c r="H103" s="122">
        <f t="shared" si="38"/>
        <v>562.17066942441215</v>
      </c>
      <c r="I103" s="122">
        <f t="shared" si="38"/>
        <v>284.38402008517284</v>
      </c>
      <c r="J103" s="122">
        <f t="shared" si="38"/>
        <v>366.09397511927858</v>
      </c>
      <c r="K103" s="122">
        <f t="shared" si="38"/>
        <v>276.47356517919246</v>
      </c>
      <c r="L103" s="122">
        <f t="shared" si="38"/>
        <v>5811.2331022806311</v>
      </c>
    </row>
    <row r="104" spans="1:12" x14ac:dyDescent="0.2">
      <c r="A104">
        <v>1999</v>
      </c>
      <c r="B104" s="122">
        <v>161753</v>
      </c>
      <c r="C104" s="310">
        <f t="shared" si="31"/>
        <v>0.56241379715598006</v>
      </c>
      <c r="D104" s="122">
        <f>D12/$B$12</f>
        <v>3395.8407225213759</v>
      </c>
      <c r="E104" s="122">
        <f t="shared" ref="E104:L104" si="39">E12/$B$12</f>
        <v>459.95579809957161</v>
      </c>
      <c r="F104" s="122">
        <f t="shared" si="39"/>
        <v>314.00916372493862</v>
      </c>
      <c r="G104" s="122">
        <f t="shared" si="39"/>
        <v>307.06597676704604</v>
      </c>
      <c r="H104" s="122">
        <f t="shared" si="39"/>
        <v>592.99817616983921</v>
      </c>
      <c r="I104" s="122">
        <f t="shared" si="39"/>
        <v>291.79034954529436</v>
      </c>
      <c r="J104" s="122">
        <f t="shared" si="39"/>
        <v>380.70914134513743</v>
      </c>
      <c r="K104" s="122">
        <f t="shared" si="39"/>
        <v>295.60616192589941</v>
      </c>
      <c r="L104" s="122">
        <f t="shared" si="39"/>
        <v>6037.975490099102</v>
      </c>
    </row>
    <row r="105" spans="1:12" x14ac:dyDescent="0.2">
      <c r="A105">
        <v>2000</v>
      </c>
      <c r="B105" s="122">
        <v>159742</v>
      </c>
      <c r="C105" s="310">
        <f t="shared" si="31"/>
        <v>0.56683102339125213</v>
      </c>
      <c r="D105" s="122">
        <f>D13/$B$13</f>
        <v>3562.5234634598282</v>
      </c>
      <c r="E105" s="122">
        <f t="shared" ref="E105:L105" si="40">E13/$B$13</f>
        <v>486.32321230484155</v>
      </c>
      <c r="F105" s="122">
        <f t="shared" si="40"/>
        <v>322.71034261496663</v>
      </c>
      <c r="G105" s="122">
        <f t="shared" si="40"/>
        <v>324.56163883011357</v>
      </c>
      <c r="H105" s="122">
        <f t="shared" si="40"/>
        <v>627.11603892526705</v>
      </c>
      <c r="I105" s="122">
        <f t="shared" si="40"/>
        <v>306.03012851973807</v>
      </c>
      <c r="J105" s="122">
        <f t="shared" si="40"/>
        <v>392.74734465575744</v>
      </c>
      <c r="K105" s="122">
        <f t="shared" si="40"/>
        <v>262.97103811145473</v>
      </c>
      <c r="L105" s="122">
        <f t="shared" si="40"/>
        <v>6284.9832074219676</v>
      </c>
    </row>
    <row r="106" spans="1:12" x14ac:dyDescent="0.2">
      <c r="A106">
        <v>2001</v>
      </c>
      <c r="B106" s="122">
        <v>157497</v>
      </c>
      <c r="C106" s="310">
        <f t="shared" si="31"/>
        <v>0.55475207291269679</v>
      </c>
      <c r="D106" s="122">
        <f>D14/$B$14</f>
        <v>3728.2337235629884</v>
      </c>
      <c r="E106" s="122">
        <f t="shared" ref="E106:L106" si="41">E14/$B$14</f>
        <v>529.79830472961407</v>
      </c>
      <c r="F106" s="122">
        <f t="shared" si="41"/>
        <v>362.27963916773024</v>
      </c>
      <c r="G106" s="122">
        <f t="shared" si="41"/>
        <v>342.06723416953969</v>
      </c>
      <c r="H106" s="122">
        <f t="shared" si="41"/>
        <v>689.53348647910752</v>
      </c>
      <c r="I106" s="122">
        <f t="shared" si="41"/>
        <v>337.99899686978171</v>
      </c>
      <c r="J106" s="122">
        <f t="shared" si="41"/>
        <v>422.32878372286456</v>
      </c>
      <c r="K106" s="122">
        <f t="shared" si="41"/>
        <v>308.30024133793023</v>
      </c>
      <c r="L106" s="122">
        <f t="shared" si="41"/>
        <v>6720.5404100395554</v>
      </c>
    </row>
    <row r="107" spans="1:12" x14ac:dyDescent="0.2">
      <c r="A107">
        <v>2002</v>
      </c>
      <c r="B107" s="122">
        <v>154459</v>
      </c>
      <c r="C107" s="310">
        <f t="shared" si="31"/>
        <v>0.55156594673406778</v>
      </c>
      <c r="D107" s="122">
        <f>D15/$B$15</f>
        <v>3912.1819851222654</v>
      </c>
      <c r="E107" s="122">
        <f t="shared" ref="E107:L107" si="42">E15/$B$15</f>
        <v>552.16993881871565</v>
      </c>
      <c r="F107" s="122">
        <f t="shared" si="42"/>
        <v>376.41885853203769</v>
      </c>
      <c r="G107" s="122">
        <f t="shared" si="42"/>
        <v>365.56813367948769</v>
      </c>
      <c r="H107" s="122">
        <f t="shared" si="42"/>
        <v>703.21921338348704</v>
      </c>
      <c r="I107" s="122">
        <f t="shared" si="42"/>
        <v>349.42423704672439</v>
      </c>
      <c r="J107" s="122">
        <f t="shared" si="42"/>
        <v>442.90965796748651</v>
      </c>
      <c r="K107" s="122">
        <f t="shared" si="42"/>
        <v>390.97150026867973</v>
      </c>
      <c r="L107" s="122">
        <f t="shared" si="42"/>
        <v>7092.8635248188848</v>
      </c>
    </row>
    <row r="108" spans="1:12" x14ac:dyDescent="0.2">
      <c r="A108">
        <v>2003</v>
      </c>
      <c r="B108" s="122">
        <v>151511</v>
      </c>
      <c r="C108" s="310">
        <f t="shared" si="31"/>
        <v>0.55084555386425571</v>
      </c>
      <c r="D108" s="122">
        <f>D16/$B$16</f>
        <v>4169.627634759192</v>
      </c>
      <c r="E108" s="122">
        <f t="shared" ref="E108:L108" si="43">E16/$B$16</f>
        <v>584.37727346529289</v>
      </c>
      <c r="F108" s="122">
        <f t="shared" si="43"/>
        <v>430.24353908297081</v>
      </c>
      <c r="G108" s="122">
        <f t="shared" si="43"/>
        <v>399.87791388084031</v>
      </c>
      <c r="H108" s="122">
        <f t="shared" si="43"/>
        <v>757.12136432338241</v>
      </c>
      <c r="I108" s="122">
        <f t="shared" si="43"/>
        <v>371.87285378619379</v>
      </c>
      <c r="J108" s="122">
        <f t="shared" si="43"/>
        <v>467.15808264746448</v>
      </c>
      <c r="K108" s="122">
        <f t="shared" si="43"/>
        <v>389.22535875282983</v>
      </c>
      <c r="L108" s="122">
        <f t="shared" si="43"/>
        <v>7569.5040206981657</v>
      </c>
    </row>
    <row r="109" spans="1:12" x14ac:dyDescent="0.2">
      <c r="A109">
        <v>2004</v>
      </c>
      <c r="B109" s="122">
        <v>149463</v>
      </c>
      <c r="C109" s="310">
        <f t="shared" si="31"/>
        <v>0.54952214893445317</v>
      </c>
      <c r="D109" s="122">
        <f t="shared" ref="D109:L109" si="44">D17/$B17</f>
        <v>4321.1811972862843</v>
      </c>
      <c r="E109" s="122">
        <f t="shared" si="44"/>
        <v>638.20080949800285</v>
      </c>
      <c r="F109" s="122">
        <f t="shared" si="44"/>
        <v>438.51554230812974</v>
      </c>
      <c r="G109" s="122">
        <f t="shared" si="44"/>
        <v>413.67502505636838</v>
      </c>
      <c r="H109" s="122">
        <f t="shared" si="44"/>
        <v>781.38345436663246</v>
      </c>
      <c r="I109" s="122">
        <f t="shared" si="44"/>
        <v>394.68532600041482</v>
      </c>
      <c r="J109" s="122">
        <f t="shared" si="44"/>
        <v>488.54767668252339</v>
      </c>
      <c r="K109" s="122">
        <f t="shared" si="44"/>
        <v>387.33604356931147</v>
      </c>
      <c r="L109" s="122">
        <f t="shared" si="44"/>
        <v>7863.5250747676664</v>
      </c>
    </row>
    <row r="110" spans="1:12" x14ac:dyDescent="0.2">
      <c r="A110">
        <v>2005</v>
      </c>
      <c r="B110" s="122">
        <v>147652</v>
      </c>
      <c r="C110" s="310">
        <f t="shared" si="31"/>
        <v>0.54968419360852194</v>
      </c>
      <c r="D110" s="122">
        <f>D18/$B18</f>
        <v>4489.2769287242982</v>
      </c>
      <c r="E110" s="122">
        <f t="shared" ref="E110:K110" si="45">E18/$B18</f>
        <v>672.2825421938071</v>
      </c>
      <c r="F110" s="122">
        <f t="shared" si="45"/>
        <v>435.86486827134075</v>
      </c>
      <c r="G110" s="122">
        <f t="shared" si="45"/>
        <v>439.3121434860347</v>
      </c>
      <c r="H110" s="122">
        <f t="shared" si="45"/>
        <v>808.08039972367453</v>
      </c>
      <c r="I110" s="122">
        <f t="shared" si="45"/>
        <v>419.4666251727034</v>
      </c>
      <c r="J110" s="122">
        <f t="shared" si="45"/>
        <v>510.19992218188713</v>
      </c>
      <c r="K110" s="122">
        <f t="shared" si="45"/>
        <v>392.52770304499768</v>
      </c>
      <c r="L110" s="122">
        <f>L18/$B18</f>
        <v>8167.0111327987424</v>
      </c>
    </row>
    <row r="111" spans="1:12" x14ac:dyDescent="0.2">
      <c r="A111">
        <v>2006</v>
      </c>
      <c r="B111" s="122">
        <v>148899</v>
      </c>
      <c r="C111" s="310">
        <f t="shared" si="31"/>
        <v>0.54499214888899339</v>
      </c>
      <c r="D111" s="122">
        <f>D19/$B19</f>
        <v>4649.821996856931</v>
      </c>
      <c r="E111" s="122">
        <f t="shared" ref="E111:K111" si="46">E19/$B19</f>
        <v>712.7330751046012</v>
      </c>
      <c r="F111" s="122">
        <f t="shared" si="46"/>
        <v>459.07547451628284</v>
      </c>
      <c r="G111" s="122">
        <f t="shared" si="46"/>
        <v>449.91484509634051</v>
      </c>
      <c r="H111" s="122">
        <f t="shared" si="46"/>
        <v>872.06325213735488</v>
      </c>
      <c r="I111" s="122">
        <f t="shared" si="46"/>
        <v>444.78910261318077</v>
      </c>
      <c r="J111" s="122">
        <f t="shared" si="46"/>
        <v>532.38978696969082</v>
      </c>
      <c r="K111" s="122">
        <f t="shared" si="46"/>
        <v>411.11885533146631</v>
      </c>
      <c r="L111" s="122">
        <f>L19/$B19</f>
        <v>8531.9063886258464</v>
      </c>
    </row>
    <row r="112" spans="1:12" x14ac:dyDescent="0.2">
      <c r="A112">
        <v>2007</v>
      </c>
      <c r="B112" s="268">
        <f t="shared" ref="B112:B133" si="47">B62</f>
        <v>147019</v>
      </c>
      <c r="C112" s="310">
        <f t="shared" ref="C112:C118" si="48">D112/L112</f>
        <v>0.54760121453200872</v>
      </c>
      <c r="D112" s="122">
        <f>D20/$B20</f>
        <v>4945.6235368217713</v>
      </c>
      <c r="E112" s="122">
        <f t="shared" ref="E112:K112" si="49">E20/$B20</f>
        <v>757.96711078159979</v>
      </c>
      <c r="F112" s="122">
        <f t="shared" si="49"/>
        <v>473.69832436623841</v>
      </c>
      <c r="G112" s="122">
        <f t="shared" si="49"/>
        <v>476.41864221631215</v>
      </c>
      <c r="H112" s="122">
        <f t="shared" si="49"/>
        <v>903.20587753963775</v>
      </c>
      <c r="I112" s="122">
        <f t="shared" si="49"/>
        <v>473.74556635536914</v>
      </c>
      <c r="J112" s="122">
        <f t="shared" si="49"/>
        <v>568.8002048714792</v>
      </c>
      <c r="K112" s="122">
        <f t="shared" si="49"/>
        <v>431.97347601330438</v>
      </c>
      <c r="L112" s="122">
        <f>L20/$B20</f>
        <v>9031.4327389657137</v>
      </c>
    </row>
    <row r="113" spans="1:12" x14ac:dyDescent="0.2">
      <c r="A113">
        <v>2008</v>
      </c>
      <c r="B113" s="268">
        <f t="shared" si="47"/>
        <v>150157</v>
      </c>
      <c r="C113" s="310">
        <f t="shared" si="48"/>
        <v>0.53579073425564661</v>
      </c>
      <c r="D113" s="122">
        <f>D21/$B21</f>
        <v>5038.213953728432</v>
      </c>
      <c r="E113" s="122">
        <f t="shared" ref="E113:K113" si="50">E21/$B21</f>
        <v>779.87415724874643</v>
      </c>
      <c r="F113" s="122">
        <f t="shared" si="50"/>
        <v>479.68243305340405</v>
      </c>
      <c r="G113" s="122">
        <f t="shared" si="50"/>
        <v>493.26150196128049</v>
      </c>
      <c r="H113" s="122">
        <f t="shared" si="50"/>
        <v>958.17823125129019</v>
      </c>
      <c r="I113" s="122">
        <f t="shared" si="50"/>
        <v>512.23582117383808</v>
      </c>
      <c r="J113" s="122">
        <f t="shared" si="50"/>
        <v>594.32311427372679</v>
      </c>
      <c r="K113" s="122">
        <f t="shared" si="50"/>
        <v>547.55494282650818</v>
      </c>
      <c r="L113" s="122">
        <f>L21/$B21</f>
        <v>9403.3241555172244</v>
      </c>
    </row>
    <row r="114" spans="1:12" x14ac:dyDescent="0.2">
      <c r="A114" t="s">
        <v>25</v>
      </c>
      <c r="B114" s="268">
        <f t="shared" si="47"/>
        <v>149748</v>
      </c>
      <c r="C114" s="310">
        <f t="shared" si="48"/>
        <v>0.538748801895648</v>
      </c>
      <c r="D114" s="122">
        <f t="shared" ref="D114:L114" si="51">D22/$B22</f>
        <v>5209.4689111039879</v>
      </c>
      <c r="E114" s="122">
        <f t="shared" si="51"/>
        <v>806.36806454844145</v>
      </c>
      <c r="F114" s="122">
        <f t="shared" si="51"/>
        <v>494.20057923978953</v>
      </c>
      <c r="G114" s="122">
        <f t="shared" si="51"/>
        <v>504.04892359163398</v>
      </c>
      <c r="H114" s="122">
        <f t="shared" si="51"/>
        <v>985.88304438122714</v>
      </c>
      <c r="I114" s="122">
        <f t="shared" si="51"/>
        <v>526.30475505515938</v>
      </c>
      <c r="J114" s="122">
        <f t="shared" si="51"/>
        <v>626.71686920693435</v>
      </c>
      <c r="K114" s="122">
        <f t="shared" si="51"/>
        <v>516.57821947538537</v>
      </c>
      <c r="L114" s="122">
        <f t="shared" si="51"/>
        <v>9669.5693666025581</v>
      </c>
    </row>
    <row r="115" spans="1:12" x14ac:dyDescent="0.2">
      <c r="A115" t="s">
        <v>26</v>
      </c>
      <c r="B115" s="268">
        <f t="shared" si="47"/>
        <v>149748</v>
      </c>
      <c r="C115" s="310">
        <f t="shared" si="48"/>
        <v>0.53855565050298848</v>
      </c>
      <c r="D115" s="122">
        <f t="shared" ref="D115:L115" si="52">D23/$B23</f>
        <v>5203.5005014424232</v>
      </c>
      <c r="E115" s="122">
        <f t="shared" si="52"/>
        <v>806.01378455805764</v>
      </c>
      <c r="F115" s="122">
        <f t="shared" si="52"/>
        <v>494.20057923978953</v>
      </c>
      <c r="G115" s="122">
        <f t="shared" si="52"/>
        <v>504.0396216310067</v>
      </c>
      <c r="H115" s="122">
        <f t="shared" si="52"/>
        <v>985.41639748110151</v>
      </c>
      <c r="I115" s="122">
        <f t="shared" si="52"/>
        <v>526.30148462750753</v>
      </c>
      <c r="J115" s="122">
        <f t="shared" si="52"/>
        <v>626.29905107246839</v>
      </c>
      <c r="K115" s="122">
        <f t="shared" si="52"/>
        <v>516.18365660977111</v>
      </c>
      <c r="L115" s="122">
        <f t="shared" si="52"/>
        <v>9661.9550766621251</v>
      </c>
    </row>
    <row r="116" spans="1:12" x14ac:dyDescent="0.2">
      <c r="A116" s="138" t="s">
        <v>1063</v>
      </c>
      <c r="B116" s="268">
        <f t="shared" si="47"/>
        <v>148865</v>
      </c>
      <c r="C116" s="310">
        <f t="shared" si="48"/>
        <v>0.53350220632941092</v>
      </c>
      <c r="D116" s="122">
        <f t="shared" ref="D116:L116" si="53">D24/$B24</f>
        <v>5494.8331195378369</v>
      </c>
      <c r="E116" s="122">
        <f t="shared" si="53"/>
        <v>883.06968696469971</v>
      </c>
      <c r="F116" s="122">
        <f t="shared" si="53"/>
        <v>523.69724569240577</v>
      </c>
      <c r="G116" s="122">
        <f t="shared" si="53"/>
        <v>520.35191408322987</v>
      </c>
      <c r="H116" s="122">
        <f t="shared" si="53"/>
        <v>1076.7080794679744</v>
      </c>
      <c r="I116" s="122">
        <f t="shared" si="53"/>
        <v>544.40420011419747</v>
      </c>
      <c r="J116" s="122">
        <f t="shared" si="53"/>
        <v>638.56369240587105</v>
      </c>
      <c r="K116" s="122">
        <f t="shared" si="53"/>
        <v>617.92294333792347</v>
      </c>
      <c r="L116" s="122">
        <f t="shared" si="53"/>
        <v>10299.550881604138</v>
      </c>
    </row>
    <row r="117" spans="1:12" x14ac:dyDescent="0.2">
      <c r="A117" s="138" t="s">
        <v>1064</v>
      </c>
      <c r="B117" s="268">
        <f t="shared" si="47"/>
        <v>148865</v>
      </c>
      <c r="C117" s="310">
        <f t="shared" si="48"/>
        <v>0.52700467954800778</v>
      </c>
      <c r="D117" s="122">
        <f t="shared" ref="D117:L117" si="54">D25/$B25</f>
        <v>5294.4907403352026</v>
      </c>
      <c r="E117" s="122">
        <f t="shared" si="54"/>
        <v>852.41173512914372</v>
      </c>
      <c r="F117" s="122">
        <f t="shared" si="54"/>
        <v>521.71887878278983</v>
      </c>
      <c r="G117" s="122">
        <f t="shared" si="54"/>
        <v>517.46685110670751</v>
      </c>
      <c r="H117" s="122">
        <f t="shared" si="54"/>
        <v>1073.4434459409531</v>
      </c>
      <c r="I117" s="122">
        <f t="shared" si="54"/>
        <v>539.02364901084866</v>
      </c>
      <c r="J117" s="122">
        <f t="shared" si="54"/>
        <v>610.03272011554088</v>
      </c>
      <c r="K117" s="122">
        <f t="shared" si="54"/>
        <v>637.79476478688741</v>
      </c>
      <c r="L117" s="122">
        <f t="shared" si="54"/>
        <v>10046.382785208074</v>
      </c>
    </row>
    <row r="118" spans="1:12" x14ac:dyDescent="0.2">
      <c r="A118" s="138" t="s">
        <v>1065</v>
      </c>
      <c r="B118" s="268">
        <f t="shared" si="47"/>
        <v>148865</v>
      </c>
      <c r="C118" s="310">
        <f t="shared" si="48"/>
        <v>0.52178814487823399</v>
      </c>
      <c r="D118" s="122">
        <f t="shared" ref="D118:L118" si="55">D26/$B26</f>
        <v>5149.6793095757903</v>
      </c>
      <c r="E118" s="122">
        <f t="shared" si="55"/>
        <v>828.61376388002543</v>
      </c>
      <c r="F118" s="122">
        <f t="shared" si="55"/>
        <v>518.35884761360956</v>
      </c>
      <c r="G118" s="122">
        <f t="shared" si="55"/>
        <v>513.1940513216673</v>
      </c>
      <c r="H118" s="122">
        <f t="shared" si="55"/>
        <v>1073.4434459409531</v>
      </c>
      <c r="I118" s="122">
        <f t="shared" si="55"/>
        <v>538.94533550532356</v>
      </c>
      <c r="J118" s="122">
        <f t="shared" si="55"/>
        <v>609.84302327612261</v>
      </c>
      <c r="K118" s="122">
        <f t="shared" si="55"/>
        <v>637.21373539784372</v>
      </c>
      <c r="L118" s="122">
        <f t="shared" si="55"/>
        <v>9869.2915125113359</v>
      </c>
    </row>
    <row r="119" spans="1:12" x14ac:dyDescent="0.2">
      <c r="A119" s="138" t="s">
        <v>1116</v>
      </c>
      <c r="B119" s="268">
        <f t="shared" si="47"/>
        <v>147965</v>
      </c>
      <c r="C119" s="310">
        <f t="shared" ref="C119:C124" si="56">D119/L119</f>
        <v>0.53157622819981454</v>
      </c>
      <c r="D119" s="122">
        <f t="shared" ref="D119:L119" si="57">D27/$B27</f>
        <v>5575.393878282026</v>
      </c>
      <c r="E119" s="122">
        <f t="shared" si="57"/>
        <v>923.55111289832064</v>
      </c>
      <c r="F119" s="122">
        <f t="shared" si="57"/>
        <v>534.67361882877697</v>
      </c>
      <c r="G119" s="122">
        <f t="shared" si="57"/>
        <v>530.16724793025367</v>
      </c>
      <c r="H119" s="122">
        <f t="shared" si="57"/>
        <v>1053.7436606629947</v>
      </c>
      <c r="I119" s="122">
        <f t="shared" si="57"/>
        <v>562.3280213564019</v>
      </c>
      <c r="J119" s="122">
        <f t="shared" si="57"/>
        <v>673.23120332511053</v>
      </c>
      <c r="K119" s="122">
        <f t="shared" si="57"/>
        <v>635.3296293042273</v>
      </c>
      <c r="L119" s="122">
        <f t="shared" si="57"/>
        <v>10488.418372588112</v>
      </c>
    </row>
    <row r="120" spans="1:12" x14ac:dyDescent="0.2">
      <c r="A120" s="138" t="s">
        <v>1117</v>
      </c>
      <c r="B120" s="268">
        <f t="shared" si="47"/>
        <v>147965</v>
      </c>
      <c r="C120" s="310">
        <f t="shared" si="56"/>
        <v>0.52757928358426009</v>
      </c>
      <c r="D120" s="122">
        <f t="shared" ref="D120:L120" si="58">D28/$B28</f>
        <v>5420.9853624843709</v>
      </c>
      <c r="E120" s="122">
        <f t="shared" si="58"/>
        <v>887.90523008819662</v>
      </c>
      <c r="F120" s="122">
        <f t="shared" si="58"/>
        <v>532.34674578447607</v>
      </c>
      <c r="G120" s="122">
        <f t="shared" si="58"/>
        <v>527.68878599668847</v>
      </c>
      <c r="H120" s="122">
        <f t="shared" si="58"/>
        <v>1050.488800797486</v>
      </c>
      <c r="I120" s="122">
        <f t="shared" si="58"/>
        <v>557.85535653701902</v>
      </c>
      <c r="J120" s="122">
        <f t="shared" si="58"/>
        <v>624.98181265839889</v>
      </c>
      <c r="K120" s="122">
        <f t="shared" si="58"/>
        <v>672.95303815091404</v>
      </c>
      <c r="L120" s="122">
        <f t="shared" si="58"/>
        <v>10275.205132497553</v>
      </c>
    </row>
    <row r="121" spans="1:12" x14ac:dyDescent="0.2">
      <c r="A121" s="138" t="s">
        <v>1118</v>
      </c>
      <c r="B121" s="268">
        <f t="shared" si="47"/>
        <v>147965</v>
      </c>
      <c r="C121" s="310">
        <f t="shared" si="56"/>
        <v>0.50930552470570212</v>
      </c>
      <c r="D121" s="122">
        <f t="shared" ref="D121:L121" si="59">D29/$B29</f>
        <v>4992.3902983137905</v>
      </c>
      <c r="E121" s="122">
        <f t="shared" si="59"/>
        <v>854.07070036833045</v>
      </c>
      <c r="F121" s="122">
        <f t="shared" si="59"/>
        <v>530.68010299733044</v>
      </c>
      <c r="G121" s="122">
        <f t="shared" si="59"/>
        <v>521.65639029500221</v>
      </c>
      <c r="H121" s="122">
        <f t="shared" si="59"/>
        <v>1049.3581837596728</v>
      </c>
      <c r="I121" s="122">
        <f t="shared" si="59"/>
        <v>557.80471827797112</v>
      </c>
      <c r="J121" s="122">
        <f t="shared" si="59"/>
        <v>623.99420518365821</v>
      </c>
      <c r="K121" s="122">
        <f t="shared" si="59"/>
        <v>672.39400324401038</v>
      </c>
      <c r="L121" s="122">
        <f t="shared" si="59"/>
        <v>9802.3486024397662</v>
      </c>
    </row>
    <row r="122" spans="1:12" x14ac:dyDescent="0.2">
      <c r="A122" s="138">
        <v>2012</v>
      </c>
      <c r="B122" s="268">
        <f t="shared" si="47"/>
        <v>147525</v>
      </c>
      <c r="C122" s="310">
        <f t="shared" si="56"/>
        <v>0.53041364114489797</v>
      </c>
      <c r="D122" s="122">
        <f t="shared" ref="D122:L122" si="60">D30/$B30</f>
        <v>5516.4282801559066</v>
      </c>
      <c r="E122" s="122">
        <f t="shared" si="60"/>
        <v>913.8068439925438</v>
      </c>
      <c r="F122" s="122">
        <f t="shared" si="60"/>
        <v>547.87615631248946</v>
      </c>
      <c r="G122" s="122">
        <f t="shared" si="60"/>
        <v>540.89274929672945</v>
      </c>
      <c r="H122" s="122">
        <f t="shared" si="60"/>
        <v>1027.0615091679376</v>
      </c>
      <c r="I122" s="122">
        <f t="shared" si="60"/>
        <v>569.09011618369777</v>
      </c>
      <c r="J122" s="122">
        <f t="shared" si="60"/>
        <v>706.50303480765979</v>
      </c>
      <c r="K122" s="122">
        <f t="shared" si="60"/>
        <v>578.57963775631254</v>
      </c>
      <c r="L122" s="122">
        <f t="shared" si="60"/>
        <v>10400.238327673276</v>
      </c>
    </row>
    <row r="123" spans="1:12" x14ac:dyDescent="0.2">
      <c r="A123" s="138">
        <v>2013</v>
      </c>
      <c r="B123" s="268">
        <f t="shared" si="47"/>
        <v>147705</v>
      </c>
      <c r="C123" s="310">
        <f t="shared" si="56"/>
        <v>0.53417312233285741</v>
      </c>
      <c r="D123" s="122">
        <f t="shared" ref="D123:L123" si="61">D31/$B31</f>
        <v>5627.8993818760355</v>
      </c>
      <c r="E123" s="122">
        <f t="shared" si="61"/>
        <v>955.98916292610272</v>
      </c>
      <c r="F123" s="122">
        <f t="shared" si="61"/>
        <v>558.18133319792821</v>
      </c>
      <c r="G123" s="122">
        <f t="shared" si="61"/>
        <v>550.30412118750212</v>
      </c>
      <c r="H123" s="122">
        <f t="shared" si="61"/>
        <v>1018.3510083612606</v>
      </c>
      <c r="I123" s="122">
        <f t="shared" si="61"/>
        <v>572.68155532988044</v>
      </c>
      <c r="J123" s="122">
        <f t="shared" si="61"/>
        <v>693.08721160421112</v>
      </c>
      <c r="K123" s="122">
        <f t="shared" si="61"/>
        <v>559.2279729866965</v>
      </c>
      <c r="L123" s="122">
        <f t="shared" si="61"/>
        <v>10535.721747469619</v>
      </c>
    </row>
    <row r="124" spans="1:12" x14ac:dyDescent="0.2">
      <c r="A124" s="138">
        <v>2014</v>
      </c>
      <c r="B124" s="268">
        <f t="shared" si="47"/>
        <v>148567</v>
      </c>
      <c r="C124" s="310">
        <f t="shared" si="56"/>
        <v>0.52902929607766569</v>
      </c>
      <c r="D124" s="122">
        <f t="shared" ref="D124:L124" si="62">D32/$B32</f>
        <v>5752.7197630025503</v>
      </c>
      <c r="E124" s="122">
        <f t="shared" si="62"/>
        <v>991.25043589760844</v>
      </c>
      <c r="F124" s="122">
        <f t="shared" si="62"/>
        <v>589.55365007033856</v>
      </c>
      <c r="G124" s="122">
        <f t="shared" si="62"/>
        <v>567.92255601849672</v>
      </c>
      <c r="H124" s="122">
        <f t="shared" si="62"/>
        <v>1099.5437477367116</v>
      </c>
      <c r="I124" s="122">
        <f t="shared" si="62"/>
        <v>598.26736866195063</v>
      </c>
      <c r="J124" s="122">
        <f t="shared" si="62"/>
        <v>718.05649383779689</v>
      </c>
      <c r="K124" s="122">
        <f t="shared" si="62"/>
        <v>556.79032200959841</v>
      </c>
      <c r="L124" s="122">
        <f t="shared" si="62"/>
        <v>10874.10433723505</v>
      </c>
    </row>
    <row r="125" spans="1:12" x14ac:dyDescent="0.2">
      <c r="A125" s="138">
        <v>2015</v>
      </c>
      <c r="B125" s="268">
        <f t="shared" si="47"/>
        <v>149410</v>
      </c>
      <c r="C125" s="310">
        <f t="shared" ref="C125" si="63">D125/L125</f>
        <v>0.52397049228627923</v>
      </c>
      <c r="D125" s="122">
        <f t="shared" ref="D125:L125" si="64">D33/$B33</f>
        <v>5787.2573039287863</v>
      </c>
      <c r="E125" s="122">
        <f t="shared" si="64"/>
        <v>1001.2967538317382</v>
      </c>
      <c r="F125" s="122">
        <f t="shared" si="64"/>
        <v>629.25922796332236</v>
      </c>
      <c r="G125" s="122">
        <f t="shared" si="64"/>
        <v>571.97179311960383</v>
      </c>
      <c r="H125" s="122">
        <f t="shared" si="64"/>
        <v>1122.3046605314237</v>
      </c>
      <c r="I125" s="122">
        <f t="shared" si="64"/>
        <v>582.05392175891836</v>
      </c>
      <c r="J125" s="122">
        <f t="shared" si="64"/>
        <v>749.31170537447304</v>
      </c>
      <c r="K125" s="122">
        <f t="shared" si="64"/>
        <v>601.55077243825713</v>
      </c>
      <c r="L125" s="122">
        <f t="shared" si="64"/>
        <v>11045.006138946525</v>
      </c>
    </row>
    <row r="126" spans="1:12" x14ac:dyDescent="0.2">
      <c r="A126" s="138">
        <v>2016</v>
      </c>
      <c r="B126" s="268">
        <f t="shared" si="47"/>
        <v>150187</v>
      </c>
      <c r="C126" s="310">
        <f t="shared" ref="C126" si="65">D126/L126</f>
        <v>0.52497053566910856</v>
      </c>
      <c r="D126" s="122">
        <f t="shared" ref="D126:L126" si="66">D34/$B34</f>
        <v>5925.3810671363044</v>
      </c>
      <c r="E126" s="122">
        <f t="shared" si="66"/>
        <v>1023.962505077004</v>
      </c>
      <c r="F126" s="122">
        <f t="shared" si="66"/>
        <v>646.75877179782537</v>
      </c>
      <c r="G126" s="122">
        <f t="shared" si="66"/>
        <v>595.51388029589782</v>
      </c>
      <c r="H126" s="122">
        <f t="shared" si="66"/>
        <v>1122.8478873670824</v>
      </c>
      <c r="I126" s="122">
        <f t="shared" si="66"/>
        <v>583.47639109909642</v>
      </c>
      <c r="J126" s="122">
        <f t="shared" si="66"/>
        <v>766.60432906975973</v>
      </c>
      <c r="K126" s="122">
        <f t="shared" si="66"/>
        <v>622.52875521849421</v>
      </c>
      <c r="L126" s="122">
        <f t="shared" si="66"/>
        <v>11287.073587061466</v>
      </c>
    </row>
    <row r="127" spans="1:12" x14ac:dyDescent="0.2">
      <c r="A127" s="338">
        <v>2017</v>
      </c>
      <c r="B127" s="268">
        <f t="shared" si="47"/>
        <v>151433</v>
      </c>
      <c r="C127" s="310">
        <f t="shared" ref="C127" si="67">D127/L127</f>
        <v>0.52368122442530896</v>
      </c>
      <c r="D127" s="122">
        <f t="shared" ref="D127:L127" si="68">D35/$B35</f>
        <v>5989.7900652433746</v>
      </c>
      <c r="E127" s="122">
        <f t="shared" si="68"/>
        <v>1043.4789243427788</v>
      </c>
      <c r="F127" s="122">
        <f t="shared" si="68"/>
        <v>664.6603735645466</v>
      </c>
      <c r="G127" s="122">
        <f t="shared" si="68"/>
        <v>602.11547839638661</v>
      </c>
      <c r="H127" s="122">
        <f t="shared" si="68"/>
        <v>1120.3238827072039</v>
      </c>
      <c r="I127" s="122">
        <f t="shared" si="68"/>
        <v>603.60023673835963</v>
      </c>
      <c r="J127" s="122">
        <f t="shared" si="68"/>
        <v>772.96893299346914</v>
      </c>
      <c r="K127" s="122">
        <f t="shared" si="68"/>
        <v>640.91740017037239</v>
      </c>
      <c r="L127" s="122">
        <f t="shared" si="68"/>
        <v>11437.855294156494</v>
      </c>
    </row>
    <row r="128" spans="1:12" x14ac:dyDescent="0.2">
      <c r="A128" s="338">
        <v>2018</v>
      </c>
      <c r="B128" s="268">
        <f t="shared" si="47"/>
        <v>152221</v>
      </c>
      <c r="C128" s="310">
        <f t="shared" ref="C128" si="69">D128/L128</f>
        <v>0.5150920858416469</v>
      </c>
      <c r="D128" s="122">
        <f t="shared" ref="D128:L128" si="70">D36/$B36</f>
        <v>6061.9348076152428</v>
      </c>
      <c r="E128" s="122">
        <f t="shared" si="70"/>
        <v>1082.2758057035496</v>
      </c>
      <c r="F128" s="122">
        <f t="shared" si="70"/>
        <v>657.64888852392255</v>
      </c>
      <c r="G128" s="122">
        <f t="shared" si="70"/>
        <v>614.52752589984289</v>
      </c>
      <c r="H128" s="122">
        <f t="shared" si="70"/>
        <v>1115.2120939292215</v>
      </c>
      <c r="I128" s="122">
        <f t="shared" si="70"/>
        <v>622.05897996991212</v>
      </c>
      <c r="J128" s="122">
        <f t="shared" si="70"/>
        <v>793.16374803739313</v>
      </c>
      <c r="K128" s="122">
        <f t="shared" si="70"/>
        <v>821.82102843891448</v>
      </c>
      <c r="L128" s="122">
        <f t="shared" si="70"/>
        <v>11768.642878118</v>
      </c>
    </row>
    <row r="129" spans="1:12" x14ac:dyDescent="0.2">
      <c r="A129" s="338">
        <v>2019</v>
      </c>
      <c r="B129" s="268">
        <f t="shared" si="47"/>
        <v>152628</v>
      </c>
      <c r="C129" s="310">
        <f t="shared" ref="C129" si="71">D129/L129</f>
        <v>0.51250242015713698</v>
      </c>
      <c r="D129" s="122">
        <f t="shared" ref="D129:L129" si="72">D37/$B37</f>
        <v>6276.6902145084787</v>
      </c>
      <c r="E129" s="122">
        <f t="shared" si="72"/>
        <v>1108.69769511492</v>
      </c>
      <c r="F129" s="122">
        <f t="shared" si="72"/>
        <v>680.02923460963916</v>
      </c>
      <c r="G129" s="122">
        <f t="shared" si="72"/>
        <v>641.22108636685277</v>
      </c>
      <c r="H129" s="122">
        <f t="shared" si="72"/>
        <v>1155.9479130958935</v>
      </c>
      <c r="I129" s="122">
        <f t="shared" si="72"/>
        <v>649.44886396991387</v>
      </c>
      <c r="J129" s="122">
        <f t="shared" si="72"/>
        <v>802.55074311397641</v>
      </c>
      <c r="K129" s="122">
        <f t="shared" si="72"/>
        <v>932.55683360851219</v>
      </c>
      <c r="L129" s="122">
        <f t="shared" si="72"/>
        <v>12247.142584388186</v>
      </c>
    </row>
    <row r="130" spans="1:12" x14ac:dyDescent="0.2">
      <c r="A130" s="338">
        <v>2020</v>
      </c>
      <c r="B130" s="268">
        <f t="shared" si="47"/>
        <v>153614</v>
      </c>
      <c r="C130" s="310">
        <f t="shared" ref="C130" si="73">D130/L130</f>
        <v>0.50767575674285326</v>
      </c>
      <c r="D130" s="122">
        <f t="shared" ref="D130:L130" si="74">D38/$B38</f>
        <v>6377.8743065085218</v>
      </c>
      <c r="E130" s="122">
        <f t="shared" si="74"/>
        <v>1077.6469914851509</v>
      </c>
      <c r="F130" s="122">
        <f t="shared" si="74"/>
        <v>716.74092452510831</v>
      </c>
      <c r="G130" s="122">
        <f t="shared" si="74"/>
        <v>659.47348939549772</v>
      </c>
      <c r="H130" s="122">
        <f t="shared" si="74"/>
        <v>1200.3704012004114</v>
      </c>
      <c r="I130" s="122">
        <f t="shared" si="74"/>
        <v>613.46249632194974</v>
      </c>
      <c r="J130" s="122">
        <f t="shared" si="74"/>
        <v>780.04287258973795</v>
      </c>
      <c r="K130" s="122">
        <f t="shared" si="74"/>
        <v>1137.2777672607965</v>
      </c>
      <c r="L130" s="122">
        <f t="shared" si="74"/>
        <v>12562.889249287175</v>
      </c>
    </row>
    <row r="131" spans="1:12" x14ac:dyDescent="0.2">
      <c r="A131" s="338">
        <v>2021</v>
      </c>
      <c r="B131" s="268">
        <f t="shared" si="47"/>
        <v>155169</v>
      </c>
      <c r="C131" s="310">
        <f t="shared" ref="C131" si="75">D131/L131</f>
        <v>0.51471087179455866</v>
      </c>
      <c r="D131" s="122">
        <f t="shared" ref="D131:L131" si="76">D39/$B39</f>
        <v>6886.810216538096</v>
      </c>
      <c r="E131" s="122">
        <f t="shared" si="76"/>
        <v>1138.8692202050665</v>
      </c>
      <c r="F131" s="122">
        <f t="shared" si="76"/>
        <v>763.0025739032925</v>
      </c>
      <c r="G131" s="122">
        <f t="shared" si="76"/>
        <v>675.41617043352733</v>
      </c>
      <c r="H131" s="122">
        <f t="shared" si="76"/>
        <v>1341.6929235865412</v>
      </c>
      <c r="I131" s="122">
        <f t="shared" si="76"/>
        <v>650.28640482312835</v>
      </c>
      <c r="J131" s="122">
        <f t="shared" si="76"/>
        <v>813.86069814202574</v>
      </c>
      <c r="K131" s="122">
        <f t="shared" si="76"/>
        <v>1110.0205107979041</v>
      </c>
      <c r="L131" s="122">
        <f t="shared" si="76"/>
        <v>13379.958718429583</v>
      </c>
    </row>
    <row r="132" spans="1:12" x14ac:dyDescent="0.2">
      <c r="A132" s="338">
        <v>2022</v>
      </c>
      <c r="B132" s="268">
        <f t="shared" si="47"/>
        <v>153715</v>
      </c>
      <c r="C132" s="310">
        <f t="shared" ref="C132" si="77">D132/L132</f>
        <v>0.50613924467109506</v>
      </c>
      <c r="D132" s="122">
        <f t="shared" ref="D132:L133" si="78">D40/$B40</f>
        <v>7160.6741254269273</v>
      </c>
      <c r="E132" s="122">
        <f t="shared" si="78"/>
        <v>1198.353331164818</v>
      </c>
      <c r="F132" s="122">
        <f t="shared" si="78"/>
        <v>850.90824057509019</v>
      </c>
      <c r="G132" s="122">
        <f t="shared" si="78"/>
        <v>706.76737950102449</v>
      </c>
      <c r="H132" s="122">
        <f t="shared" si="78"/>
        <v>1384.6715317308006</v>
      </c>
      <c r="I132" s="122">
        <f t="shared" si="78"/>
        <v>692.52475724555188</v>
      </c>
      <c r="J132" s="122">
        <f t="shared" si="78"/>
        <v>952.43850444003522</v>
      </c>
      <c r="K132" s="122">
        <f t="shared" si="78"/>
        <v>1201.2987750056923</v>
      </c>
      <c r="L132" s="122">
        <f t="shared" si="78"/>
        <v>14147.63664508994</v>
      </c>
    </row>
    <row r="133" spans="1:12" x14ac:dyDescent="0.2">
      <c r="A133" s="338">
        <v>2023</v>
      </c>
      <c r="B133" s="268">
        <f t="shared" si="47"/>
        <v>155543</v>
      </c>
      <c r="C133" s="310">
        <f t="shared" ref="C133" si="79">D133/L133</f>
        <v>0.49126713548520878</v>
      </c>
      <c r="D133" s="122">
        <f t="shared" si="78"/>
        <v>7099.4493896864542</v>
      </c>
      <c r="E133" s="122">
        <f t="shared" si="78"/>
        <v>1198.0805257067177</v>
      </c>
      <c r="F133" s="122">
        <f t="shared" si="78"/>
        <v>878.55740367615397</v>
      </c>
      <c r="G133" s="122">
        <f t="shared" si="78"/>
        <v>714.31146454678128</v>
      </c>
      <c r="H133" s="122">
        <f t="shared" si="78"/>
        <v>1517.6716997229062</v>
      </c>
      <c r="I133" s="122">
        <f t="shared" si="78"/>
        <v>775.42812907041787</v>
      </c>
      <c r="J133" s="122">
        <f t="shared" si="78"/>
        <v>984.64365198048131</v>
      </c>
      <c r="K133" s="122">
        <f t="shared" si="78"/>
        <v>1283.1590274715031</v>
      </c>
      <c r="L133" s="122">
        <f t="shared" si="78"/>
        <v>14451.301291861415</v>
      </c>
    </row>
    <row r="134" spans="1:12" x14ac:dyDescent="0.2">
      <c r="A134" s="138"/>
      <c r="B134" s="268"/>
      <c r="C134" s="310"/>
      <c r="D134" s="122"/>
      <c r="E134" s="122"/>
      <c r="F134" s="122"/>
      <c r="G134" s="122"/>
      <c r="H134" s="122"/>
      <c r="I134" s="122"/>
      <c r="J134" s="122"/>
      <c r="K134" s="122"/>
      <c r="L134" s="122"/>
    </row>
    <row r="135" spans="1:12" x14ac:dyDescent="0.2">
      <c r="A135" s="36" t="s">
        <v>247</v>
      </c>
    </row>
    <row r="136" spans="1:12" x14ac:dyDescent="0.2">
      <c r="A136" s="22" t="str">
        <f>A44</f>
        <v>Expenditures by Object FY1991-2022 -  School Profile Definition a</v>
      </c>
    </row>
    <row r="137" spans="1:12" ht="22.5" x14ac:dyDescent="0.2">
      <c r="A137" s="141" t="s">
        <v>310</v>
      </c>
      <c r="B137" s="141" t="s">
        <v>396</v>
      </c>
      <c r="C137" s="141" t="s">
        <v>312</v>
      </c>
      <c r="D137" s="141" t="s">
        <v>89</v>
      </c>
      <c r="E137" s="141" t="s">
        <v>90</v>
      </c>
      <c r="F137" s="141" t="s">
        <v>91</v>
      </c>
      <c r="G137" s="141" t="s">
        <v>92</v>
      </c>
      <c r="H137" s="141" t="s">
        <v>93</v>
      </c>
      <c r="I137" s="141" t="s">
        <v>106</v>
      </c>
    </row>
    <row r="138" spans="1:12" x14ac:dyDescent="0.2">
      <c r="A138">
        <v>1991</v>
      </c>
      <c r="B138" s="219">
        <v>147970</v>
      </c>
      <c r="C138" s="310">
        <f>D138/I138</f>
        <v>0.72292677094128721</v>
      </c>
      <c r="D138" s="219">
        <f t="shared" ref="D138:I138" si="80">D46/$B$46</f>
        <v>3614.3882084206261</v>
      </c>
      <c r="E138" s="219">
        <f t="shared" si="80"/>
        <v>530.74364905048321</v>
      </c>
      <c r="F138" s="219">
        <f t="shared" si="80"/>
        <v>404.45675765357839</v>
      </c>
      <c r="G138" s="219">
        <f t="shared" si="80"/>
        <v>276.63531046833816</v>
      </c>
      <c r="H138" s="219">
        <f t="shared" si="80"/>
        <v>173.43628025951207</v>
      </c>
      <c r="I138" s="219">
        <f t="shared" si="80"/>
        <v>4999.6602058525377</v>
      </c>
    </row>
    <row r="139" spans="1:12" x14ac:dyDescent="0.2">
      <c r="A139">
        <v>1992</v>
      </c>
      <c r="B139" s="219">
        <v>148468</v>
      </c>
      <c r="C139" s="310">
        <f t="shared" ref="C139:C151" si="81">D139/I139</f>
        <v>0.7365960766346914</v>
      </c>
      <c r="D139" s="219">
        <f t="shared" ref="D139:I139" si="82">D47/$B$47</f>
        <v>3833.4040090793974</v>
      </c>
      <c r="E139" s="219">
        <f t="shared" si="82"/>
        <v>547.83118766333484</v>
      </c>
      <c r="F139" s="219">
        <f t="shared" si="82"/>
        <v>422.62662385160434</v>
      </c>
      <c r="G139" s="219">
        <f t="shared" si="82"/>
        <v>229.1046195813239</v>
      </c>
      <c r="H139" s="219">
        <f t="shared" si="82"/>
        <v>171.24809568391842</v>
      </c>
      <c r="I139" s="219">
        <f t="shared" si="82"/>
        <v>5204.214535859579</v>
      </c>
    </row>
    <row r="140" spans="1:12" x14ac:dyDescent="0.2">
      <c r="A140">
        <v>1993</v>
      </c>
      <c r="B140" s="219">
        <v>151071</v>
      </c>
      <c r="C140" s="310">
        <f t="shared" si="81"/>
        <v>0.74388283654015719</v>
      </c>
      <c r="D140" s="219">
        <f t="shared" ref="D140:I140" si="83">D48/$B$48</f>
        <v>3974.8195425329814</v>
      </c>
      <c r="E140" s="219">
        <f t="shared" si="83"/>
        <v>549.08472698267701</v>
      </c>
      <c r="F140" s="219">
        <f t="shared" si="83"/>
        <v>415.67567726433271</v>
      </c>
      <c r="G140" s="219">
        <f t="shared" si="83"/>
        <v>214.19212853558921</v>
      </c>
      <c r="H140" s="219">
        <f t="shared" si="83"/>
        <v>189.56876720217645</v>
      </c>
      <c r="I140" s="219">
        <f t="shared" si="83"/>
        <v>5343.3408425177558</v>
      </c>
    </row>
    <row r="141" spans="1:12" x14ac:dyDescent="0.2">
      <c r="A141">
        <v>1994</v>
      </c>
      <c r="B141" s="219">
        <v>156950</v>
      </c>
      <c r="C141" s="310">
        <f t="shared" si="81"/>
        <v>0.74137135172924062</v>
      </c>
      <c r="D141" s="219">
        <f t="shared" ref="D141:I141" si="84">D49/$B$49</f>
        <v>4016.860476011469</v>
      </c>
      <c r="E141" s="219">
        <f t="shared" si="84"/>
        <v>542.93280675374319</v>
      </c>
      <c r="F141" s="219">
        <f t="shared" si="84"/>
        <v>425.5422505256451</v>
      </c>
      <c r="G141" s="219">
        <f t="shared" si="84"/>
        <v>225.05480070086014</v>
      </c>
      <c r="H141" s="219">
        <f t="shared" si="84"/>
        <v>207.75870379101622</v>
      </c>
      <c r="I141" s="219">
        <f t="shared" si="84"/>
        <v>5418.1490377827331</v>
      </c>
    </row>
    <row r="142" spans="1:12" x14ac:dyDescent="0.2">
      <c r="A142">
        <v>1995</v>
      </c>
      <c r="B142" s="219">
        <v>162569</v>
      </c>
      <c r="C142" s="310">
        <f t="shared" si="81"/>
        <v>0.74962907729794703</v>
      </c>
      <c r="D142" s="219">
        <f t="shared" ref="D142:I142" si="85">D50/$B$50</f>
        <v>3988.2966208194675</v>
      </c>
      <c r="E142" s="219">
        <f t="shared" si="85"/>
        <v>539.99962053035938</v>
      </c>
      <c r="F142" s="219">
        <f t="shared" si="85"/>
        <v>421.24966143606713</v>
      </c>
      <c r="G142" s="219">
        <f t="shared" si="85"/>
        <v>203.59199515282739</v>
      </c>
      <c r="H142" s="219">
        <f t="shared" si="85"/>
        <v>167.22218627167541</v>
      </c>
      <c r="I142" s="219">
        <f t="shared" si="85"/>
        <v>5320.360084210397</v>
      </c>
    </row>
    <row r="143" spans="1:12" x14ac:dyDescent="0.2">
      <c r="A143">
        <v>1996</v>
      </c>
      <c r="B143" s="219">
        <v>163768</v>
      </c>
      <c r="C143" s="310">
        <f t="shared" si="81"/>
        <v>0.75129160586370858</v>
      </c>
      <c r="D143" s="219">
        <f t="shared" ref="D143:I143" si="86">D51/$B$51</f>
        <v>4075.0466470861224</v>
      </c>
      <c r="E143" s="219">
        <f t="shared" si="86"/>
        <v>559.00053636852135</v>
      </c>
      <c r="F143" s="219">
        <f t="shared" si="86"/>
        <v>413.13347021396123</v>
      </c>
      <c r="G143" s="219">
        <f t="shared" si="86"/>
        <v>213.39557929510036</v>
      </c>
      <c r="H143" s="219">
        <f t="shared" si="86"/>
        <v>163.4783089492453</v>
      </c>
      <c r="I143" s="219">
        <f t="shared" si="86"/>
        <v>5424.0545419129503</v>
      </c>
    </row>
    <row r="144" spans="1:12" x14ac:dyDescent="0.2">
      <c r="A144">
        <v>1997</v>
      </c>
      <c r="B144" s="219">
        <v>164734</v>
      </c>
      <c r="C144" s="310">
        <f t="shared" si="81"/>
        <v>0.74763831850963447</v>
      </c>
      <c r="D144" s="219">
        <f t="shared" ref="D144:I144" si="87">D52/$B$52</f>
        <v>4175.5237649786932</v>
      </c>
      <c r="E144" s="219">
        <f t="shared" si="87"/>
        <v>585.64211541029783</v>
      </c>
      <c r="F144" s="219">
        <f t="shared" si="87"/>
        <v>439.72591923950125</v>
      </c>
      <c r="G144" s="219">
        <f t="shared" si="87"/>
        <v>211.89117795961971</v>
      </c>
      <c r="H144" s="219">
        <f t="shared" si="87"/>
        <v>172.16854456274967</v>
      </c>
      <c r="I144" s="219">
        <f t="shared" si="87"/>
        <v>5584.9515221508609</v>
      </c>
    </row>
    <row r="145" spans="1:9" x14ac:dyDescent="0.2">
      <c r="A145">
        <v>1998</v>
      </c>
      <c r="B145" s="219">
        <v>163902</v>
      </c>
      <c r="C145" s="310">
        <f t="shared" si="81"/>
        <v>0.74346782072068185</v>
      </c>
      <c r="D145" s="219">
        <f t="shared" ref="D145:I145" si="88">D53/$B$53</f>
        <v>4320.4648102524679</v>
      </c>
      <c r="E145" s="219">
        <f t="shared" si="88"/>
        <v>600.99839898231869</v>
      </c>
      <c r="F145" s="219">
        <f t="shared" si="88"/>
        <v>460.07238746324015</v>
      </c>
      <c r="G145" s="219">
        <f t="shared" si="88"/>
        <v>238.98783388854312</v>
      </c>
      <c r="H145" s="219">
        <f t="shared" si="88"/>
        <v>190.70967169406109</v>
      </c>
      <c r="I145" s="219">
        <f t="shared" si="88"/>
        <v>5811.2331022806311</v>
      </c>
    </row>
    <row r="146" spans="1:9" x14ac:dyDescent="0.2">
      <c r="A146">
        <v>1999</v>
      </c>
      <c r="B146" s="219">
        <v>161753</v>
      </c>
      <c r="C146" s="310">
        <f t="shared" si="81"/>
        <v>0.74082096455657498</v>
      </c>
      <c r="D146" s="219">
        <f t="shared" ref="D146:I146" si="89">D54/$B$54</f>
        <v>4473.0588265441747</v>
      </c>
      <c r="E146" s="219">
        <f t="shared" si="89"/>
        <v>638.85418693934582</v>
      </c>
      <c r="F146" s="219">
        <f t="shared" si="89"/>
        <v>496.0033608032</v>
      </c>
      <c r="G146" s="219">
        <f t="shared" si="89"/>
        <v>238.80313762341348</v>
      </c>
      <c r="H146" s="219">
        <f t="shared" si="89"/>
        <v>191.25597818896713</v>
      </c>
      <c r="I146" s="219">
        <f t="shared" si="89"/>
        <v>6037.9754900991011</v>
      </c>
    </row>
    <row r="147" spans="1:9" x14ac:dyDescent="0.2">
      <c r="A147">
        <v>2000</v>
      </c>
      <c r="B147" s="219">
        <v>159742</v>
      </c>
      <c r="C147" s="310">
        <f t="shared" si="81"/>
        <v>0.74753151340818502</v>
      </c>
      <c r="D147" s="219">
        <f t="shared" ref="D147:I147" si="90">D55/$B$55</f>
        <v>4698.2230087891721</v>
      </c>
      <c r="E147" s="219">
        <f t="shared" si="90"/>
        <v>673.03702445192869</v>
      </c>
      <c r="F147" s="219">
        <f t="shared" si="90"/>
        <v>532.91625420991352</v>
      </c>
      <c r="G147" s="219">
        <f t="shared" si="90"/>
        <v>190.66452185398956</v>
      </c>
      <c r="H147" s="219">
        <f t="shared" si="90"/>
        <v>190.14239811696362</v>
      </c>
      <c r="I147" s="219">
        <f t="shared" si="90"/>
        <v>6284.9832074219676</v>
      </c>
    </row>
    <row r="148" spans="1:9" x14ac:dyDescent="0.2">
      <c r="A148">
        <v>2001</v>
      </c>
      <c r="B148" s="219">
        <v>157497</v>
      </c>
      <c r="C148" s="310">
        <f t="shared" si="81"/>
        <v>0.73769560817901547</v>
      </c>
      <c r="D148" s="219">
        <f t="shared" ref="D148:I148" si="91">D56/$B$56</f>
        <v>4957.7131450757797</v>
      </c>
      <c r="E148" s="219">
        <f t="shared" si="91"/>
        <v>739.44801723207422</v>
      </c>
      <c r="F148" s="219">
        <f t="shared" si="91"/>
        <v>598.27932563794855</v>
      </c>
      <c r="G148" s="219">
        <f t="shared" si="91"/>
        <v>221.26496777716403</v>
      </c>
      <c r="H148" s="219">
        <f t="shared" si="91"/>
        <v>203.83495431659014</v>
      </c>
      <c r="I148" s="219">
        <f t="shared" si="91"/>
        <v>6720.5404100395554</v>
      </c>
    </row>
    <row r="149" spans="1:9" x14ac:dyDescent="0.2">
      <c r="A149">
        <v>2002</v>
      </c>
      <c r="B149" s="219">
        <v>154459</v>
      </c>
      <c r="C149" s="310">
        <f t="shared" si="81"/>
        <v>0.73417764260523322</v>
      </c>
      <c r="D149" s="219">
        <f t="shared" ref="D149:I149" si="92">D57/$B$57</f>
        <v>5207.4218219721743</v>
      </c>
      <c r="E149" s="219">
        <f t="shared" si="92"/>
        <v>750.00285409072956</v>
      </c>
      <c r="F149" s="219">
        <f t="shared" si="92"/>
        <v>632.36773512712114</v>
      </c>
      <c r="G149" s="219">
        <f t="shared" si="92"/>
        <v>270.55851675849254</v>
      </c>
      <c r="H149" s="219">
        <f t="shared" si="92"/>
        <v>232.51259687036691</v>
      </c>
      <c r="I149" s="219">
        <f t="shared" si="92"/>
        <v>7092.8635248188848</v>
      </c>
    </row>
    <row r="150" spans="1:9" x14ac:dyDescent="0.2">
      <c r="A150">
        <v>2003</v>
      </c>
      <c r="B150" s="219">
        <v>151511</v>
      </c>
      <c r="C150" s="310">
        <f t="shared" si="81"/>
        <v>0.73292250016100025</v>
      </c>
      <c r="D150" s="219">
        <f t="shared" ref="D150:I150" si="93">D58/$B$58</f>
        <v>5547.8598118288446</v>
      </c>
      <c r="E150" s="219">
        <f t="shared" si="93"/>
        <v>820.22660143487929</v>
      </c>
      <c r="F150" s="219">
        <f t="shared" si="93"/>
        <v>702.7332419428293</v>
      </c>
      <c r="G150" s="219">
        <f t="shared" si="93"/>
        <v>279.84355749747544</v>
      </c>
      <c r="H150" s="219">
        <f t="shared" si="93"/>
        <v>218.84080799413906</v>
      </c>
      <c r="I150" s="219">
        <f t="shared" si="93"/>
        <v>7569.5040206981676</v>
      </c>
    </row>
    <row r="151" spans="1:9" x14ac:dyDescent="0.2">
      <c r="A151">
        <v>2004</v>
      </c>
      <c r="B151" s="219">
        <v>149463</v>
      </c>
      <c r="C151" s="310">
        <f t="shared" si="81"/>
        <v>0.73438546872429844</v>
      </c>
      <c r="D151" s="219">
        <f>D59/$B$59</f>
        <v>5774.8790154084945</v>
      </c>
      <c r="E151" s="219">
        <f t="shared" ref="E151:I160" si="94">E59/$B59</f>
        <v>882.43546222141936</v>
      </c>
      <c r="F151" s="219">
        <f t="shared" si="94"/>
        <v>711.36334464047968</v>
      </c>
      <c r="G151" s="219">
        <f t="shared" si="94"/>
        <v>263.34654643624174</v>
      </c>
      <c r="H151" s="219">
        <f t="shared" si="94"/>
        <v>231.52857637007151</v>
      </c>
      <c r="I151" s="219">
        <f t="shared" si="94"/>
        <v>7863.5529450767062</v>
      </c>
    </row>
    <row r="152" spans="1:9" x14ac:dyDescent="0.2">
      <c r="A152">
        <v>2005</v>
      </c>
      <c r="B152" s="219">
        <v>147652</v>
      </c>
      <c r="C152" s="310">
        <f t="shared" ref="C152:C157" si="95">D152/I152</f>
        <v>0.73951122613511588</v>
      </c>
      <c r="D152" s="219">
        <f t="shared" ref="D152:D163" si="96">D60/$B$72</f>
        <v>6039.5964166751401</v>
      </c>
      <c r="E152" s="219">
        <f t="shared" si="94"/>
        <v>920.66134911819677</v>
      </c>
      <c r="F152" s="219">
        <f t="shared" si="94"/>
        <v>700.76087435320892</v>
      </c>
      <c r="G152" s="219">
        <f t="shared" si="94"/>
        <v>261.22224568580174</v>
      </c>
      <c r="H152" s="219">
        <f t="shared" si="94"/>
        <v>249.96508851894995</v>
      </c>
      <c r="I152" s="219">
        <f t="shared" si="94"/>
        <v>8167.0111327987424</v>
      </c>
    </row>
    <row r="153" spans="1:9" x14ac:dyDescent="0.2">
      <c r="A153">
        <v>2006</v>
      </c>
      <c r="B153" s="219">
        <v>148899</v>
      </c>
      <c r="C153" s="310">
        <f t="shared" si="95"/>
        <v>0.74025537553413157</v>
      </c>
      <c r="D153" s="219">
        <f t="shared" si="96"/>
        <v>6315.7895677342822</v>
      </c>
      <c r="E153" s="219">
        <f t="shared" si="94"/>
        <v>994.93624738916992</v>
      </c>
      <c r="F153" s="219">
        <f t="shared" si="94"/>
        <v>751.0337999583611</v>
      </c>
      <c r="G153" s="219">
        <f t="shared" si="94"/>
        <v>257.68141330700672</v>
      </c>
      <c r="H153" s="219">
        <f t="shared" si="94"/>
        <v>270.74577089167832</v>
      </c>
      <c r="I153" s="219">
        <f t="shared" si="94"/>
        <v>8531.9063886258464</v>
      </c>
    </row>
    <row r="154" spans="1:9" x14ac:dyDescent="0.2">
      <c r="A154">
        <v>2007</v>
      </c>
      <c r="B154" s="268">
        <f t="shared" ref="B154:B175" si="97">B62</f>
        <v>147019</v>
      </c>
      <c r="C154" s="310">
        <f t="shared" si="95"/>
        <v>0.73247385615946925</v>
      </c>
      <c r="D154" s="219">
        <f t="shared" si="96"/>
        <v>6615.2883649550931</v>
      </c>
      <c r="E154" s="219">
        <f t="shared" si="94"/>
        <v>1034.1238979315601</v>
      </c>
      <c r="F154" s="219">
        <f t="shared" si="94"/>
        <v>806.39693767472227</v>
      </c>
      <c r="G154" s="219">
        <f t="shared" si="94"/>
        <v>272.82325617777292</v>
      </c>
      <c r="H154" s="219">
        <f t="shared" si="94"/>
        <v>280.03223243254274</v>
      </c>
      <c r="I154" s="219">
        <f t="shared" si="94"/>
        <v>9031.4327389657137</v>
      </c>
    </row>
    <row r="155" spans="1:9" x14ac:dyDescent="0.2">
      <c r="A155">
        <v>2008</v>
      </c>
      <c r="B155" s="268">
        <f t="shared" si="97"/>
        <v>150157</v>
      </c>
      <c r="C155" s="310">
        <f t="shared" si="95"/>
        <v>0.73853879956540258</v>
      </c>
      <c r="D155" s="219">
        <f t="shared" si="96"/>
        <v>6944.7197337400448</v>
      </c>
      <c r="E155" s="219">
        <f t="shared" si="94"/>
        <v>1072.3678214801841</v>
      </c>
      <c r="F155" s="219">
        <f t="shared" si="94"/>
        <v>810.52284428964356</v>
      </c>
      <c r="G155" s="219">
        <f t="shared" si="94"/>
        <v>386.0307616694526</v>
      </c>
      <c r="H155" s="219">
        <f t="shared" si="94"/>
        <v>311.41226662759647</v>
      </c>
      <c r="I155" s="219">
        <f t="shared" si="94"/>
        <v>9403.3241555172262</v>
      </c>
    </row>
    <row r="156" spans="1:9" x14ac:dyDescent="0.2">
      <c r="A156" t="s">
        <v>25</v>
      </c>
      <c r="B156" s="268">
        <f t="shared" si="97"/>
        <v>149748</v>
      </c>
      <c r="C156" s="310">
        <f t="shared" si="95"/>
        <v>0.74013260219766042</v>
      </c>
      <c r="D156" s="219">
        <f t="shared" si="96"/>
        <v>7156.7635374343345</v>
      </c>
      <c r="E156" s="219">
        <f t="shared" si="94"/>
        <v>1130.9691365494029</v>
      </c>
      <c r="F156" s="219">
        <f t="shared" si="94"/>
        <v>834.54668242647642</v>
      </c>
      <c r="G156" s="219">
        <f t="shared" si="94"/>
        <v>332.49971939525074</v>
      </c>
      <c r="H156" s="219">
        <f t="shared" si="94"/>
        <v>321.0320125143574</v>
      </c>
      <c r="I156" s="219">
        <f t="shared" si="94"/>
        <v>9669.5693666025581</v>
      </c>
    </row>
    <row r="157" spans="1:9" x14ac:dyDescent="0.2">
      <c r="A157" t="s">
        <v>26</v>
      </c>
      <c r="B157" s="268">
        <f t="shared" si="97"/>
        <v>149748</v>
      </c>
      <c r="C157" s="310">
        <f t="shared" si="95"/>
        <v>0.74016124916575077</v>
      </c>
      <c r="D157" s="219">
        <f t="shared" si="96"/>
        <v>7151.4047389256066</v>
      </c>
      <c r="E157" s="219">
        <f t="shared" si="94"/>
        <v>1130.4707094585572</v>
      </c>
      <c r="F157" s="219">
        <f t="shared" si="94"/>
        <v>833.6812711355077</v>
      </c>
      <c r="G157" s="219">
        <f t="shared" si="94"/>
        <v>331.5285153057136</v>
      </c>
      <c r="H157" s="219">
        <f t="shared" si="94"/>
        <v>321.0320125143574</v>
      </c>
      <c r="I157" s="219">
        <f t="shared" si="94"/>
        <v>9661.9550766621269</v>
      </c>
    </row>
    <row r="158" spans="1:9" x14ac:dyDescent="0.2">
      <c r="A158" s="138" t="s">
        <v>1063</v>
      </c>
      <c r="B158" s="268">
        <f t="shared" si="97"/>
        <v>148865</v>
      </c>
      <c r="C158" s="310">
        <f t="shared" ref="C158:C163" si="98">D158/I158</f>
        <v>0.72796001922881504</v>
      </c>
      <c r="D158" s="219">
        <f t="shared" si="96"/>
        <v>7497.6612578207078</v>
      </c>
      <c r="E158" s="219">
        <f t="shared" si="94"/>
        <v>1222.9429712155311</v>
      </c>
      <c r="F158" s="219">
        <f t="shared" si="94"/>
        <v>870.48382843515935</v>
      </c>
      <c r="G158" s="219">
        <f t="shared" si="94"/>
        <v>489.10296214691169</v>
      </c>
      <c r="H158" s="219">
        <f t="shared" si="94"/>
        <v>286.8496418903033</v>
      </c>
      <c r="I158" s="219">
        <f t="shared" si="94"/>
        <v>10299.550881604138</v>
      </c>
    </row>
    <row r="159" spans="1:9" x14ac:dyDescent="0.2">
      <c r="A159" s="138" t="s">
        <v>1064</v>
      </c>
      <c r="B159" s="268">
        <f t="shared" si="97"/>
        <v>148865</v>
      </c>
      <c r="C159" s="310">
        <f t="shared" si="98"/>
        <v>0.72991544607173275</v>
      </c>
      <c r="D159" s="219">
        <f t="shared" si="96"/>
        <v>7333.0099720725293</v>
      </c>
      <c r="E159" s="219">
        <f t="shared" si="94"/>
        <v>1199.3276109898229</v>
      </c>
      <c r="F159" s="219">
        <f t="shared" si="94"/>
        <v>819.08778853323474</v>
      </c>
      <c r="G159" s="219">
        <f t="shared" si="94"/>
        <v>474.11545225539925</v>
      </c>
      <c r="H159" s="219">
        <f t="shared" si="94"/>
        <v>286.8496418903033</v>
      </c>
      <c r="I159" s="219">
        <f t="shared" si="94"/>
        <v>10046.382785208076</v>
      </c>
    </row>
    <row r="160" spans="1:9" x14ac:dyDescent="0.2">
      <c r="A160" s="138" t="s">
        <v>1065</v>
      </c>
      <c r="B160" s="268">
        <f t="shared" si="97"/>
        <v>148865</v>
      </c>
      <c r="C160" s="310">
        <f t="shared" si="98"/>
        <v>0.72604137849431949</v>
      </c>
      <c r="D160" s="219">
        <f t="shared" si="96"/>
        <v>7165.5140145060159</v>
      </c>
      <c r="E160" s="219">
        <f t="shared" si="94"/>
        <v>1194.1546460215632</v>
      </c>
      <c r="F160" s="219">
        <f t="shared" si="94"/>
        <v>813.75731293453816</v>
      </c>
      <c r="G160" s="219">
        <f t="shared" si="94"/>
        <v>473.51587216605651</v>
      </c>
      <c r="H160" s="219">
        <f t="shared" si="94"/>
        <v>286.8496418903033</v>
      </c>
      <c r="I160" s="219">
        <f t="shared" si="94"/>
        <v>9869.2915125113341</v>
      </c>
    </row>
    <row r="161" spans="1:9" x14ac:dyDescent="0.2">
      <c r="A161" s="138" t="s">
        <v>1116</v>
      </c>
      <c r="B161" s="268">
        <f t="shared" si="97"/>
        <v>147965</v>
      </c>
      <c r="C161" s="310">
        <f t="shared" si="98"/>
        <v>0.72740970307717778</v>
      </c>
      <c r="D161" s="219">
        <f t="shared" si="96"/>
        <v>7629.3772941535344</v>
      </c>
      <c r="E161" s="219">
        <f t="shared" ref="E161:I170" si="99">E69/$B69</f>
        <v>1264.1509527928902</v>
      </c>
      <c r="F161" s="219">
        <f t="shared" si="99"/>
        <v>847.77550569391417</v>
      </c>
      <c r="G161" s="219">
        <f t="shared" si="99"/>
        <v>450.2578236069341</v>
      </c>
      <c r="H161" s="219">
        <f t="shared" si="99"/>
        <v>319.5440940763018</v>
      </c>
      <c r="I161" s="219">
        <f t="shared" si="99"/>
        <v>10488.418372588112</v>
      </c>
    </row>
    <row r="162" spans="1:9" x14ac:dyDescent="0.2">
      <c r="A162" s="138" t="s">
        <v>1117</v>
      </c>
      <c r="B162" s="268">
        <f t="shared" si="97"/>
        <v>147965</v>
      </c>
      <c r="C162" s="310">
        <f t="shared" si="98"/>
        <v>0.7287118567848293</v>
      </c>
      <c r="D162" s="219">
        <f t="shared" si="96"/>
        <v>7487.663810947297</v>
      </c>
      <c r="E162" s="219">
        <f t="shared" si="99"/>
        <v>1242.1533413983036</v>
      </c>
      <c r="F162" s="219">
        <f t="shared" si="99"/>
        <v>814.82620829250163</v>
      </c>
      <c r="G162" s="219">
        <f t="shared" si="99"/>
        <v>433.28613536985097</v>
      </c>
      <c r="H162" s="219">
        <f t="shared" si="99"/>
        <v>319.5415242118068</v>
      </c>
      <c r="I162" s="219">
        <f t="shared" si="99"/>
        <v>10275.205132497549</v>
      </c>
    </row>
    <row r="163" spans="1:9" x14ac:dyDescent="0.2">
      <c r="A163" s="138" t="s">
        <v>1118</v>
      </c>
      <c r="B163" s="268">
        <f t="shared" si="97"/>
        <v>147965</v>
      </c>
      <c r="C163" s="310">
        <f t="shared" si="98"/>
        <v>0.71615995976737279</v>
      </c>
      <c r="D163" s="219">
        <f t="shared" si="96"/>
        <v>7020.0495807490261</v>
      </c>
      <c r="E163" s="219">
        <f t="shared" si="99"/>
        <v>1240.8321756496468</v>
      </c>
      <c r="F163" s="219">
        <f t="shared" si="99"/>
        <v>810.3733639712093</v>
      </c>
      <c r="G163" s="219">
        <f t="shared" si="99"/>
        <v>432.4273122697935</v>
      </c>
      <c r="H163" s="219">
        <f t="shared" si="99"/>
        <v>319.5415242118068</v>
      </c>
      <c r="I163" s="219">
        <f t="shared" si="99"/>
        <v>9802.3486024397662</v>
      </c>
    </row>
    <row r="164" spans="1:9" x14ac:dyDescent="0.2">
      <c r="A164">
        <v>2012</v>
      </c>
      <c r="B164" s="268">
        <f t="shared" si="97"/>
        <v>147525</v>
      </c>
      <c r="C164" s="310">
        <f>D164/I164</f>
        <v>0.72584478204311087</v>
      </c>
      <c r="D164" s="219">
        <f t="shared" ref="D164:D175" si="100">D72/$B72</f>
        <v>7548.9587256397217</v>
      </c>
      <c r="E164" s="219">
        <f t="shared" si="99"/>
        <v>1253.3267039484833</v>
      </c>
      <c r="F164" s="219">
        <f t="shared" si="99"/>
        <v>887.7946314184037</v>
      </c>
      <c r="G164" s="219">
        <f t="shared" si="99"/>
        <v>387.53408574817826</v>
      </c>
      <c r="H164" s="219">
        <f t="shared" si="99"/>
        <v>322.62418573123199</v>
      </c>
      <c r="I164" s="219">
        <f t="shared" si="99"/>
        <v>10400.23833248602</v>
      </c>
    </row>
    <row r="165" spans="1:9" x14ac:dyDescent="0.2">
      <c r="A165">
        <v>2013</v>
      </c>
      <c r="B165" s="268">
        <f t="shared" si="97"/>
        <v>147705</v>
      </c>
      <c r="C165" s="310">
        <f>D165/I165</f>
        <v>0.73070561310352056</v>
      </c>
      <c r="D165" s="219">
        <f t="shared" si="100"/>
        <v>7698.5110253545918</v>
      </c>
      <c r="E165" s="219">
        <f t="shared" si="99"/>
        <v>1285.1535222233506</v>
      </c>
      <c r="F165" s="219">
        <f t="shared" si="99"/>
        <v>868.27202870586643</v>
      </c>
      <c r="G165" s="219">
        <f t="shared" si="99"/>
        <v>358.51124200264042</v>
      </c>
      <c r="H165" s="219">
        <f t="shared" si="99"/>
        <v>325.27393791679361</v>
      </c>
      <c r="I165" s="219">
        <f t="shared" si="99"/>
        <v>10535.721756203244</v>
      </c>
    </row>
    <row r="166" spans="1:9" x14ac:dyDescent="0.2">
      <c r="A166">
        <v>2014</v>
      </c>
      <c r="B166" s="268">
        <f t="shared" si="97"/>
        <v>148567</v>
      </c>
      <c r="C166" s="310">
        <f t="shared" ref="C166" si="101">D166/I166</f>
        <v>0.72303766121779334</v>
      </c>
      <c r="D166" s="219">
        <f t="shared" si="100"/>
        <v>7862.3869678326937</v>
      </c>
      <c r="E166" s="219">
        <f t="shared" si="99"/>
        <v>1364.6328327286676</v>
      </c>
      <c r="F166" s="219">
        <f t="shared" si="99"/>
        <v>906.24107527243586</v>
      </c>
      <c r="G166" s="219">
        <f t="shared" si="99"/>
        <v>407.40099026028651</v>
      </c>
      <c r="H166" s="219">
        <f t="shared" si="99"/>
        <v>333.44247114096669</v>
      </c>
      <c r="I166" s="219">
        <f t="shared" si="99"/>
        <v>10874.10433723505</v>
      </c>
    </row>
    <row r="167" spans="1:9" x14ac:dyDescent="0.2">
      <c r="A167">
        <v>2015</v>
      </c>
      <c r="B167" s="268">
        <f t="shared" si="97"/>
        <v>149410</v>
      </c>
      <c r="C167" s="310">
        <f t="shared" ref="C167" si="102">D167/I167</f>
        <v>0.72059441289739501</v>
      </c>
      <c r="D167" s="219">
        <f t="shared" si="100"/>
        <v>7958.9697141422948</v>
      </c>
      <c r="E167" s="219">
        <f t="shared" si="99"/>
        <v>1389.797917676193</v>
      </c>
      <c r="F167" s="219">
        <f t="shared" si="99"/>
        <v>903.85218345492285</v>
      </c>
      <c r="G167" s="219">
        <f t="shared" si="99"/>
        <v>405.4911606318185</v>
      </c>
      <c r="H167" s="219">
        <f t="shared" si="99"/>
        <v>386.89516304129575</v>
      </c>
      <c r="I167" s="219">
        <f t="shared" si="99"/>
        <v>11045.006138946525</v>
      </c>
    </row>
    <row r="168" spans="1:9" x14ac:dyDescent="0.2">
      <c r="A168">
        <v>2016</v>
      </c>
      <c r="B168" s="268">
        <f t="shared" si="97"/>
        <v>150187</v>
      </c>
      <c r="C168" s="310">
        <f t="shared" ref="C168" si="103">D168/I168</f>
        <v>0.72296478499368122</v>
      </c>
      <c r="D168" s="219">
        <f t="shared" si="100"/>
        <v>8160.1567290777502</v>
      </c>
      <c r="E168" s="219">
        <f t="shared" si="99"/>
        <v>1420.0142758028323</v>
      </c>
      <c r="F168" s="219">
        <f t="shared" si="99"/>
        <v>907.40843095607465</v>
      </c>
      <c r="G168" s="219">
        <f t="shared" si="99"/>
        <v>389.68112020347968</v>
      </c>
      <c r="H168" s="219">
        <f t="shared" si="99"/>
        <v>409.81303102132671</v>
      </c>
      <c r="I168" s="219">
        <f t="shared" si="99"/>
        <v>11287.073587061464</v>
      </c>
    </row>
    <row r="169" spans="1:9" x14ac:dyDescent="0.2">
      <c r="A169">
        <v>2017</v>
      </c>
      <c r="B169" s="268">
        <f t="shared" si="97"/>
        <v>151433</v>
      </c>
      <c r="C169" s="310">
        <f t="shared" ref="C169" si="104">D169/I169</f>
        <v>0.72296734554036468</v>
      </c>
      <c r="D169" s="219">
        <f t="shared" si="100"/>
        <v>8093.0162183275761</v>
      </c>
      <c r="E169" s="219">
        <f t="shared" si="99"/>
        <v>1408.2177170761988</v>
      </c>
      <c r="F169" s="219">
        <f t="shared" si="99"/>
        <v>899.91484187726587</v>
      </c>
      <c r="G169" s="219">
        <f t="shared" si="99"/>
        <v>386.63804778350823</v>
      </c>
      <c r="H169" s="219">
        <f t="shared" si="99"/>
        <v>406.37881498748618</v>
      </c>
      <c r="I169" s="219">
        <f t="shared" si="99"/>
        <v>11194.165640052033</v>
      </c>
    </row>
    <row r="170" spans="1:9" x14ac:dyDescent="0.2">
      <c r="A170">
        <v>2018</v>
      </c>
      <c r="B170" s="268">
        <f t="shared" si="97"/>
        <v>152221</v>
      </c>
      <c r="C170" s="310">
        <f t="shared" ref="C170" si="105">D170/I170</f>
        <v>0.72057717563408996</v>
      </c>
      <c r="D170" s="219">
        <f t="shared" si="100"/>
        <v>8480.2154461605151</v>
      </c>
      <c r="E170" s="219">
        <f t="shared" si="99"/>
        <v>1445.4580346338546</v>
      </c>
      <c r="F170" s="219">
        <f t="shared" si="99"/>
        <v>870.56186991282402</v>
      </c>
      <c r="G170" s="219">
        <f t="shared" si="99"/>
        <v>327.02726226998902</v>
      </c>
      <c r="H170" s="219">
        <f t="shared" si="99"/>
        <v>645.38026514081503</v>
      </c>
      <c r="I170" s="219">
        <f t="shared" si="99"/>
        <v>11768.642878117998</v>
      </c>
    </row>
    <row r="171" spans="1:9" x14ac:dyDescent="0.2">
      <c r="A171">
        <v>2019</v>
      </c>
      <c r="B171" s="268">
        <f t="shared" si="97"/>
        <v>152628</v>
      </c>
      <c r="C171" s="310">
        <f t="shared" ref="C171" si="106">D171/I171</f>
        <v>0.71189920324401634</v>
      </c>
      <c r="D171" s="219">
        <f t="shared" si="100"/>
        <v>8718.7310478418112</v>
      </c>
      <c r="E171" s="219">
        <f t="shared" ref="E171:I171" si="107">E79/$B79</f>
        <v>1495.6935733286161</v>
      </c>
      <c r="F171" s="219">
        <f t="shared" si="107"/>
        <v>921.6669162932094</v>
      </c>
      <c r="G171" s="219">
        <f t="shared" si="107"/>
        <v>345.57998951699557</v>
      </c>
      <c r="H171" s="219">
        <f t="shared" si="107"/>
        <v>765.47105740755308</v>
      </c>
      <c r="I171" s="219">
        <f t="shared" si="107"/>
        <v>12247.142584388184</v>
      </c>
    </row>
    <row r="172" spans="1:9" x14ac:dyDescent="0.2">
      <c r="A172">
        <v>2020</v>
      </c>
      <c r="B172" s="268">
        <f t="shared" si="97"/>
        <v>153614</v>
      </c>
      <c r="C172" s="310">
        <f t="shared" ref="C172" si="108">D172/I172</f>
        <v>0.70813600145498246</v>
      </c>
      <c r="D172" s="219">
        <f t="shared" si="100"/>
        <v>8896.2341597120048</v>
      </c>
      <c r="E172" s="219">
        <f t="shared" ref="E172:I175" si="109">E80/$B80</f>
        <v>1419.3490135664717</v>
      </c>
      <c r="F172" s="219">
        <f t="shared" si="109"/>
        <v>937.63341270977912</v>
      </c>
      <c r="G172" s="219">
        <f t="shared" si="109"/>
        <v>495.76185822906768</v>
      </c>
      <c r="H172" s="219">
        <f t="shared" si="109"/>
        <v>813.91080506985043</v>
      </c>
      <c r="I172" s="219">
        <f t="shared" si="109"/>
        <v>12562.889249287173</v>
      </c>
    </row>
    <row r="173" spans="1:9" x14ac:dyDescent="0.2">
      <c r="A173">
        <v>2021</v>
      </c>
      <c r="B173" s="268">
        <f t="shared" si="97"/>
        <v>155169</v>
      </c>
      <c r="C173" s="310">
        <f t="shared" ref="C173" si="110">D173/I173</f>
        <v>0.69399192164302792</v>
      </c>
      <c r="D173" s="219">
        <f t="shared" si="100"/>
        <v>9285.5832625073326</v>
      </c>
      <c r="E173" s="219">
        <f t="shared" si="109"/>
        <v>1452.640058967964</v>
      </c>
      <c r="F173" s="219">
        <f t="shared" si="109"/>
        <v>1305.0454649446733</v>
      </c>
      <c r="G173" s="219">
        <f t="shared" si="109"/>
        <v>495.03035825454833</v>
      </c>
      <c r="H173" s="219">
        <f t="shared" si="109"/>
        <v>841.65957375506696</v>
      </c>
      <c r="I173" s="219">
        <f t="shared" si="109"/>
        <v>13379.958718429585</v>
      </c>
    </row>
    <row r="174" spans="1:9" x14ac:dyDescent="0.2">
      <c r="A174">
        <v>2022</v>
      </c>
      <c r="B174" s="268">
        <f t="shared" si="97"/>
        <v>153715</v>
      </c>
      <c r="C174" s="310">
        <f t="shared" ref="C174" si="111">D174/I174</f>
        <v>0.69132294308687037</v>
      </c>
      <c r="D174" s="219">
        <f t="shared" si="100"/>
        <v>9780.5858032072319</v>
      </c>
      <c r="E174" s="219">
        <f t="shared" si="109"/>
        <v>1657.7918310509713</v>
      </c>
      <c r="F174" s="219">
        <f t="shared" si="109"/>
        <v>1270.8209166314282</v>
      </c>
      <c r="G174" s="219">
        <f t="shared" si="109"/>
        <v>571.43222021273129</v>
      </c>
      <c r="H174" s="219">
        <f t="shared" si="109"/>
        <v>867.00587398757432</v>
      </c>
      <c r="I174" s="219">
        <f t="shared" si="109"/>
        <v>14147.636645089937</v>
      </c>
    </row>
    <row r="175" spans="1:9" x14ac:dyDescent="0.2">
      <c r="A175">
        <v>2023</v>
      </c>
      <c r="B175" s="268">
        <f t="shared" si="97"/>
        <v>155543</v>
      </c>
      <c r="C175" s="310">
        <f t="shared" ref="C175" si="112">D175/I175</f>
        <v>0.68279105084461378</v>
      </c>
      <c r="D175" s="219">
        <f t="shared" si="100"/>
        <v>9867.2191951421792</v>
      </c>
      <c r="E175" s="219">
        <f t="shared" si="109"/>
        <v>1726.1895241830232</v>
      </c>
      <c r="F175" s="219">
        <f t="shared" si="109"/>
        <v>1222.0549217258249</v>
      </c>
      <c r="G175" s="219">
        <f t="shared" si="109"/>
        <v>778.15712266061473</v>
      </c>
      <c r="H175" s="219">
        <f t="shared" si="109"/>
        <v>857.68052814977204</v>
      </c>
      <c r="I175" s="219">
        <f t="shared" si="109"/>
        <v>14451.301291861413</v>
      </c>
    </row>
  </sheetData>
  <phoneticPr fontId="7" type="noConversion"/>
  <pageMargins left="0.25" right="0.25" top="1" bottom="1" header="0.5" footer="0.5"/>
  <pageSetup scale="74"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AH45"/>
  <sheetViews>
    <sheetView zoomScaleNormal="100" workbookViewId="0">
      <pane xSplit="1" ySplit="5" topLeftCell="V6" activePane="bottomRight" state="frozenSplit"/>
      <selection activeCell="G28" sqref="G28"/>
      <selection pane="topRight" activeCell="G28" sqref="G28"/>
      <selection pane="bottomLeft" activeCell="G28" sqref="G28"/>
      <selection pane="bottomRight" activeCell="AB14" sqref="AB14"/>
    </sheetView>
  </sheetViews>
  <sheetFormatPr defaultColWidth="11.28515625" defaultRowHeight="12.75" x14ac:dyDescent="0.2"/>
  <cols>
    <col min="1" max="1" width="44" style="132" customWidth="1"/>
    <col min="2" max="4" width="11.28515625" style="132" customWidth="1"/>
    <col min="5" max="16" width="11.28515625" customWidth="1"/>
    <col min="17" max="17" width="12.28515625" customWidth="1"/>
    <col min="18" max="19" width="12" bestFit="1" customWidth="1"/>
    <col min="20" max="20" width="12.7109375" bestFit="1" customWidth="1"/>
    <col min="21" max="21" width="12.85546875" customWidth="1"/>
    <col min="22" max="23" width="12.7109375" bestFit="1" customWidth="1"/>
    <col min="24" max="24" width="12" bestFit="1" customWidth="1"/>
    <col min="25" max="25" width="12.85546875" bestFit="1" customWidth="1"/>
    <col min="26" max="34" width="12" bestFit="1" customWidth="1"/>
  </cols>
  <sheetData>
    <row r="1" spans="1:34" x14ac:dyDescent="0.2">
      <c r="A1" s="36" t="s">
        <v>200</v>
      </c>
      <c r="B1" s="36"/>
      <c r="C1" s="36"/>
      <c r="D1" s="36"/>
      <c r="E1" s="1"/>
      <c r="F1" s="1"/>
      <c r="G1" s="1"/>
      <c r="H1" s="1"/>
      <c r="I1" s="1"/>
      <c r="J1" s="1"/>
      <c r="K1" s="1"/>
      <c r="L1" s="1"/>
      <c r="M1" s="1"/>
      <c r="N1" s="1"/>
    </row>
    <row r="2" spans="1:34" x14ac:dyDescent="0.2">
      <c r="A2" s="36" t="s">
        <v>495</v>
      </c>
      <c r="B2" s="36"/>
      <c r="C2" s="36"/>
      <c r="D2" s="36"/>
      <c r="E2" s="1"/>
      <c r="F2" s="1"/>
      <c r="G2" s="1"/>
      <c r="H2" s="1"/>
      <c r="I2" s="1"/>
      <c r="J2" s="1"/>
      <c r="K2" s="1"/>
      <c r="L2" s="1"/>
      <c r="M2" s="1"/>
      <c r="N2" s="1"/>
    </row>
    <row r="3" spans="1:34" x14ac:dyDescent="0.2">
      <c r="A3" s="270"/>
      <c r="B3" s="36"/>
      <c r="C3" s="36"/>
      <c r="D3" s="36"/>
      <c r="E3" s="1"/>
      <c r="F3" s="1"/>
      <c r="G3" s="1"/>
      <c r="H3" s="1"/>
      <c r="I3" s="1"/>
      <c r="J3" s="1"/>
      <c r="K3" s="1"/>
      <c r="L3" s="1"/>
      <c r="M3" s="1"/>
      <c r="N3" s="1"/>
    </row>
    <row r="4" spans="1:34" x14ac:dyDescent="0.2">
      <c r="A4" s="36"/>
      <c r="B4" s="36"/>
      <c r="C4" s="36"/>
      <c r="D4" s="36"/>
      <c r="E4" s="1"/>
      <c r="F4" s="1"/>
      <c r="G4" s="1"/>
      <c r="H4" s="1"/>
      <c r="I4" s="1"/>
      <c r="J4" s="1"/>
      <c r="K4" s="1"/>
      <c r="L4" s="1"/>
      <c r="M4" s="1"/>
      <c r="N4" s="1"/>
    </row>
    <row r="5" spans="1:34" s="132" customFormat="1" x14ac:dyDescent="0.2">
      <c r="A5" s="36"/>
      <c r="B5" s="185">
        <v>1991</v>
      </c>
      <c r="C5" s="185">
        <v>1992</v>
      </c>
      <c r="D5" s="185">
        <v>1993</v>
      </c>
      <c r="E5" s="185">
        <v>1994</v>
      </c>
      <c r="F5" s="185">
        <v>1995</v>
      </c>
      <c r="G5" s="185">
        <v>1996</v>
      </c>
      <c r="H5" s="185">
        <v>1997</v>
      </c>
      <c r="I5" s="185">
        <v>1998</v>
      </c>
      <c r="J5" s="185">
        <v>1999</v>
      </c>
      <c r="K5" s="185">
        <v>2000</v>
      </c>
      <c r="L5" s="185">
        <v>2001</v>
      </c>
      <c r="M5" s="185">
        <v>2002</v>
      </c>
      <c r="N5" s="185">
        <v>2003</v>
      </c>
      <c r="O5" s="185">
        <v>2004</v>
      </c>
      <c r="P5" s="185">
        <v>2005</v>
      </c>
      <c r="Q5" s="185">
        <v>2006</v>
      </c>
      <c r="R5" s="185">
        <v>2007</v>
      </c>
      <c r="S5" s="185">
        <v>2008</v>
      </c>
      <c r="T5" s="185">
        <v>2009</v>
      </c>
      <c r="U5" s="185">
        <v>2010</v>
      </c>
      <c r="V5" s="185">
        <v>2011</v>
      </c>
      <c r="W5" s="185">
        <v>2012</v>
      </c>
      <c r="X5" s="185">
        <v>2013</v>
      </c>
      <c r="Y5" s="185">
        <v>2014</v>
      </c>
      <c r="Z5" s="185">
        <v>2015</v>
      </c>
      <c r="AA5" s="185">
        <v>2016</v>
      </c>
      <c r="AB5" s="185">
        <v>2017</v>
      </c>
      <c r="AC5" s="185">
        <v>2018</v>
      </c>
      <c r="AD5" s="185">
        <v>2019</v>
      </c>
      <c r="AE5" s="185">
        <v>2020</v>
      </c>
      <c r="AF5" s="185">
        <v>2021</v>
      </c>
      <c r="AG5" s="185">
        <v>2022</v>
      </c>
      <c r="AH5" s="185">
        <v>2023</v>
      </c>
    </row>
    <row r="6" spans="1:34" x14ac:dyDescent="0.2">
      <c r="A6" s="36" t="s">
        <v>116</v>
      </c>
      <c r="B6" s="6">
        <f>'91rev'!C25</f>
        <v>128210010.7</v>
      </c>
      <c r="C6" s="6">
        <f>'92rev'!C25</f>
        <v>142242637.25999999</v>
      </c>
      <c r="D6" s="6">
        <f>'93rev'!C25</f>
        <v>145865026.81</v>
      </c>
      <c r="E6" s="6">
        <f>'94rev'!C24</f>
        <v>179728666.98999998</v>
      </c>
      <c r="F6" s="6">
        <f>'95rev'!C24</f>
        <v>197003646.87</v>
      </c>
      <c r="G6" s="6">
        <f>'96rev'!C24</f>
        <v>207815344.93000001</v>
      </c>
      <c r="H6" s="6">
        <f>'97rev'!C25</f>
        <v>238014464.88999999</v>
      </c>
      <c r="I6" s="6">
        <f>'98rev'!C26</f>
        <v>242799649.31</v>
      </c>
      <c r="J6" s="6">
        <f>'99rev'!C25</f>
        <v>250716725.57999995</v>
      </c>
      <c r="K6" s="6">
        <f>'00rev'!C26</f>
        <v>257096131.19</v>
      </c>
      <c r="L6" s="6">
        <f>'01Rev'!C25</f>
        <v>240602497.61000001</v>
      </c>
      <c r="M6" s="6">
        <f>'02Rev'!C25</f>
        <v>264224798.69000003</v>
      </c>
      <c r="N6" s="6">
        <f>'03Rev'!C25</f>
        <v>279512023.09000003</v>
      </c>
      <c r="O6" s="6">
        <f>'04Rev'!C25</f>
        <v>312648420.91000003</v>
      </c>
      <c r="P6" s="6">
        <f>'05Rev'!C25</f>
        <v>317060801.52999997</v>
      </c>
      <c r="Q6" s="212">
        <v>334442170.98000002</v>
      </c>
      <c r="R6" s="212">
        <f>'07Rev'!$C25</f>
        <v>336467830.93000001</v>
      </c>
      <c r="S6" s="212">
        <f>'08Rev'!$C25</f>
        <v>353055120.31000006</v>
      </c>
      <c r="T6" s="212">
        <f>'09RevWith&amp;NO_ARRA'!$C25</f>
        <v>380839824.39999998</v>
      </c>
      <c r="U6" s="212">
        <f>'10RevWith&amp;NO_ARRA'!$C25</f>
        <v>369671267.69999999</v>
      </c>
      <c r="V6" s="212">
        <f>'11RevWith&amp;NO_ARRA'!$C25</f>
        <v>396491500.07000005</v>
      </c>
      <c r="W6" s="212">
        <f>'12Rev'!$C$25</f>
        <v>397182843</v>
      </c>
      <c r="X6" s="221">
        <f>'13Rev'!$C$25</f>
        <v>403845723</v>
      </c>
      <c r="Y6" s="221">
        <f>'14Rev'!$C$25</f>
        <v>421741311.78999996</v>
      </c>
      <c r="Z6" s="221">
        <f>'15Rev'!$C$25</f>
        <v>448700670.14000005</v>
      </c>
      <c r="AA6" s="221">
        <f>'16Rev'!$C$25</f>
        <v>453769171.65000004</v>
      </c>
      <c r="AB6" s="221">
        <f>'17Rev'!$C$25</f>
        <v>471213999.33999997</v>
      </c>
      <c r="AC6" s="221">
        <f>'18Rev'!$C$25</f>
        <v>557948164.95000005</v>
      </c>
      <c r="AD6" s="221">
        <f>'19Rev'!$C$25</f>
        <v>593124941.18000007</v>
      </c>
      <c r="AE6" s="221">
        <f>'20Rev'!$C$25</f>
        <v>602090229.83000004</v>
      </c>
      <c r="AF6" s="221">
        <f>'21Rev'!$C$25</f>
        <v>624922540.88999999</v>
      </c>
      <c r="AG6" s="221">
        <f>'22Rev'!$C$25</f>
        <v>630569337.28999996</v>
      </c>
      <c r="AH6" s="221">
        <f>'23Rev'!$C$25</f>
        <v>641893131.48999989</v>
      </c>
    </row>
    <row r="7" spans="1:34" x14ac:dyDescent="0.2">
      <c r="A7" s="36" t="s">
        <v>190</v>
      </c>
      <c r="B7" s="6">
        <f>'91rev'!D25</f>
        <v>166391216.68000001</v>
      </c>
      <c r="C7" s="6">
        <f>'92rev'!D25</f>
        <v>176343283.19</v>
      </c>
      <c r="D7" s="6">
        <f>'93rev'!D25</f>
        <v>66095857.140000001</v>
      </c>
      <c r="E7" s="6">
        <f>'94rev'!D24</f>
        <v>65389182.279999994</v>
      </c>
      <c r="F7" s="6">
        <f>'95rev'!D24</f>
        <v>70987546.989999995</v>
      </c>
      <c r="G7" s="6">
        <f>'96rev'!D24</f>
        <v>74971884.25999999</v>
      </c>
      <c r="H7" s="6">
        <f>'97rev'!D25</f>
        <v>84907569.279999986</v>
      </c>
      <c r="I7" s="6">
        <f>'98rev'!D26</f>
        <v>87629536.430000007</v>
      </c>
      <c r="J7" s="6">
        <f>'99rev'!D25</f>
        <v>92310511.950000018</v>
      </c>
      <c r="K7" s="6">
        <f>'00rev'!D26</f>
        <v>106175351.46000001</v>
      </c>
      <c r="L7" s="6">
        <f>'01Rev'!D25</f>
        <v>131879503.09999999</v>
      </c>
      <c r="M7" s="6">
        <f>'02Rev'!D25</f>
        <v>123958020.16</v>
      </c>
      <c r="N7" s="6">
        <f>'03Rev'!D25</f>
        <v>109515862.68000001</v>
      </c>
      <c r="O7" s="6">
        <f>'04Rev'!D25</f>
        <v>112309283.71000001</v>
      </c>
      <c r="P7" s="6">
        <f>'05Rev'!D25</f>
        <v>117317767.11</v>
      </c>
      <c r="Q7" s="212">
        <v>141586965.44</v>
      </c>
      <c r="R7" s="212">
        <f>'07Rev'!$D25</f>
        <v>158382532.27000001</v>
      </c>
      <c r="S7" s="212">
        <f>'08Rev'!$D25</f>
        <v>167796126.63999999</v>
      </c>
      <c r="T7" s="212">
        <f>'09RevWith&amp;NO_ARRA'!$D25</f>
        <v>175864962</v>
      </c>
      <c r="U7" s="212">
        <f>'10RevWith&amp;NO_ARRA'!$D25</f>
        <v>169259132.82999998</v>
      </c>
      <c r="V7" s="212">
        <f>'11RevWith&amp;NO_ARRA'!$D25</f>
        <v>156061871.63999999</v>
      </c>
      <c r="W7" s="212">
        <f>'12Rev'!$D$25</f>
        <v>141788035</v>
      </c>
      <c r="X7" s="221">
        <f>'13Rev'!$D$25</f>
        <v>148006010</v>
      </c>
      <c r="Y7" s="221">
        <f>'14Rev'!$D$25</f>
        <v>157202069.38000003</v>
      </c>
      <c r="Z7" s="221">
        <f>'15Rev'!$D$25</f>
        <v>176410000.46000001</v>
      </c>
      <c r="AA7" s="221">
        <f>'16Rev'!$D$25</f>
        <v>147103283.07000002</v>
      </c>
      <c r="AB7" s="221">
        <f>'17Rev'!$D$25</f>
        <v>146659158.86000001</v>
      </c>
      <c r="AC7" s="221">
        <f>'18Rev'!$D$25</f>
        <v>89006412.019999996</v>
      </c>
      <c r="AD7" s="221">
        <f>'19Rev'!$D$25</f>
        <v>94284765.209999993</v>
      </c>
      <c r="AE7" s="221">
        <f>'20Rev'!$D$25</f>
        <v>88366681.230000004</v>
      </c>
      <c r="AF7" s="221">
        <f>'21Rev'!$D$25</f>
        <v>64263716.909999996</v>
      </c>
      <c r="AG7" s="221">
        <f>'22Rev'!$D$25</f>
        <v>77999743.769999996</v>
      </c>
      <c r="AH7" s="221">
        <f>'23Rev'!$D$25</f>
        <v>121198924.28999999</v>
      </c>
    </row>
    <row r="8" spans="1:34" x14ac:dyDescent="0.2">
      <c r="A8" s="36" t="s">
        <v>154</v>
      </c>
      <c r="B8" s="6">
        <f>'91rev'!E25</f>
        <v>64565332.25</v>
      </c>
      <c r="C8" s="6">
        <f>'92rev'!E25</f>
        <v>73002490.719999999</v>
      </c>
      <c r="D8" s="6">
        <f>'93rev'!E25</f>
        <v>77292376.519999996</v>
      </c>
      <c r="E8" s="6">
        <f>'94rev'!E24</f>
        <v>82977422.99000001</v>
      </c>
      <c r="F8" s="6">
        <f>'95rev'!E24</f>
        <v>86961509.219999999</v>
      </c>
      <c r="G8" s="6">
        <f>'96rev'!E24</f>
        <v>86905686.469999999</v>
      </c>
      <c r="H8" s="6">
        <f>'97rev'!E25</f>
        <v>89606863.860000014</v>
      </c>
      <c r="I8" s="6">
        <f>'98rev'!E26</f>
        <v>91935004.489999995</v>
      </c>
      <c r="J8" s="6">
        <f>'99rev'!E25</f>
        <v>94435337.089999989</v>
      </c>
      <c r="K8" s="6">
        <f>'00rev'!E26</f>
        <v>97633896.310000002</v>
      </c>
      <c r="L8" s="6">
        <f>'01Rev'!E25</f>
        <v>101535290.97999999</v>
      </c>
      <c r="M8" s="6">
        <f>'02Rev'!E25</f>
        <v>102005158.5</v>
      </c>
      <c r="N8" s="6">
        <f>'03Rev'!E25</f>
        <v>108373452.54999998</v>
      </c>
      <c r="O8" s="6">
        <f>'04Rev'!E25</f>
        <v>111907581.57000002</v>
      </c>
      <c r="P8" s="6">
        <f>'05Rev'!E25</f>
        <v>107943172.09999999</v>
      </c>
      <c r="Q8" s="212">
        <v>109157022.62</v>
      </c>
      <c r="R8" s="212">
        <f>'07Rev'!$E25</f>
        <v>113465371.19999999</v>
      </c>
      <c r="S8" s="212">
        <f>'08Rev'!$E25</f>
        <v>120333890.44000001</v>
      </c>
      <c r="T8" s="212">
        <f>'09RevWith&amp;NO_ARRA'!$E25</f>
        <v>130083263.31999999</v>
      </c>
      <c r="U8" s="212">
        <f>'10RevWith&amp;NO_ARRA'!$E25</f>
        <v>128127652.07000001</v>
      </c>
      <c r="V8" s="212">
        <f>'11RevWith&amp;NO_ARRA'!$E25</f>
        <v>133169673.94999999</v>
      </c>
      <c r="W8" s="212">
        <f>'12Rev'!$E$25</f>
        <v>132317038</v>
      </c>
      <c r="X8" s="221">
        <f>'13Rev'!$E$25</f>
        <v>136298122</v>
      </c>
      <c r="Y8" s="221">
        <f>'14Rev'!$E$25</f>
        <v>154637092.06999999</v>
      </c>
      <c r="Z8" s="221">
        <f>'15Rev'!$E$25</f>
        <v>156906043.88</v>
      </c>
      <c r="AA8" s="221">
        <f>'16Rev'!$E$25</f>
        <v>151807635</v>
      </c>
      <c r="AB8" s="221">
        <f>'17Rev'!$E$25</f>
        <v>160692867.45999998</v>
      </c>
      <c r="AC8" s="221">
        <f>'18Rev'!$E$25</f>
        <v>164317384.46000004</v>
      </c>
      <c r="AD8" s="221">
        <f>'19Rev'!$E$25</f>
        <v>169830201.00999999</v>
      </c>
      <c r="AE8" s="221">
        <f>'20Rev'!$E$25</f>
        <v>173538044.68000001</v>
      </c>
      <c r="AF8" s="221">
        <f>'21Rev'!$E$25</f>
        <v>180015247.53999996</v>
      </c>
      <c r="AG8" s="221">
        <f>'22Rev'!$E$25</f>
        <v>178003398.80000001</v>
      </c>
      <c r="AH8" s="221">
        <f>'23Rev'!$E$25</f>
        <v>184306716.61000001</v>
      </c>
    </row>
    <row r="9" spans="1:34" x14ac:dyDescent="0.2">
      <c r="A9" s="36" t="s">
        <v>1040</v>
      </c>
      <c r="B9" s="6">
        <f>'91rev'!F25</f>
        <v>323379287.86000001</v>
      </c>
      <c r="C9" s="6">
        <f>'92rev'!F25</f>
        <v>316104333.05000001</v>
      </c>
      <c r="D9" s="6">
        <f>'93rev'!F25</f>
        <v>428178241.72000003</v>
      </c>
      <c r="E9" s="6">
        <f>'94rev'!F24</f>
        <v>427034998.62</v>
      </c>
      <c r="F9" s="6">
        <f>'95rev'!F24</f>
        <v>430592120.20000005</v>
      </c>
      <c r="G9" s="6">
        <f>'96rev'!F24</f>
        <v>434057749.34000003</v>
      </c>
      <c r="H9" s="6">
        <f>'97rev'!F25</f>
        <v>438418384.89999998</v>
      </c>
      <c r="I9" s="6">
        <f>'98rev'!F26</f>
        <v>453083562.92000002</v>
      </c>
      <c r="J9" s="6">
        <f>'99rev'!F25</f>
        <v>441870013.81999999</v>
      </c>
      <c r="K9" s="6">
        <f>'00rev'!F26</f>
        <v>455868102.56999999</v>
      </c>
      <c r="L9" s="6">
        <f>'01Rev'!F25</f>
        <v>480231512.66999996</v>
      </c>
      <c r="M9" s="6">
        <f>'02Rev'!F25</f>
        <v>470236468.03999996</v>
      </c>
      <c r="N9" s="6">
        <f>'03Rev'!F25</f>
        <v>478962486.05999994</v>
      </c>
      <c r="O9" s="6">
        <f>'04Rev'!F25</f>
        <v>484245900.85000002</v>
      </c>
      <c r="P9" s="6">
        <f>'05Rev'!F25</f>
        <v>498171690.31999993</v>
      </c>
      <c r="Q9" s="212">
        <v>530807956.63</v>
      </c>
      <c r="R9" s="212">
        <f>'07Rev'!$F25</f>
        <v>572844442.28999996</v>
      </c>
      <c r="S9" s="212">
        <f>'08Rev'!$F25</f>
        <v>617955476.8900001</v>
      </c>
      <c r="T9" s="212">
        <f>'09RevWith&amp;NO_ARRA'!$F25</f>
        <v>638538501.12</v>
      </c>
      <c r="U9" s="212">
        <f>'10RevWith&amp;NO_ARRA'!$F25</f>
        <v>648054488.5200001</v>
      </c>
      <c r="V9" s="212">
        <f>'11RevWith&amp;NO_ARRA'!$F25</f>
        <v>671392234.20999992</v>
      </c>
      <c r="W9" s="212">
        <f>'12Rev'!$F$25</f>
        <v>667099342</v>
      </c>
      <c r="X9" s="221">
        <f>'13Rev'!$F$25</f>
        <v>686141213</v>
      </c>
      <c r="Y9" s="221">
        <f>'14Rev'!$F$25</f>
        <v>711646008.04000008</v>
      </c>
      <c r="Z9" s="221">
        <f>'15Rev'!$F$25</f>
        <v>726507085.49000013</v>
      </c>
      <c r="AA9" s="221">
        <f>'16Rev'!$F$25</f>
        <v>743066189.99999988</v>
      </c>
      <c r="AB9" s="221">
        <f>'17Rev'!$F$25</f>
        <v>759703581.37000012</v>
      </c>
      <c r="AC9" s="221">
        <f>'18Rev'!$F$25</f>
        <v>793964574.46000004</v>
      </c>
      <c r="AD9" s="221">
        <f>'19Rev'!$F$25</f>
        <v>834007177.87000012</v>
      </c>
      <c r="AE9" s="221">
        <f>'20Rev'!$F$25</f>
        <v>848672943.82000005</v>
      </c>
      <c r="AF9" s="221">
        <f>'21Rev'!$F$25</f>
        <v>875917085.38000011</v>
      </c>
      <c r="AG9" s="221">
        <f>'22Rev'!$F$25</f>
        <v>897833520.44000006</v>
      </c>
      <c r="AH9" s="221">
        <f>'23Rev'!$F$25</f>
        <v>929777275.38999999</v>
      </c>
    </row>
    <row r="10" spans="1:34" x14ac:dyDescent="0.2">
      <c r="A10" s="36" t="s">
        <v>156</v>
      </c>
      <c r="B10" s="6">
        <f>'91rev'!G25</f>
        <v>62292449.030000001</v>
      </c>
      <c r="C10" s="6">
        <f>'92rev'!G25</f>
        <v>67504393.400000006</v>
      </c>
      <c r="D10" s="6">
        <f>'93rev'!G25</f>
        <v>71248887.780000001</v>
      </c>
      <c r="E10" s="6">
        <f>'94rev'!G24</f>
        <v>78593986.930000007</v>
      </c>
      <c r="F10" s="6">
        <f>'95rev'!G24</f>
        <v>82291326.879999995</v>
      </c>
      <c r="G10" s="6">
        <f>'96rev'!G24</f>
        <v>85761667.019999996</v>
      </c>
      <c r="H10" s="6">
        <f>'97rev'!G25</f>
        <v>87510909.079999998</v>
      </c>
      <c r="I10" s="6">
        <f>'98rev'!G26</f>
        <v>98565658.539999992</v>
      </c>
      <c r="J10" s="6">
        <f>'99rev'!G25</f>
        <v>106952450.70000002</v>
      </c>
      <c r="K10" s="6">
        <f>'00rev'!G26</f>
        <v>124778384.16</v>
      </c>
      <c r="L10" s="6">
        <f>'01Rev'!G25</f>
        <v>123577326.86999999</v>
      </c>
      <c r="M10" s="6">
        <f>'02Rev'!G25</f>
        <v>143671140.20000002</v>
      </c>
      <c r="N10" s="6">
        <f>'03Rev'!G25</f>
        <v>163400822.83999997</v>
      </c>
      <c r="O10" s="6">
        <f>'04Rev'!G25</f>
        <v>176465570.87</v>
      </c>
      <c r="P10" s="6">
        <f>'05Rev'!G25</f>
        <v>177067526.17000002</v>
      </c>
      <c r="Q10" s="212">
        <v>175080234.78999999</v>
      </c>
      <c r="R10" s="212">
        <f>'07Rev'!$G25</f>
        <v>174602558.74000001</v>
      </c>
      <c r="S10" s="212">
        <f>'08Rev'!$G25</f>
        <v>172184563.65000001</v>
      </c>
      <c r="T10" s="212">
        <f>'09RevWith&amp;NO_ARRA'!$G25</f>
        <v>179962850.72999999</v>
      </c>
      <c r="U10" s="212">
        <f>'10RevWith&amp;NO_ARRA'!$G25</f>
        <v>180019195.23999998</v>
      </c>
      <c r="V10" s="212">
        <f>'11RevWith&amp;NO_ARRA'!$G25</f>
        <v>179794782.62999997</v>
      </c>
      <c r="W10" s="212">
        <f>'12Rev'!$G$25</f>
        <v>193094602</v>
      </c>
      <c r="X10" s="221">
        <f>'13Rev'!$G$25</f>
        <v>196542610</v>
      </c>
      <c r="Y10" s="221">
        <f>'14Rev'!$G$25</f>
        <v>188671421.27000001</v>
      </c>
      <c r="Z10" s="221">
        <f>'15Rev'!$G$25</f>
        <v>200983584.12</v>
      </c>
      <c r="AA10" s="221">
        <f>'16Rev'!$G$25</f>
        <v>202995045.89000002</v>
      </c>
      <c r="AB10" s="221">
        <f>'17Rev'!$G$25</f>
        <v>206991153.38</v>
      </c>
      <c r="AC10" s="221">
        <f>'18Rev'!$G$25</f>
        <v>226753250.94999999</v>
      </c>
      <c r="AD10" s="221">
        <f>'19Rev'!$G$25</f>
        <v>248944255.33999997</v>
      </c>
      <c r="AE10" s="221">
        <f>'20Rev'!$G$25</f>
        <v>232601998.60999998</v>
      </c>
      <c r="AF10" s="221">
        <f>'21Rev'!$G$25</f>
        <v>269755324.42000002</v>
      </c>
      <c r="AG10" s="221">
        <f>'22Rev'!$G$25</f>
        <v>297066077.13</v>
      </c>
      <c r="AH10" s="221">
        <f>'23Rev'!$G$25</f>
        <v>278909482.94999999</v>
      </c>
    </row>
    <row r="11" spans="1:34" x14ac:dyDescent="0.2">
      <c r="A11" s="36" t="s">
        <v>0</v>
      </c>
      <c r="B11" s="6"/>
      <c r="C11" s="6"/>
      <c r="D11" s="6"/>
      <c r="E11" s="6"/>
      <c r="F11" s="6"/>
      <c r="G11" s="6"/>
      <c r="H11" s="6"/>
      <c r="I11" s="6"/>
      <c r="J11" s="6"/>
      <c r="K11" s="6"/>
      <c r="L11" s="6"/>
      <c r="M11" s="6"/>
      <c r="N11" s="6"/>
      <c r="O11" s="6"/>
      <c r="P11" s="6"/>
      <c r="Q11" s="212"/>
      <c r="R11" s="212"/>
      <c r="S11" s="212"/>
      <c r="T11" s="212">
        <f>'09RevWith&amp;NO_ARRA'!$H25</f>
        <v>2720942.7699999996</v>
      </c>
      <c r="U11" s="212">
        <f>'10RevWith&amp;NO_ARRA'!$H25</f>
        <v>32609306.840000004</v>
      </c>
      <c r="V11" s="212">
        <f>'11RevWith&amp;NO_ARRA'!$H25</f>
        <v>28888646.749999993</v>
      </c>
      <c r="W11" s="212">
        <f>'12Rev'!$H$25</f>
        <v>3765288</v>
      </c>
      <c r="X11" s="221"/>
      <c r="Y11" s="221"/>
      <c r="Z11" s="221"/>
      <c r="AA11" s="221"/>
      <c r="AB11" s="221"/>
      <c r="AC11" s="221"/>
      <c r="AD11" s="221"/>
      <c r="AE11" s="221">
        <f>'20Rev'!$H$25</f>
        <v>8705421.5</v>
      </c>
      <c r="AF11" s="221">
        <f>'21Rev'!$H$25</f>
        <v>140824813.26000002</v>
      </c>
      <c r="AG11" s="221">
        <f>'22Rev'!$H$25</f>
        <v>180853017.63000003</v>
      </c>
      <c r="AH11" s="221">
        <f>'23Rev'!$H$25</f>
        <v>151143240.06999999</v>
      </c>
    </row>
    <row r="12" spans="1:34" x14ac:dyDescent="0.2">
      <c r="A12" s="36"/>
      <c r="B12" s="6"/>
      <c r="C12" s="6"/>
      <c r="D12" s="6"/>
      <c r="E12" s="1"/>
      <c r="F12" s="1"/>
      <c r="G12" s="1"/>
      <c r="H12" s="1"/>
      <c r="I12" s="1"/>
      <c r="J12" s="1"/>
      <c r="K12" s="1"/>
      <c r="L12" s="1"/>
      <c r="M12" s="1"/>
      <c r="N12" s="6"/>
      <c r="O12" s="6"/>
      <c r="P12" s="6"/>
      <c r="R12" s="212"/>
      <c r="S12" s="212"/>
      <c r="T12" s="212"/>
    </row>
    <row r="13" spans="1:34" ht="13.5" thickBot="1" x14ac:dyDescent="0.25">
      <c r="A13" s="36" t="s">
        <v>23</v>
      </c>
      <c r="B13" s="8">
        <f>'91rev'!H25</f>
        <v>744838296.51999998</v>
      </c>
      <c r="C13" s="8">
        <f>'92rev'!H25</f>
        <v>775197137.62000012</v>
      </c>
      <c r="D13" s="8">
        <f>'93rev'!H25</f>
        <v>788680389.96999991</v>
      </c>
      <c r="E13" s="8">
        <f t="shared" ref="E13:N13" si="0">SUM(E6:E10)</f>
        <v>833724257.80999994</v>
      </c>
      <c r="F13" s="8">
        <f t="shared" si="0"/>
        <v>867836150.16000009</v>
      </c>
      <c r="G13" s="8">
        <f t="shared" si="0"/>
        <v>889512332.01999998</v>
      </c>
      <c r="H13" s="8">
        <f t="shared" si="0"/>
        <v>938458192.00999999</v>
      </c>
      <c r="I13" s="8">
        <f t="shared" si="0"/>
        <v>974013411.69000006</v>
      </c>
      <c r="J13" s="8">
        <f t="shared" si="0"/>
        <v>986285039.13999999</v>
      </c>
      <c r="K13" s="8">
        <f t="shared" si="0"/>
        <v>1041551865.6899999</v>
      </c>
      <c r="L13" s="8">
        <f t="shared" si="0"/>
        <v>1077826131.23</v>
      </c>
      <c r="M13" s="8">
        <f t="shared" si="0"/>
        <v>1104095585.5899999</v>
      </c>
      <c r="N13" s="8">
        <f t="shared" si="0"/>
        <v>1139764647.22</v>
      </c>
      <c r="O13" s="8">
        <f>SUM(O6:O10)</f>
        <v>1197576757.9100001</v>
      </c>
      <c r="P13" s="8">
        <f>SUM(P6:P10)</f>
        <v>1217560957.23</v>
      </c>
      <c r="Q13" s="213">
        <v>1291074350.4599998</v>
      </c>
      <c r="R13" s="213">
        <f>'07Rev'!$H25</f>
        <v>1355762735.4300001</v>
      </c>
      <c r="S13" s="213">
        <f>'08Rev'!$H25</f>
        <v>1431325177.9300001</v>
      </c>
      <c r="T13" s="213">
        <f>'09RevWith&amp;NO_ARRA'!$I25</f>
        <v>1508010344.3400002</v>
      </c>
      <c r="U13" s="213">
        <f>'10RevWith&amp;NO_ARRA'!J25</f>
        <v>1527741043.2</v>
      </c>
      <c r="V13" s="213">
        <f>'11RevWith&amp;NO_ARRA'!J25</f>
        <v>1565798709.25</v>
      </c>
      <c r="W13" s="213">
        <f>'12Rev'!I25</f>
        <v>1535247148</v>
      </c>
      <c r="X13" s="314">
        <f>'13Rev'!H25</f>
        <v>1570833678</v>
      </c>
      <c r="Y13" s="314">
        <f>'14Rev'!$H$25</f>
        <v>1633897902.5500002</v>
      </c>
      <c r="Z13" s="314">
        <f>'15Rev'!$H$25</f>
        <v>1709507384.0899997</v>
      </c>
      <c r="AA13" s="314">
        <f>'16Rev'!$H$25</f>
        <v>1698741325.6100001</v>
      </c>
      <c r="AB13" s="314">
        <f>'17Rev'!$H$25</f>
        <v>1745260760.4100001</v>
      </c>
      <c r="AC13" s="314">
        <f>'18Rev'!$H$25</f>
        <v>1831989786.8400002</v>
      </c>
      <c r="AD13" s="314">
        <f>'19Rev'!$H$25</f>
        <v>1940191340.6100006</v>
      </c>
      <c r="AE13" s="314">
        <f>'20Rev'!$J$25</f>
        <v>1953975319.6700003</v>
      </c>
      <c r="AF13" s="314">
        <f>'21Rev'!$J$25</f>
        <v>2155698728.4000001</v>
      </c>
      <c r="AG13" s="314">
        <f>'22Rev'!$J$25</f>
        <v>2262325095.0599995</v>
      </c>
      <c r="AH13" s="314">
        <f>'23Rev'!$J$25</f>
        <v>2307228770.8000002</v>
      </c>
    </row>
    <row r="14" spans="1:34" ht="14.25" thickTop="1" thickBot="1" x14ac:dyDescent="0.25">
      <c r="A14" s="36" t="s">
        <v>1039</v>
      </c>
      <c r="B14" s="36"/>
      <c r="C14" s="36"/>
      <c r="D14" s="36"/>
      <c r="E14" s="1"/>
      <c r="F14" s="1"/>
      <c r="G14" s="1"/>
      <c r="H14" s="1"/>
      <c r="I14" s="1"/>
      <c r="J14" s="1"/>
      <c r="K14" s="1"/>
      <c r="L14" s="1"/>
      <c r="M14" s="1"/>
      <c r="N14" s="1"/>
      <c r="O14" s="1"/>
      <c r="P14" s="1"/>
      <c r="R14" s="212"/>
      <c r="S14" s="212"/>
      <c r="T14" s="213">
        <f>SUM('09RevWith&amp;NO_ARRA'!C25:G25)</f>
        <v>1505289401.5700002</v>
      </c>
      <c r="U14" s="213">
        <f>'10RevWith&amp;NO_ARRA'!C25+'10RevWith&amp;NO_ARRA'!D25+'10RevWith&amp;NO_ARRA'!E25+'10RevWith&amp;NO_ARRA'!F25+'10RevWith&amp;NO_ARRA'!G25</f>
        <v>1495131736.3600001</v>
      </c>
      <c r="V14" s="213">
        <f>'11RevWith&amp;NO_ARRA'!C25+'11RevWith&amp;NO_ARRA'!D25+'11RevWith&amp;NO_ARRA'!E25+'11RevWith&amp;NO_ARRA'!F25+'11RevWith&amp;NO_ARRA'!G25</f>
        <v>1536910062.4999998</v>
      </c>
      <c r="W14" s="213">
        <f>'12Rev'!C25+'12Rev'!D25+'12Rev'!E25+'12Rev'!F25+'12Rev'!G25</f>
        <v>1531481860</v>
      </c>
      <c r="X14" s="221"/>
      <c r="Y14" s="221"/>
      <c r="Z14" s="221"/>
      <c r="AA14" s="221"/>
      <c r="AB14" s="221"/>
      <c r="AC14" s="221"/>
      <c r="AD14" s="221"/>
      <c r="AE14" s="221"/>
      <c r="AF14" s="221"/>
      <c r="AG14" s="221"/>
      <c r="AH14" s="221"/>
    </row>
    <row r="15" spans="1:34" ht="14.25" thickTop="1" thickBot="1" x14ac:dyDescent="0.25">
      <c r="A15" s="36" t="s">
        <v>24</v>
      </c>
      <c r="B15" s="36"/>
      <c r="C15" s="36"/>
      <c r="D15" s="36"/>
      <c r="E15" s="1"/>
      <c r="F15" s="1"/>
      <c r="G15" s="1"/>
      <c r="H15" s="1"/>
      <c r="I15" s="1"/>
      <c r="J15" s="1"/>
      <c r="K15" s="1"/>
      <c r="L15" s="1"/>
      <c r="M15" s="1"/>
      <c r="N15" s="1"/>
      <c r="O15" s="1"/>
      <c r="P15" s="1"/>
      <c r="R15" s="212"/>
      <c r="S15" s="212"/>
      <c r="U15" s="213">
        <f>'10RevWith&amp;NO_ARRA'!C25+'10RevWith&amp;NO_ARRA'!D25+'10RevWith&amp;NO_ARRA'!E25+'10RevWith&amp;NO_ARRA'!G25+'10RevWith&amp;NO_ARRA'!I25</f>
        <v>1469800707.4100001</v>
      </c>
      <c r="V15" s="213">
        <f>'11RevWith&amp;NO_ARRA'!C25+'11RevWith&amp;NO_ARRA'!D25+'11RevWith&amp;NO_ARRA'!E25+'11RevWith&amp;NO_ARRA'!G25+'11RevWith&amp;NO_ARRA'!I25</f>
        <v>1469399819.4499998</v>
      </c>
    </row>
    <row r="16" spans="1:34" ht="13.5" thickTop="1" x14ac:dyDescent="0.2">
      <c r="A16" s="36"/>
      <c r="B16" s="36"/>
      <c r="C16" s="36"/>
      <c r="D16" s="36"/>
      <c r="E16" s="1"/>
      <c r="F16" s="1"/>
      <c r="G16" s="1"/>
      <c r="H16" s="1"/>
      <c r="I16" s="1"/>
      <c r="J16" s="1"/>
      <c r="K16" s="1"/>
      <c r="L16" s="1"/>
      <c r="M16" s="1"/>
      <c r="N16" s="1"/>
      <c r="O16" s="1"/>
      <c r="P16" s="1"/>
    </row>
    <row r="17" spans="1:34" x14ac:dyDescent="0.2">
      <c r="A17" s="36" t="s">
        <v>116</v>
      </c>
      <c r="B17" s="28">
        <f>B6/$B$13</f>
        <v>0.17213133548451665</v>
      </c>
      <c r="C17" s="28">
        <f>C6/$C$13</f>
        <v>0.18349221166723012</v>
      </c>
      <c r="D17" s="28">
        <f>D6/$D$13</f>
        <v>0.1849482105362712</v>
      </c>
      <c r="E17" s="28">
        <f>E6/$E$13</f>
        <v>0.21557327294530862</v>
      </c>
      <c r="F17" s="28">
        <f>F6/$F$13</f>
        <v>0.22700557799266496</v>
      </c>
      <c r="G17" s="28">
        <f>G6/$G$13</f>
        <v>0.23362840227079329</v>
      </c>
      <c r="H17" s="28">
        <f>H6/$H$13</f>
        <v>0.25362287517595006</v>
      </c>
      <c r="I17" s="28">
        <f>I6/$I$13</f>
        <v>0.24927752163979033</v>
      </c>
      <c r="J17" s="28">
        <f>J6/$J$13</f>
        <v>0.25420311130199708</v>
      </c>
      <c r="K17" s="28">
        <f>K6/$K$13</f>
        <v>0.24683948986033524</v>
      </c>
      <c r="L17" s="28">
        <f>L6/$L$13</f>
        <v>0.22322941580144084</v>
      </c>
      <c r="M17" s="28">
        <f>M6/$M$13</f>
        <v>0.23931333676042657</v>
      </c>
      <c r="N17" s="28">
        <f>N6/$N$13</f>
        <v>0.24523661421834569</v>
      </c>
      <c r="O17" s="28">
        <f>O6/$O$13</f>
        <v>0.26106754230570672</v>
      </c>
      <c r="P17" s="28">
        <f t="shared" ref="P17:T19" si="1">P6/P$13</f>
        <v>0.26040651159784722</v>
      </c>
      <c r="Q17" s="28">
        <f t="shared" si="1"/>
        <v>0.25904175918361388</v>
      </c>
      <c r="R17" s="28">
        <f t="shared" si="1"/>
        <v>0.2481760430030438</v>
      </c>
      <c r="S17" s="28">
        <f t="shared" si="1"/>
        <v>0.24666311034966401</v>
      </c>
      <c r="T17" s="242">
        <f t="shared" si="1"/>
        <v>0.2525445702872014</v>
      </c>
      <c r="U17" s="242">
        <f t="shared" ref="U17:V19" si="2">U6/U$13</f>
        <v>0.24197246604417205</v>
      </c>
      <c r="V17" s="242">
        <f t="shared" si="2"/>
        <v>0.25321996865096091</v>
      </c>
      <c r="W17" s="242">
        <f t="shared" ref="W17:X19" si="3">W6/W$13</f>
        <v>0.25870938338326749</v>
      </c>
      <c r="X17" s="315">
        <f t="shared" si="3"/>
        <v>0.25709005902787885</v>
      </c>
      <c r="Y17" s="315">
        <f t="shared" ref="Y17:Z17" si="4">Y6/Y$13</f>
        <v>0.25811974611864952</v>
      </c>
      <c r="Z17" s="315">
        <f t="shared" si="4"/>
        <v>0.26247366599053984</v>
      </c>
      <c r="AA17" s="315">
        <f t="shared" ref="AA17:AB17" si="5">AA6/AA$13</f>
        <v>0.26712081751885108</v>
      </c>
      <c r="AB17" s="315">
        <f t="shared" si="5"/>
        <v>0.2699963295051116</v>
      </c>
      <c r="AC17" s="315">
        <f t="shared" ref="AC17:AD17" si="6">AC6/AC$13</f>
        <v>0.30455855647121538</v>
      </c>
      <c r="AD17" s="315">
        <f t="shared" si="6"/>
        <v>0.30570435439296428</v>
      </c>
      <c r="AE17" s="315">
        <f t="shared" ref="AE17:AF17" si="7">AE6/AE$13</f>
        <v>0.30813604643260534</v>
      </c>
      <c r="AF17" s="315">
        <f t="shared" si="7"/>
        <v>0.28989326414541666</v>
      </c>
      <c r="AG17" s="315">
        <f t="shared" ref="AG17:AH17" si="8">AG6/AG$13</f>
        <v>0.27872622668904112</v>
      </c>
      <c r="AH17" s="315">
        <f t="shared" si="8"/>
        <v>0.27820957315274469</v>
      </c>
    </row>
    <row r="18" spans="1:34" x14ac:dyDescent="0.2">
      <c r="A18" s="36" t="s">
        <v>190</v>
      </c>
      <c r="B18" s="28">
        <f>B7/$B$13</f>
        <v>0.22339240269653907</v>
      </c>
      <c r="C18" s="28">
        <f>C7/$C$13</f>
        <v>0.22748185543022872</v>
      </c>
      <c r="D18" s="28">
        <f>D7/$D$13</f>
        <v>8.3805630240805382E-2</v>
      </c>
      <c r="E18" s="28">
        <f>E7/$E$13</f>
        <v>7.843022638175623E-2</v>
      </c>
      <c r="F18" s="28">
        <f>F7/$F$13</f>
        <v>8.1798329070426778E-2</v>
      </c>
      <c r="G18" s="28">
        <f>G7/$G$13</f>
        <v>8.4284255047645931E-2</v>
      </c>
      <c r="H18" s="28">
        <f>H7/$H$13</f>
        <v>9.0475601367114744E-2</v>
      </c>
      <c r="I18" s="28">
        <f>I7/$I$13</f>
        <v>8.9967484408612977E-2</v>
      </c>
      <c r="J18" s="28">
        <f>J7/$J$13</f>
        <v>9.3594152082536894E-2</v>
      </c>
      <c r="K18" s="28">
        <f>K7/$K$13</f>
        <v>0.10193957205353543</v>
      </c>
      <c r="L18" s="28">
        <f>L7/$L$13</f>
        <v>0.1223569361317126</v>
      </c>
      <c r="M18" s="28">
        <f>M7/$M$13</f>
        <v>0.11227109480177846</v>
      </c>
      <c r="N18" s="28">
        <f>N7/$N$13</f>
        <v>9.6086383225800306E-2</v>
      </c>
      <c r="O18" s="28">
        <f>O7/$O$13</f>
        <v>9.3780447030385877E-2</v>
      </c>
      <c r="P18" s="28">
        <f t="shared" si="1"/>
        <v>9.6354738063302081E-2</v>
      </c>
      <c r="Q18" s="28">
        <f t="shared" si="1"/>
        <v>0.10966600443231922</v>
      </c>
      <c r="R18" s="28">
        <f t="shared" si="1"/>
        <v>0.11682171823358654</v>
      </c>
      <c r="S18" s="28">
        <f t="shared" si="1"/>
        <v>0.11723131069535771</v>
      </c>
      <c r="T18" s="242">
        <f t="shared" si="1"/>
        <v>0.11662052761114813</v>
      </c>
      <c r="U18" s="242">
        <f t="shared" si="2"/>
        <v>0.11079045992995679</v>
      </c>
      <c r="V18" s="242">
        <f t="shared" si="2"/>
        <v>9.9669178878523834E-2</v>
      </c>
      <c r="W18" s="242">
        <f t="shared" si="3"/>
        <v>9.2355185407581031E-2</v>
      </c>
      <c r="X18" s="315">
        <f t="shared" si="3"/>
        <v>9.4221311952289319E-2</v>
      </c>
      <c r="Y18" s="315">
        <f t="shared" ref="Y18:Z18" si="9">Y7/Y$13</f>
        <v>9.6212908489971799E-2</v>
      </c>
      <c r="Z18" s="315">
        <f t="shared" si="9"/>
        <v>0.10319347088044671</v>
      </c>
      <c r="AA18" s="315">
        <f t="shared" ref="AA18:AB18" si="10">AA7/AA$13</f>
        <v>8.6595457973671644E-2</v>
      </c>
      <c r="AB18" s="315">
        <f t="shared" si="10"/>
        <v>8.4032805977684713E-2</v>
      </c>
      <c r="AC18" s="315">
        <f t="shared" ref="AC18:AD18" si="11">AC7/AC$13</f>
        <v>4.8584556889657765E-2</v>
      </c>
      <c r="AD18" s="315">
        <f t="shared" si="11"/>
        <v>4.8595601493797332E-2</v>
      </c>
      <c r="AE18" s="315">
        <f t="shared" ref="AE18:AF18" si="12">AE7/AE$13</f>
        <v>4.5224051880513989E-2</v>
      </c>
      <c r="AF18" s="315">
        <f t="shared" si="12"/>
        <v>2.9811084481966423E-2</v>
      </c>
      <c r="AG18" s="315">
        <f t="shared" ref="AG18:AH18" si="13">AG7/AG$13</f>
        <v>3.447769020478967E-2</v>
      </c>
      <c r="AH18" s="315">
        <f t="shared" si="13"/>
        <v>5.2530085366426803E-2</v>
      </c>
    </row>
    <row r="19" spans="1:34" x14ac:dyDescent="0.2">
      <c r="A19" s="36" t="s">
        <v>154</v>
      </c>
      <c r="B19" s="29">
        <f>B8/$B$13</f>
        <v>8.6683690341459674E-2</v>
      </c>
      <c r="C19" s="29">
        <f>C8/$C$13</f>
        <v>9.4172807376625853E-2</v>
      </c>
      <c r="D19" s="29">
        <f>D8/$D$13</f>
        <v>9.8002153347492349E-2</v>
      </c>
      <c r="E19" s="29">
        <f>E8/$E$13</f>
        <v>9.9526218905951508E-2</v>
      </c>
      <c r="F19" s="29">
        <f>F8/$F$13</f>
        <v>0.10020498593423101</v>
      </c>
      <c r="G19" s="29">
        <f>G8/$G$13</f>
        <v>9.7700372824112786E-2</v>
      </c>
      <c r="H19" s="29">
        <f>H8/$H$13</f>
        <v>9.5483064267443879E-2</v>
      </c>
      <c r="I19" s="29">
        <f>I8/$I$13</f>
        <v>9.4387821960772153E-2</v>
      </c>
      <c r="J19" s="29">
        <f>J8/$J$13</f>
        <v>9.5748524353916717E-2</v>
      </c>
      <c r="K19" s="29">
        <f>K8/$K$13</f>
        <v>9.3738871319019895E-2</v>
      </c>
      <c r="L19" s="29">
        <f>L8/$L$13</f>
        <v>9.4203775579396409E-2</v>
      </c>
      <c r="M19" s="29">
        <f>M8/$M$13</f>
        <v>9.238797784477247E-2</v>
      </c>
      <c r="N19" s="29">
        <f>N8/$N$13</f>
        <v>9.508406214768432E-2</v>
      </c>
      <c r="O19" s="29">
        <f>O8/$O$13</f>
        <v>9.3445017892047358E-2</v>
      </c>
      <c r="P19" s="29">
        <f t="shared" si="1"/>
        <v>8.8655250859533991E-2</v>
      </c>
      <c r="Q19" s="29">
        <f t="shared" si="1"/>
        <v>8.4547433369045091E-2</v>
      </c>
      <c r="R19" s="29">
        <f t="shared" si="1"/>
        <v>8.369117120187905E-2</v>
      </c>
      <c r="S19" s="29">
        <f t="shared" si="1"/>
        <v>8.4071664703074922E-2</v>
      </c>
      <c r="T19" s="243">
        <f t="shared" si="1"/>
        <v>8.6261519231774622E-2</v>
      </c>
      <c r="U19" s="243">
        <f t="shared" si="2"/>
        <v>8.3867388809313104E-2</v>
      </c>
      <c r="V19" s="243">
        <f t="shared" si="2"/>
        <v>8.5049038017017381E-2</v>
      </c>
      <c r="W19" s="243">
        <f t="shared" si="3"/>
        <v>8.6186148055948056E-2</v>
      </c>
      <c r="X19" s="316">
        <f t="shared" si="3"/>
        <v>8.6768016187134492E-2</v>
      </c>
      <c r="Y19" s="316">
        <f t="shared" ref="Y19:Z19" si="14">Y8/Y$13</f>
        <v>9.4643056845020848E-2</v>
      </c>
      <c r="Z19" s="316">
        <f t="shared" si="14"/>
        <v>9.1784361588776522E-2</v>
      </c>
      <c r="AA19" s="316">
        <f t="shared" ref="AA19:AB19" si="15">AA8/AA$13</f>
        <v>8.9364774207448844E-2</v>
      </c>
      <c r="AB19" s="316">
        <f t="shared" si="15"/>
        <v>9.2073844267403171E-2</v>
      </c>
      <c r="AC19" s="316">
        <f t="shared" ref="AC19:AD19" si="16">AC8/AC$13</f>
        <v>8.9693395476527826E-2</v>
      </c>
      <c r="AD19" s="316">
        <f t="shared" si="16"/>
        <v>8.7532707447609256E-2</v>
      </c>
      <c r="AE19" s="316">
        <f t="shared" ref="AE19:AF19" si="17">AE8/AE$13</f>
        <v>8.881281300385524E-2</v>
      </c>
      <c r="AF19" s="316">
        <f t="shared" si="17"/>
        <v>8.3506681693694115E-2</v>
      </c>
      <c r="AG19" s="316">
        <f t="shared" ref="AG19:AH19" si="18">AG8/AG$13</f>
        <v>7.868161794637174E-2</v>
      </c>
      <c r="AH19" s="316">
        <f t="shared" si="18"/>
        <v>7.9882289499230791E-2</v>
      </c>
    </row>
    <row r="20" spans="1:34" x14ac:dyDescent="0.2">
      <c r="A20" s="36" t="s">
        <v>428</v>
      </c>
      <c r="B20" s="28">
        <f>SUM(B17:B19)</f>
        <v>0.48220742852251536</v>
      </c>
      <c r="C20" s="28">
        <f t="shared" ref="C20:P20" si="19">SUM(C17:C19)</f>
        <v>0.50514687447408468</v>
      </c>
      <c r="D20" s="28">
        <f t="shared" si="19"/>
        <v>0.36675599412456894</v>
      </c>
      <c r="E20" s="28">
        <f t="shared" si="19"/>
        <v>0.3935297182330163</v>
      </c>
      <c r="F20" s="28">
        <f t="shared" si="19"/>
        <v>0.40900889299732274</v>
      </c>
      <c r="G20" s="28">
        <f t="shared" si="19"/>
        <v>0.41561303014255202</v>
      </c>
      <c r="H20" s="28">
        <f t="shared" si="19"/>
        <v>0.43958154081050871</v>
      </c>
      <c r="I20" s="28">
        <f t="shared" si="19"/>
        <v>0.43363282800917546</v>
      </c>
      <c r="J20" s="28">
        <f t="shared" si="19"/>
        <v>0.44354578773845071</v>
      </c>
      <c r="K20" s="28">
        <f t="shared" si="19"/>
        <v>0.44251793323289057</v>
      </c>
      <c r="L20" s="28">
        <f t="shared" si="19"/>
        <v>0.43979012751254987</v>
      </c>
      <c r="M20" s="28">
        <f t="shared" si="19"/>
        <v>0.44397240940697752</v>
      </c>
      <c r="N20" s="28">
        <f t="shared" si="19"/>
        <v>0.43640705959183035</v>
      </c>
      <c r="O20" s="28">
        <f t="shared" si="19"/>
        <v>0.44829300722813997</v>
      </c>
      <c r="P20" s="28">
        <f t="shared" si="19"/>
        <v>0.44541650052068327</v>
      </c>
      <c r="Q20" s="28">
        <f t="shared" ref="Q20:V20" si="20">SUM(Q17:Q19)</f>
        <v>0.45325519698497818</v>
      </c>
      <c r="R20" s="28">
        <f t="shared" si="20"/>
        <v>0.44868893243850938</v>
      </c>
      <c r="S20" s="28">
        <f t="shared" si="20"/>
        <v>0.44796608574809665</v>
      </c>
      <c r="T20" s="242">
        <f t="shared" si="20"/>
        <v>0.45542661713012411</v>
      </c>
      <c r="U20" s="242">
        <f t="shared" si="20"/>
        <v>0.43663031478344194</v>
      </c>
      <c r="V20" s="242">
        <f t="shared" si="20"/>
        <v>0.4379381855465021</v>
      </c>
      <c r="W20" s="242">
        <f t="shared" ref="W20:AB20" si="21">SUM(W17:W19)</f>
        <v>0.43725071684679656</v>
      </c>
      <c r="X20" s="315">
        <f t="shared" si="21"/>
        <v>0.43807938716730266</v>
      </c>
      <c r="Y20" s="315">
        <f t="shared" si="21"/>
        <v>0.44897571145364212</v>
      </c>
      <c r="Z20" s="315">
        <f t="shared" si="21"/>
        <v>0.45745149845976307</v>
      </c>
      <c r="AA20" s="315">
        <f t="shared" si="21"/>
        <v>0.44308104969997153</v>
      </c>
      <c r="AB20" s="315">
        <f t="shared" si="21"/>
        <v>0.44610297975019947</v>
      </c>
      <c r="AC20" s="315">
        <f t="shared" ref="AC20:AD20" si="22">SUM(AC17:AC19)</f>
        <v>0.44283650883740094</v>
      </c>
      <c r="AD20" s="315">
        <f t="shared" si="22"/>
        <v>0.44183266333437088</v>
      </c>
      <c r="AE20" s="315">
        <f t="shared" ref="AE20:AF20" si="23">SUM(AE17:AE19)</f>
        <v>0.44217291131697456</v>
      </c>
      <c r="AF20" s="315">
        <f t="shared" si="23"/>
        <v>0.40321103032107719</v>
      </c>
      <c r="AG20" s="315">
        <f t="shared" ref="AG20:AH20" si="24">SUM(AG17:AG19)</f>
        <v>0.39188553484020255</v>
      </c>
      <c r="AH20" s="315">
        <f t="shared" si="24"/>
        <v>0.41062194801840224</v>
      </c>
    </row>
    <row r="21" spans="1:34" x14ac:dyDescent="0.2">
      <c r="A21" s="36" t="s">
        <v>155</v>
      </c>
      <c r="B21" s="28">
        <f>B9/$B$13</f>
        <v>0.43416039343153834</v>
      </c>
      <c r="C21" s="28">
        <f>C9/$C$13</f>
        <v>0.40777283314086954</v>
      </c>
      <c r="D21" s="28">
        <f>D9/$D$13</f>
        <v>0.54290463813394318</v>
      </c>
      <c r="E21" s="28">
        <f>E9/$E$13</f>
        <v>0.5122017197169263</v>
      </c>
      <c r="F21" s="28">
        <f>F9/$F$13</f>
        <v>0.49616753130255431</v>
      </c>
      <c r="G21" s="28">
        <f>G9/$G$13</f>
        <v>0.48797271686418914</v>
      </c>
      <c r="H21" s="28">
        <f>H9/$H$13</f>
        <v>0.46716879732382183</v>
      </c>
      <c r="I21" s="28">
        <f>I9/$I$13</f>
        <v>0.46517179073936943</v>
      </c>
      <c r="J21" s="28">
        <f>J9/$J$13</f>
        <v>0.44801451536291426</v>
      </c>
      <c r="K21" s="28">
        <f>K9/$K$13</f>
        <v>0.43768161489298441</v>
      </c>
      <c r="L21" s="28">
        <f>L9/$L$13</f>
        <v>0.44555564089169608</v>
      </c>
      <c r="M21" s="28">
        <f>M9/$M$13</f>
        <v>0.42590195466520031</v>
      </c>
      <c r="N21" s="28">
        <f>N9/$N$13</f>
        <v>0.42022928788696629</v>
      </c>
      <c r="O21" s="28">
        <f>O9/$O$13</f>
        <v>0.40435479200105845</v>
      </c>
      <c r="P21" s="28">
        <f t="shared" ref="P21:T22" si="25">P9/P$13</f>
        <v>0.40915544093444034</v>
      </c>
      <c r="Q21" s="28">
        <f t="shared" si="25"/>
        <v>0.4111366293047935</v>
      </c>
      <c r="R21" s="28">
        <f t="shared" si="25"/>
        <v>0.42252558454360667</v>
      </c>
      <c r="S21" s="28">
        <f t="shared" si="25"/>
        <v>0.43173660773835815</v>
      </c>
      <c r="T21" s="242">
        <f t="shared" si="25"/>
        <v>0.42343111472452433</v>
      </c>
      <c r="U21" s="242">
        <f t="shared" ref="U21:V23" si="26">U9/U$13</f>
        <v>0.4241913192058962</v>
      </c>
      <c r="V21" s="242">
        <f t="shared" si="26"/>
        <v>0.42878578852040905</v>
      </c>
      <c r="W21" s="242">
        <f t="shared" ref="W21:X23" si="27">W9/W$13</f>
        <v>0.4345224434183414</v>
      </c>
      <c r="X21" s="315">
        <f t="shared" si="27"/>
        <v>0.43680067636033965</v>
      </c>
      <c r="Y21" s="315">
        <f t="shared" ref="Y21:Z21" si="28">Y9/Y$13</f>
        <v>0.43555108732886233</v>
      </c>
      <c r="Z21" s="315">
        <f t="shared" si="28"/>
        <v>0.42498037285561796</v>
      </c>
      <c r="AA21" s="315">
        <f t="shared" ref="AA21:AB21" si="29">AA9/AA$13</f>
        <v>0.43742162435070719</v>
      </c>
      <c r="AB21" s="315">
        <f t="shared" si="29"/>
        <v>0.43529517113049004</v>
      </c>
      <c r="AC21" s="315">
        <f t="shared" ref="AC21:AD21" si="30">AC9/AC$13</f>
        <v>0.43338919253993757</v>
      </c>
      <c r="AD21" s="315">
        <f t="shared" si="30"/>
        <v>0.42985821058648077</v>
      </c>
      <c r="AE21" s="315">
        <f t="shared" ref="AE21:AF21" si="31">AE9/AE$13</f>
        <v>0.43433145509909987</v>
      </c>
      <c r="AF21" s="315">
        <f t="shared" si="31"/>
        <v>0.40632629868002107</v>
      </c>
      <c r="AG21" s="315">
        <f t="shared" ref="AG21:AH21" si="32">AG9/AG$13</f>
        <v>0.39686317514688951</v>
      </c>
      <c r="AH21" s="315">
        <f t="shared" si="32"/>
        <v>0.40298443186785171</v>
      </c>
    </row>
    <row r="22" spans="1:34" x14ac:dyDescent="0.2">
      <c r="A22" s="36" t="s">
        <v>156</v>
      </c>
      <c r="B22" s="28">
        <f>B10/$B$13</f>
        <v>8.3632178045946332E-2</v>
      </c>
      <c r="C22" s="28">
        <f>C10/$C$13</f>
        <v>8.7080292385045555E-2</v>
      </c>
      <c r="D22" s="28">
        <f>D10/$D$13</f>
        <v>9.0339367741488014E-2</v>
      </c>
      <c r="E22" s="28">
        <f>E10/$E$13</f>
        <v>9.4268562050057375E-2</v>
      </c>
      <c r="F22" s="28">
        <f>F10/$F$13</f>
        <v>9.4823575700122897E-2</v>
      </c>
      <c r="G22" s="28">
        <f>G10/$G$13</f>
        <v>9.6414252993258912E-2</v>
      </c>
      <c r="H22" s="28">
        <f>H10/$H$13</f>
        <v>9.324966186566945E-2</v>
      </c>
      <c r="I22" s="28">
        <f>I10/$I$13</f>
        <v>0.10119538125145504</v>
      </c>
      <c r="J22" s="28">
        <f>J10/$J$13</f>
        <v>0.10843969689863506</v>
      </c>
      <c r="K22" s="28">
        <f>K10/$K$13</f>
        <v>0.11980045187412505</v>
      </c>
      <c r="L22" s="28">
        <f>L10/$L$13</f>
        <v>0.11465423159575402</v>
      </c>
      <c r="M22" s="28">
        <f>M10/$M$13</f>
        <v>0.13012563592782223</v>
      </c>
      <c r="N22" s="28">
        <f>N10/$N$13</f>
        <v>0.14336365252120331</v>
      </c>
      <c r="O22" s="28">
        <f>O10/$O$13</f>
        <v>0.14735220077080161</v>
      </c>
      <c r="P22" s="28">
        <f t="shared" si="25"/>
        <v>0.14542805854487625</v>
      </c>
      <c r="Q22" s="28">
        <f t="shared" si="25"/>
        <v>0.13560817371022843</v>
      </c>
      <c r="R22" s="28">
        <f t="shared" si="25"/>
        <v>0.12878548301788384</v>
      </c>
      <c r="S22" s="28">
        <f t="shared" si="25"/>
        <v>0.12029730651354531</v>
      </c>
      <c r="T22" s="242">
        <f t="shared" si="25"/>
        <v>0.11933794181548736</v>
      </c>
      <c r="U22" s="242">
        <f t="shared" si="26"/>
        <v>0.11783357921898369</v>
      </c>
      <c r="V22" s="242">
        <f t="shared" si="26"/>
        <v>0.11482624271425006</v>
      </c>
      <c r="W22" s="242">
        <f t="shared" si="27"/>
        <v>0.12577427826623783</v>
      </c>
      <c r="X22" s="315">
        <f t="shared" si="27"/>
        <v>0.1251199364723577</v>
      </c>
      <c r="Y22" s="315">
        <f t="shared" ref="Y22:Z22" si="33">Y10/Y$13</f>
        <v>0.11547320121749549</v>
      </c>
      <c r="Z22" s="315">
        <f t="shared" si="33"/>
        <v>0.1175681286846193</v>
      </c>
      <c r="AA22" s="315">
        <f t="shared" ref="AA22:AB22" si="34">AA10/AA$13</f>
        <v>0.11949732594932111</v>
      </c>
      <c r="AB22" s="315">
        <f t="shared" si="34"/>
        <v>0.11860184911931053</v>
      </c>
      <c r="AC22" s="315">
        <f t="shared" ref="AC22:AD22" si="35">AC10/AC$13</f>
        <v>0.1237742986226614</v>
      </c>
      <c r="AD22" s="315">
        <f t="shared" si="35"/>
        <v>0.12830912607914813</v>
      </c>
      <c r="AE22" s="315">
        <f t="shared" ref="AE22:AF22" si="36">AE10/AE$13</f>
        <v>0.11904039742389544</v>
      </c>
      <c r="AF22" s="315">
        <f t="shared" si="36"/>
        <v>0.12513591109283506</v>
      </c>
      <c r="AG22" s="315">
        <f t="shared" ref="AG22:AH22" si="37">AG10/AG$13</f>
        <v>0.13131007465667593</v>
      </c>
      <c r="AH22" s="315">
        <f t="shared" si="37"/>
        <v>0.12088505764137637</v>
      </c>
    </row>
    <row r="23" spans="1:34" x14ac:dyDescent="0.2">
      <c r="A23" s="36" t="s">
        <v>0</v>
      </c>
      <c r="B23" s="28"/>
      <c r="C23" s="28"/>
      <c r="D23" s="28"/>
      <c r="E23" s="28"/>
      <c r="F23" s="28"/>
      <c r="G23" s="28"/>
      <c r="H23" s="28"/>
      <c r="I23" s="28"/>
      <c r="J23" s="28"/>
      <c r="K23" s="28"/>
      <c r="L23" s="28"/>
      <c r="M23" s="28"/>
      <c r="N23" s="28"/>
      <c r="O23" s="28"/>
      <c r="P23" s="28"/>
      <c r="Q23" s="28"/>
      <c r="R23" s="28"/>
      <c r="S23" s="28"/>
      <c r="T23" s="242">
        <f>T11/T$13</f>
        <v>1.8043263298640399E-3</v>
      </c>
      <c r="U23" s="242">
        <f t="shared" si="26"/>
        <v>2.1344786791678179E-2</v>
      </c>
      <c r="V23" s="242">
        <f t="shared" si="26"/>
        <v>1.8449783218838729E-2</v>
      </c>
      <c r="W23" s="242">
        <f t="shared" si="27"/>
        <v>2.4525614686242035E-3</v>
      </c>
      <c r="X23" s="315"/>
      <c r="Y23" s="315"/>
      <c r="Z23" s="315"/>
      <c r="AA23" s="315"/>
      <c r="AB23" s="315"/>
      <c r="AC23" s="315"/>
      <c r="AD23" s="315"/>
      <c r="AE23" s="315">
        <f>AE11/AE$13</f>
        <v>4.4552361600300183E-3</v>
      </c>
      <c r="AF23" s="315">
        <f>AF11/AF$13</f>
        <v>6.5326759906066664E-2</v>
      </c>
      <c r="AG23" s="315">
        <f>AG11/AG$13</f>
        <v>7.9941215356232248E-2</v>
      </c>
      <c r="AH23" s="315">
        <f>AH11/AH$13</f>
        <v>6.5508562472369455E-2</v>
      </c>
    </row>
    <row r="24" spans="1:34" x14ac:dyDescent="0.2">
      <c r="A24" s="36"/>
      <c r="B24" s="28"/>
      <c r="C24" s="28"/>
      <c r="D24" s="28"/>
      <c r="E24" s="28"/>
      <c r="F24" s="28"/>
      <c r="G24" s="28"/>
      <c r="H24" s="28"/>
      <c r="I24" s="28"/>
      <c r="J24" s="28"/>
      <c r="K24" s="28"/>
      <c r="L24" s="28"/>
      <c r="M24" s="28"/>
      <c r="N24" s="28"/>
      <c r="O24" s="28"/>
      <c r="P24" s="28"/>
      <c r="Q24" s="28"/>
      <c r="R24" s="217"/>
      <c r="S24" s="217"/>
      <c r="T24" s="241"/>
      <c r="U24" s="241"/>
      <c r="V24" s="241"/>
      <c r="W24" s="241"/>
      <c r="X24" s="317"/>
      <c r="Y24" s="317"/>
      <c r="Z24" s="317"/>
      <c r="AA24" s="317"/>
      <c r="AB24" s="317"/>
      <c r="AC24" s="317"/>
      <c r="AD24" s="317"/>
      <c r="AE24" s="317"/>
      <c r="AF24" s="317"/>
      <c r="AG24" s="317"/>
      <c r="AH24" s="317"/>
    </row>
    <row r="25" spans="1:34" ht="13.5" thickBot="1" x14ac:dyDescent="0.25">
      <c r="A25" s="36" t="s">
        <v>113</v>
      </c>
      <c r="B25" s="186">
        <f>B13/$B$13</f>
        <v>1</v>
      </c>
      <c r="C25" s="186">
        <f>C13/$C$13</f>
        <v>1</v>
      </c>
      <c r="D25" s="186">
        <f>D13/$D$13</f>
        <v>1</v>
      </c>
      <c r="E25" s="186">
        <f>E13/$E$13</f>
        <v>1</v>
      </c>
      <c r="F25" s="186">
        <f>F13/$F$13</f>
        <v>1</v>
      </c>
      <c r="G25" s="186">
        <f>G13/$G$13</f>
        <v>1</v>
      </c>
      <c r="H25" s="186">
        <f>H13/$H$13</f>
        <v>1</v>
      </c>
      <c r="I25" s="186">
        <f>I13/$I$13</f>
        <v>1</v>
      </c>
      <c r="J25" s="186">
        <f>J13/$J$13</f>
        <v>1</v>
      </c>
      <c r="K25" s="186">
        <f>K13/$K$13</f>
        <v>1</v>
      </c>
      <c r="L25" s="186">
        <f>L13/$L$13</f>
        <v>1</v>
      </c>
      <c r="M25" s="186">
        <f>M13/$M$13</f>
        <v>1</v>
      </c>
      <c r="N25" s="186">
        <f>N13/$N$13</f>
        <v>1</v>
      </c>
      <c r="O25" s="186">
        <f>O13/$O$13</f>
        <v>1</v>
      </c>
      <c r="P25" s="186">
        <f>P13/P$13</f>
        <v>1</v>
      </c>
      <c r="Q25" s="186">
        <f>Q13/Q$13</f>
        <v>1</v>
      </c>
      <c r="R25" s="186">
        <f>R17+R18+R19+R21+R22</f>
        <v>0.99999999999999989</v>
      </c>
      <c r="S25" s="186">
        <f>S17+S18+S19+S21+S22</f>
        <v>1</v>
      </c>
      <c r="T25" s="244">
        <f>T17+T18+T19+T21+T22+T23</f>
        <v>0.99999999999999989</v>
      </c>
      <c r="U25" s="244">
        <f>U17+U18+U19+U21+U22+U23</f>
        <v>1.0000000000000002</v>
      </c>
      <c r="V25" s="244">
        <f>V17+V18+V19+V21+V22+V23</f>
        <v>0.99999999999999989</v>
      </c>
      <c r="W25" s="244">
        <f>W17+W18+W19+W21+W22+W23</f>
        <v>1</v>
      </c>
      <c r="X25" s="318">
        <f t="shared" ref="X25:AC25" si="38">X17+X18+X19+X21+X22</f>
        <v>1</v>
      </c>
      <c r="Y25" s="318">
        <f t="shared" si="38"/>
        <v>1</v>
      </c>
      <c r="Z25" s="318">
        <f t="shared" si="38"/>
        <v>1.0000000000000004</v>
      </c>
      <c r="AA25" s="318">
        <f t="shared" si="38"/>
        <v>0.99999999999999978</v>
      </c>
      <c r="AB25" s="318">
        <f t="shared" si="38"/>
        <v>1</v>
      </c>
      <c r="AC25" s="318">
        <f t="shared" si="38"/>
        <v>0.99999999999999989</v>
      </c>
      <c r="AD25" s="318">
        <f t="shared" ref="AD25" si="39">AD17+AD18+AD19+AD21+AD22</f>
        <v>0.99999999999999978</v>
      </c>
      <c r="AE25" s="318">
        <f>AE17+AE18+AE19+AE21+AE22+AE23</f>
        <v>1</v>
      </c>
      <c r="AF25" s="318">
        <f>AF17+AF18+AF19+AF21+AF22+AF23</f>
        <v>1</v>
      </c>
      <c r="AG25" s="318">
        <f>AG17+AG18+AG19+AG21+AG22+AG23</f>
        <v>1.0000000000000002</v>
      </c>
      <c r="AH25" s="318">
        <f>AH17+AH18+AH19+AH21+AH22+AH23</f>
        <v>0.99999999999999978</v>
      </c>
    </row>
    <row r="26" spans="1:34" ht="13.5" thickTop="1" x14ac:dyDescent="0.2">
      <c r="A26" s="36"/>
      <c r="B26" s="187"/>
      <c r="C26" s="187"/>
      <c r="D26" s="187"/>
      <c r="E26" s="28"/>
      <c r="F26" s="28"/>
      <c r="G26" s="28"/>
      <c r="H26" s="28"/>
      <c r="I26" s="28"/>
      <c r="J26" s="28"/>
      <c r="K26" s="28"/>
      <c r="L26" s="28"/>
      <c r="M26" s="28"/>
      <c r="N26" s="28"/>
      <c r="O26" s="28"/>
    </row>
    <row r="27" spans="1:34" x14ac:dyDescent="0.2">
      <c r="A27" s="36" t="s">
        <v>191</v>
      </c>
      <c r="B27" s="187"/>
      <c r="C27" s="187"/>
      <c r="D27" s="187"/>
      <c r="E27" s="28"/>
      <c r="F27" s="28"/>
      <c r="G27" s="28"/>
      <c r="H27" s="28"/>
      <c r="I27" s="28"/>
      <c r="J27" s="28"/>
      <c r="K27" s="28"/>
      <c r="L27" s="28"/>
      <c r="M27" s="28"/>
      <c r="N27" s="28"/>
      <c r="O27" s="121"/>
    </row>
    <row r="28" spans="1:34" x14ac:dyDescent="0.2">
      <c r="A28" s="36" t="s">
        <v>189</v>
      </c>
      <c r="B28" s="28">
        <v>0.46600000000000003</v>
      </c>
      <c r="C28" s="28">
        <v>0.47</v>
      </c>
      <c r="D28" s="28">
        <v>0.47199999999999998</v>
      </c>
      <c r="E28" s="28">
        <v>0.47799999999999998</v>
      </c>
      <c r="F28" s="28">
        <v>0.46399999999999997</v>
      </c>
      <c r="G28" s="28">
        <v>0.45899999999999996</v>
      </c>
      <c r="H28" s="28">
        <v>0.45399999999999996</v>
      </c>
      <c r="I28" s="28">
        <v>0.44900000000000001</v>
      </c>
      <c r="J28" s="28">
        <v>0.442</v>
      </c>
      <c r="K28" s="28"/>
      <c r="L28" s="28"/>
      <c r="M28" s="28"/>
      <c r="N28" s="28"/>
      <c r="O28" s="121"/>
    </row>
    <row r="29" spans="1:34" x14ac:dyDescent="0.2">
      <c r="A29" s="36" t="s">
        <v>155</v>
      </c>
      <c r="B29" s="28">
        <v>0.47199999999999998</v>
      </c>
      <c r="C29" s="28">
        <v>0.46400000000000002</v>
      </c>
      <c r="D29" s="28">
        <v>0.45800000000000002</v>
      </c>
      <c r="E29" s="28">
        <v>0.45200000000000001</v>
      </c>
      <c r="F29" s="28">
        <v>0.46799999999999997</v>
      </c>
      <c r="G29" s="28">
        <v>0.47499999999999998</v>
      </c>
      <c r="H29" s="28">
        <v>0.48</v>
      </c>
      <c r="I29" s="28">
        <v>0.48299999999999998</v>
      </c>
      <c r="J29" s="28">
        <v>0.48699999999999999</v>
      </c>
      <c r="K29" s="28"/>
      <c r="L29" s="28"/>
      <c r="M29" s="28"/>
      <c r="N29" s="216"/>
      <c r="O29" s="216"/>
      <c r="P29" s="216"/>
      <c r="Q29" s="216"/>
      <c r="S29" s="216"/>
    </row>
    <row r="30" spans="1:34" x14ac:dyDescent="0.2">
      <c r="A30" s="36" t="s">
        <v>192</v>
      </c>
      <c r="B30" s="28">
        <v>6.2E-2</v>
      </c>
      <c r="C30" s="28">
        <v>6.6000000000000003E-2</v>
      </c>
      <c r="D30" s="28">
        <v>7.0000000000000007E-2</v>
      </c>
      <c r="E30" s="28">
        <v>7.0000000000000007E-2</v>
      </c>
      <c r="F30" s="28">
        <v>6.8000000000000005E-2</v>
      </c>
      <c r="G30" s="28">
        <v>6.6000000000000003E-2</v>
      </c>
      <c r="H30" s="28">
        <v>6.6000000000000003E-2</v>
      </c>
      <c r="I30" s="28">
        <v>6.8000000000000005E-2</v>
      </c>
      <c r="J30" s="28">
        <v>7.0999999999999994E-2</v>
      </c>
      <c r="K30" s="28"/>
      <c r="L30" s="28"/>
      <c r="M30" s="28"/>
      <c r="N30" s="28"/>
      <c r="O30" s="121"/>
      <c r="Y30" s="320"/>
    </row>
    <row r="31" spans="1:34" x14ac:dyDescent="0.2">
      <c r="A31" s="36"/>
      <c r="B31" s="28"/>
      <c r="C31" s="28"/>
      <c r="D31" s="28"/>
      <c r="E31" s="28"/>
      <c r="F31" s="28"/>
      <c r="G31" s="28"/>
      <c r="H31" s="28"/>
      <c r="I31" s="28"/>
      <c r="J31" s="28"/>
      <c r="K31" s="28"/>
      <c r="L31" s="28"/>
      <c r="M31" s="28"/>
      <c r="N31" s="28"/>
      <c r="O31" s="121"/>
      <c r="R31" s="20"/>
    </row>
    <row r="32" spans="1:34" x14ac:dyDescent="0.2">
      <c r="A32" s="36" t="s">
        <v>113</v>
      </c>
      <c r="B32" s="28">
        <v>1</v>
      </c>
      <c r="C32" s="28">
        <v>1</v>
      </c>
      <c r="D32" s="28">
        <v>1</v>
      </c>
      <c r="E32" s="28">
        <v>1</v>
      </c>
      <c r="F32" s="28">
        <v>1</v>
      </c>
      <c r="G32" s="28">
        <v>1</v>
      </c>
      <c r="H32" s="28">
        <v>1</v>
      </c>
      <c r="I32" s="28">
        <v>1</v>
      </c>
      <c r="J32" s="28">
        <v>1</v>
      </c>
      <c r="K32" s="28"/>
      <c r="L32" s="28"/>
      <c r="M32" s="28"/>
      <c r="N32" s="28"/>
      <c r="O32" s="121"/>
      <c r="Y32" s="217"/>
    </row>
    <row r="33" spans="1:18" x14ac:dyDescent="0.2">
      <c r="A33" s="36"/>
      <c r="B33" s="36"/>
      <c r="C33" s="36"/>
      <c r="D33" s="36"/>
      <c r="E33" s="1"/>
      <c r="F33" s="1"/>
      <c r="G33" s="1"/>
      <c r="H33" s="1"/>
      <c r="I33" s="1"/>
      <c r="J33" s="1"/>
      <c r="K33" s="1"/>
      <c r="L33" s="1"/>
      <c r="M33" s="1"/>
      <c r="N33" s="1"/>
    </row>
    <row r="34" spans="1:18" x14ac:dyDescent="0.2">
      <c r="A34" s="270"/>
      <c r="B34" s="36"/>
      <c r="C34" s="36"/>
      <c r="D34" s="36"/>
      <c r="E34" s="1"/>
      <c r="F34" s="1"/>
      <c r="G34" s="1"/>
      <c r="H34" s="1"/>
      <c r="I34" s="1"/>
      <c r="J34" s="1"/>
      <c r="K34" s="1"/>
      <c r="L34" s="1"/>
      <c r="M34" s="1"/>
      <c r="N34" s="1"/>
      <c r="R34" s="216"/>
    </row>
    <row r="35" spans="1:18" x14ac:dyDescent="0.2">
      <c r="A35" s="188" t="s">
        <v>496</v>
      </c>
      <c r="B35" s="36"/>
      <c r="C35" s="36"/>
      <c r="D35" s="36"/>
      <c r="E35" s="1"/>
      <c r="F35" s="1"/>
      <c r="G35" s="1"/>
      <c r="H35" s="1"/>
      <c r="I35" s="1"/>
      <c r="J35" s="1"/>
      <c r="K35" s="1"/>
      <c r="L35" s="1"/>
      <c r="M35" s="1"/>
      <c r="N35" s="1"/>
    </row>
    <row r="36" spans="1:18" x14ac:dyDescent="0.2">
      <c r="A36" s="1" t="s">
        <v>429</v>
      </c>
      <c r="B36" s="36"/>
      <c r="C36" s="36"/>
      <c r="D36" s="36"/>
      <c r="E36" s="1"/>
      <c r="F36" s="1"/>
      <c r="G36" s="1"/>
      <c r="H36" s="1"/>
      <c r="I36" s="1"/>
      <c r="J36" s="1"/>
      <c r="K36" s="1"/>
      <c r="L36" s="1"/>
      <c r="M36" s="1"/>
      <c r="N36" s="1"/>
    </row>
    <row r="37" spans="1:18" x14ac:dyDescent="0.2">
      <c r="A37" s="1" t="s">
        <v>427</v>
      </c>
      <c r="B37" s="36"/>
      <c r="C37" s="36"/>
      <c r="D37" s="36"/>
      <c r="E37" s="1"/>
      <c r="F37" s="1"/>
      <c r="G37" s="1"/>
      <c r="H37" s="1"/>
      <c r="I37" s="1"/>
      <c r="J37" s="1"/>
      <c r="K37" s="1"/>
      <c r="L37" s="1"/>
      <c r="M37" s="1"/>
      <c r="N37" s="1"/>
    </row>
    <row r="38" spans="1:18" x14ac:dyDescent="0.2">
      <c r="A38" s="1" t="s">
        <v>426</v>
      </c>
      <c r="B38" s="36"/>
      <c r="C38" s="36"/>
      <c r="D38" s="36"/>
      <c r="E38" s="1"/>
      <c r="F38" s="1"/>
      <c r="G38" s="1"/>
      <c r="H38" s="1"/>
      <c r="I38" s="1"/>
      <c r="J38" s="1"/>
      <c r="K38" s="1"/>
      <c r="L38" s="1"/>
      <c r="M38" s="1"/>
      <c r="N38" s="1"/>
    </row>
    <row r="39" spans="1:18" x14ac:dyDescent="0.2">
      <c r="A39" s="1"/>
      <c r="B39" s="1" t="s">
        <v>457</v>
      </c>
      <c r="C39" s="1"/>
      <c r="D39" s="1"/>
      <c r="E39" s="1"/>
      <c r="F39" s="1"/>
      <c r="G39" s="1"/>
      <c r="H39" s="1"/>
      <c r="I39" s="1"/>
      <c r="J39" s="1"/>
      <c r="K39" s="1"/>
      <c r="L39" s="1"/>
      <c r="M39" s="1"/>
      <c r="N39" s="1"/>
    </row>
    <row r="40" spans="1:18" x14ac:dyDescent="0.2">
      <c r="A40" s="1" t="s">
        <v>116</v>
      </c>
      <c r="B40" s="189" t="s">
        <v>1128</v>
      </c>
      <c r="C40" s="1"/>
      <c r="D40" s="190" t="s">
        <v>460</v>
      </c>
      <c r="E40" s="1"/>
      <c r="F40" s="1"/>
      <c r="G40" s="1"/>
      <c r="H40" s="1"/>
      <c r="I40" s="1"/>
      <c r="J40" s="1"/>
      <c r="K40" s="1"/>
      <c r="L40" s="1"/>
      <c r="M40" s="1"/>
      <c r="N40" s="1"/>
    </row>
    <row r="41" spans="1:18" x14ac:dyDescent="0.2">
      <c r="A41" s="1" t="s">
        <v>456</v>
      </c>
      <c r="B41" s="1" t="s">
        <v>1129</v>
      </c>
      <c r="C41" s="1"/>
      <c r="D41" s="190" t="s">
        <v>566</v>
      </c>
      <c r="E41" s="1"/>
      <c r="F41" s="1"/>
      <c r="G41" s="1"/>
      <c r="H41" s="1"/>
      <c r="I41" s="1"/>
      <c r="J41" s="1"/>
      <c r="K41" s="1"/>
      <c r="L41" s="1"/>
      <c r="M41" s="1"/>
      <c r="N41" s="1"/>
    </row>
    <row r="42" spans="1:18" x14ac:dyDescent="0.2">
      <c r="A42" s="1" t="s">
        <v>154</v>
      </c>
      <c r="B42" s="1" t="s">
        <v>458</v>
      </c>
      <c r="C42" s="1"/>
      <c r="D42" s="190" t="s">
        <v>461</v>
      </c>
      <c r="E42" s="1"/>
      <c r="F42" s="1"/>
      <c r="G42" s="1"/>
      <c r="H42" s="1"/>
      <c r="I42" s="1"/>
      <c r="J42" s="1"/>
      <c r="K42" s="1"/>
      <c r="L42" s="1"/>
      <c r="M42" s="1"/>
      <c r="N42" s="1"/>
    </row>
    <row r="43" spans="1:18" x14ac:dyDescent="0.2">
      <c r="A43" s="1" t="s">
        <v>155</v>
      </c>
      <c r="B43" s="1" t="s">
        <v>565</v>
      </c>
      <c r="C43" s="1"/>
      <c r="D43" s="190" t="s">
        <v>463</v>
      </c>
      <c r="E43" s="1"/>
      <c r="F43" s="1"/>
      <c r="G43" s="1"/>
      <c r="H43" s="1"/>
      <c r="I43" s="1"/>
      <c r="J43" s="1"/>
      <c r="K43" s="1"/>
      <c r="L43" s="1"/>
      <c r="M43" s="1"/>
      <c r="N43" s="1"/>
    </row>
    <row r="44" spans="1:18" x14ac:dyDescent="0.2">
      <c r="A44" s="1" t="s">
        <v>156</v>
      </c>
      <c r="B44" s="1" t="s">
        <v>459</v>
      </c>
      <c r="C44" s="1"/>
      <c r="D44" s="190" t="s">
        <v>462</v>
      </c>
      <c r="E44" s="1"/>
      <c r="F44" s="1"/>
      <c r="G44" s="1"/>
      <c r="H44" s="1"/>
      <c r="I44" s="1"/>
      <c r="J44" s="1"/>
      <c r="K44" s="1"/>
      <c r="L44" s="1"/>
      <c r="M44" s="1"/>
      <c r="N44" s="1"/>
    </row>
    <row r="45" spans="1:18" x14ac:dyDescent="0.2">
      <c r="A45" s="1" t="s">
        <v>0</v>
      </c>
      <c r="B45" s="1" t="s">
        <v>21</v>
      </c>
      <c r="C45" s="1"/>
      <c r="D45" s="1" t="s">
        <v>22</v>
      </c>
      <c r="E45" s="1"/>
      <c r="F45" s="1"/>
      <c r="G45" s="1"/>
      <c r="H45" s="1"/>
      <c r="I45" s="1"/>
      <c r="J45" s="1"/>
      <c r="K45" s="1"/>
      <c r="L45" s="1"/>
      <c r="M45" s="1"/>
      <c r="N45" s="1"/>
    </row>
  </sheetData>
  <phoneticPr fontId="7" type="noConversion"/>
  <pageMargins left="0.25" right="0.25" top="1" bottom="1" header="0.5" footer="0.5"/>
  <pageSetup scale="61" orientation="landscape" r:id="rId1"/>
  <headerFooter alignWithMargins="0">
    <oddFooter>&amp;L&amp;Z&amp;F</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878B2-7C84-476E-B143-2ADF49A2B84B}">
  <sheetPr>
    <tabColor rgb="FFFFFF00"/>
    <pageSetUpPr fitToPage="1"/>
  </sheetPr>
  <dimension ref="B2:K46"/>
  <sheetViews>
    <sheetView topLeftCell="A2" zoomScale="90" zoomScaleNormal="90" workbookViewId="0">
      <selection activeCell="N45" sqref="N4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'23func'!C47</f>
        <v>7099.4493896864542</v>
      </c>
      <c r="H5" s="291" t="s">
        <v>1107</v>
      </c>
    </row>
    <row r="7" spans="3:11" ht="13.5" thickBot="1" x14ac:dyDescent="0.25"/>
    <row r="8" spans="3:11" ht="13.5" thickBot="1" x14ac:dyDescent="0.25">
      <c r="I8" s="277" t="s">
        <v>95</v>
      </c>
      <c r="J8" s="286">
        <f>'23func'!D47</f>
        <v>1198.0805257067177</v>
      </c>
      <c r="K8" s="291" t="s">
        <v>1107</v>
      </c>
    </row>
    <row r="14" spans="3:11" ht="13.5" thickBot="1" x14ac:dyDescent="0.25"/>
    <row r="15" spans="3:11" x14ac:dyDescent="0.2">
      <c r="C15" s="284" t="s">
        <v>1113</v>
      </c>
      <c r="D15" s="285"/>
    </row>
    <row r="16" spans="3:11" ht="13.5" thickBot="1" x14ac:dyDescent="0.25">
      <c r="C16" s="292">
        <f>'23func'!E47</f>
        <v>878.55740367615397</v>
      </c>
      <c r="D16" s="279" t="s">
        <v>1107</v>
      </c>
    </row>
    <row r="22" spans="2:11" ht="13.5" thickBot="1" x14ac:dyDescent="0.25"/>
    <row r="23" spans="2:11" ht="15.75" x14ac:dyDescent="0.25">
      <c r="F23" s="370" t="s">
        <v>1114</v>
      </c>
      <c r="G23" s="371"/>
    </row>
    <row r="24" spans="2:11" ht="15.75" x14ac:dyDescent="0.25">
      <c r="F24" s="372">
        <f>ROUND(J8+J29+J38+G41+C31+C16+G5+D46,0)</f>
        <v>14451</v>
      </c>
      <c r="G24" s="373"/>
    </row>
    <row r="25" spans="2:11" ht="16.5" thickBot="1" x14ac:dyDescent="0.3">
      <c r="F25" s="374" t="s">
        <v>1115</v>
      </c>
      <c r="G25" s="375"/>
    </row>
    <row r="28" spans="2:11" ht="13.5" thickBot="1" x14ac:dyDescent="0.25"/>
    <row r="29" spans="2:11" ht="13.5" thickBot="1" x14ac:dyDescent="0.25">
      <c r="I29" s="277" t="s">
        <v>1108</v>
      </c>
      <c r="J29" s="286">
        <f>'23func'!J47</f>
        <v>1283.1590274715031</v>
      </c>
      <c r="K29" s="291" t="s">
        <v>1107</v>
      </c>
    </row>
    <row r="30" spans="2:11" ht="13.5" thickBot="1" x14ac:dyDescent="0.25"/>
    <row r="31" spans="2:11" ht="13.5" thickBot="1" x14ac:dyDescent="0.25">
      <c r="B31" s="277" t="s">
        <v>93</v>
      </c>
      <c r="C31" s="286">
        <f>'23func'!I47</f>
        <v>984.64365198048131</v>
      </c>
      <c r="D31" s="291" t="s">
        <v>1107</v>
      </c>
    </row>
    <row r="37" spans="2:11" ht="13.5" thickBot="1" x14ac:dyDescent="0.25"/>
    <row r="38" spans="2:11" ht="13.5" thickBot="1" x14ac:dyDescent="0.25">
      <c r="I38" s="277" t="s">
        <v>1109</v>
      </c>
      <c r="J38" s="286">
        <f>'23func'!F47</f>
        <v>714.31146454678128</v>
      </c>
      <c r="K38" s="291" t="s">
        <v>1107</v>
      </c>
    </row>
    <row r="39" spans="2:11" ht="13.5" thickBot="1" x14ac:dyDescent="0.25"/>
    <row r="40" spans="2:11" ht="13.5" thickBot="1" x14ac:dyDescent="0.25">
      <c r="F40" s="282" t="s">
        <v>1111</v>
      </c>
      <c r="G40" s="280"/>
      <c r="H40" s="285"/>
    </row>
    <row r="41" spans="2:11" ht="13.5" thickBot="1" x14ac:dyDescent="0.25">
      <c r="G41" s="292">
        <f>'23func'!G47</f>
        <v>1517.6716997229062</v>
      </c>
      <c r="H41" s="279" t="s">
        <v>1107</v>
      </c>
    </row>
    <row r="45" spans="2:11" ht="13.5" thickBot="1" x14ac:dyDescent="0.25"/>
    <row r="46" spans="2:11" ht="13.5" thickBot="1" x14ac:dyDescent="0.25">
      <c r="B46" s="288"/>
      <c r="C46" s="277" t="s">
        <v>1112</v>
      </c>
      <c r="D46" s="286">
        <f>'23func'!H47</f>
        <v>775.42812907041787</v>
      </c>
      <c r="E46" s="291" t="s">
        <v>1107</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1168385"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1168385" r:id="rId4"/>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040F-65AB-4A19-9BAA-3F840F88CC66}">
  <sheetPr>
    <pageSetUpPr fitToPage="1"/>
  </sheetPr>
  <dimension ref="B2:K46"/>
  <sheetViews>
    <sheetView topLeftCell="A5" zoomScale="90" zoomScaleNormal="90" workbookViewId="0">
      <selection activeCell="F19" sqref="F19"/>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'22func'!C47</f>
        <v>7160.6741254269273</v>
      </c>
      <c r="H5" s="291" t="s">
        <v>1107</v>
      </c>
    </row>
    <row r="7" spans="3:11" ht="13.5" thickBot="1" x14ac:dyDescent="0.25"/>
    <row r="8" spans="3:11" ht="13.5" thickBot="1" x14ac:dyDescent="0.25">
      <c r="I8" s="277" t="s">
        <v>95</v>
      </c>
      <c r="J8" s="286">
        <f>'22func'!D47</f>
        <v>1198.353331164818</v>
      </c>
      <c r="K8" s="291" t="s">
        <v>1107</v>
      </c>
    </row>
    <row r="14" spans="3:11" ht="13.5" thickBot="1" x14ac:dyDescent="0.25"/>
    <row r="15" spans="3:11" x14ac:dyDescent="0.2">
      <c r="C15" s="284" t="s">
        <v>1113</v>
      </c>
      <c r="D15" s="285"/>
    </row>
    <row r="16" spans="3:11" ht="13.5" thickBot="1" x14ac:dyDescent="0.25">
      <c r="C16" s="292">
        <f>'22func'!E47</f>
        <v>850.90824057509019</v>
      </c>
      <c r="D16" s="279" t="s">
        <v>1107</v>
      </c>
    </row>
    <row r="22" spans="2:11" ht="13.5" thickBot="1" x14ac:dyDescent="0.25"/>
    <row r="23" spans="2:11" ht="15.75" x14ac:dyDescent="0.25">
      <c r="F23" s="370" t="s">
        <v>1114</v>
      </c>
      <c r="G23" s="371"/>
    </row>
    <row r="24" spans="2:11" ht="15.75" x14ac:dyDescent="0.25">
      <c r="F24" s="372">
        <f>ROUND(J8+J29+J38+G41+C31+C16+G5+D46,0)</f>
        <v>14148</v>
      </c>
      <c r="G24" s="373"/>
    </row>
    <row r="25" spans="2:11" ht="16.5" thickBot="1" x14ac:dyDescent="0.3">
      <c r="F25" s="374" t="s">
        <v>1115</v>
      </c>
      <c r="G25" s="375"/>
    </row>
    <row r="28" spans="2:11" ht="13.5" thickBot="1" x14ac:dyDescent="0.25"/>
    <row r="29" spans="2:11" ht="13.5" thickBot="1" x14ac:dyDescent="0.25">
      <c r="I29" s="277" t="s">
        <v>1108</v>
      </c>
      <c r="J29" s="286">
        <f>'22func'!J47</f>
        <v>1201.2987750056923</v>
      </c>
      <c r="K29" s="291" t="s">
        <v>1107</v>
      </c>
    </row>
    <row r="30" spans="2:11" ht="13.5" thickBot="1" x14ac:dyDescent="0.25"/>
    <row r="31" spans="2:11" ht="13.5" thickBot="1" x14ac:dyDescent="0.25">
      <c r="B31" s="277" t="s">
        <v>93</v>
      </c>
      <c r="C31" s="286">
        <f>'22func'!I47</f>
        <v>952.43850444003522</v>
      </c>
      <c r="D31" s="291" t="s">
        <v>1107</v>
      </c>
    </row>
    <row r="37" spans="2:11" ht="13.5" thickBot="1" x14ac:dyDescent="0.25"/>
    <row r="38" spans="2:11" ht="13.5" thickBot="1" x14ac:dyDescent="0.25">
      <c r="I38" s="277" t="s">
        <v>1109</v>
      </c>
      <c r="J38" s="286">
        <f>'22func'!F47</f>
        <v>706.76737950102449</v>
      </c>
      <c r="K38" s="291" t="s">
        <v>1107</v>
      </c>
    </row>
    <row r="39" spans="2:11" ht="13.5" thickBot="1" x14ac:dyDescent="0.25"/>
    <row r="40" spans="2:11" ht="13.5" thickBot="1" x14ac:dyDescent="0.25">
      <c r="F40" s="282" t="s">
        <v>1111</v>
      </c>
      <c r="G40" s="280"/>
      <c r="H40" s="285"/>
    </row>
    <row r="41" spans="2:11" ht="13.5" thickBot="1" x14ac:dyDescent="0.25">
      <c r="G41" s="292">
        <f>'22func'!G47</f>
        <v>1384.6715317308006</v>
      </c>
      <c r="H41" s="279" t="s">
        <v>1107</v>
      </c>
    </row>
    <row r="45" spans="2:11" ht="13.5" thickBot="1" x14ac:dyDescent="0.25"/>
    <row r="46" spans="2:11" ht="13.5" thickBot="1" x14ac:dyDescent="0.25">
      <c r="B46" s="288"/>
      <c r="C46" s="277" t="s">
        <v>1112</v>
      </c>
      <c r="D46" s="286">
        <f>'22func'!H47</f>
        <v>692.52475724555188</v>
      </c>
      <c r="E46" s="291" t="s">
        <v>1107</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103321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1033217" r:id="rId4"/>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9D2C8-F5E8-45B4-955D-21423554EB19}">
  <sheetPr>
    <pageSetUpPr fitToPage="1"/>
  </sheetPr>
  <dimension ref="B2:K46"/>
  <sheetViews>
    <sheetView zoomScale="90" zoomScaleNormal="90" workbookViewId="0">
      <selection activeCell="G5" sqref="G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'21func'!C47</f>
        <v>6886.810216538096</v>
      </c>
      <c r="H5" s="291" t="s">
        <v>1107</v>
      </c>
    </row>
    <row r="7" spans="3:11" ht="13.5" thickBot="1" x14ac:dyDescent="0.25"/>
    <row r="8" spans="3:11" ht="13.5" thickBot="1" x14ac:dyDescent="0.25">
      <c r="I8" s="277" t="s">
        <v>95</v>
      </c>
      <c r="J8" s="286">
        <f>'21func'!D47</f>
        <v>1138.8692202050665</v>
      </c>
      <c r="K8" s="291" t="s">
        <v>1107</v>
      </c>
    </row>
    <row r="14" spans="3:11" ht="13.5" thickBot="1" x14ac:dyDescent="0.25"/>
    <row r="15" spans="3:11" x14ac:dyDescent="0.2">
      <c r="C15" s="284" t="s">
        <v>1113</v>
      </c>
      <c r="D15" s="285"/>
    </row>
    <row r="16" spans="3:11" ht="13.5" thickBot="1" x14ac:dyDescent="0.25">
      <c r="C16" s="292">
        <f>'21func'!E47</f>
        <v>763.0025739032925</v>
      </c>
      <c r="D16" s="279" t="s">
        <v>1107</v>
      </c>
    </row>
    <row r="22" spans="2:11" ht="13.5" thickBot="1" x14ac:dyDescent="0.25"/>
    <row r="23" spans="2:11" ht="15.75" x14ac:dyDescent="0.25">
      <c r="F23" s="370" t="s">
        <v>1114</v>
      </c>
      <c r="G23" s="371"/>
    </row>
    <row r="24" spans="2:11" ht="15.75" x14ac:dyDescent="0.25">
      <c r="F24" s="372">
        <f>ROUND(J8+J29+J38+G41+C31+C16+G5+D46,0)</f>
        <v>13380</v>
      </c>
      <c r="G24" s="373"/>
    </row>
    <row r="25" spans="2:11" ht="16.5" thickBot="1" x14ac:dyDescent="0.3">
      <c r="F25" s="374" t="s">
        <v>1115</v>
      </c>
      <c r="G25" s="375"/>
    </row>
    <row r="28" spans="2:11" ht="13.5" thickBot="1" x14ac:dyDescent="0.25"/>
    <row r="29" spans="2:11" ht="13.5" thickBot="1" x14ac:dyDescent="0.25">
      <c r="I29" s="277" t="s">
        <v>1108</v>
      </c>
      <c r="J29" s="286">
        <f>'21func'!J47</f>
        <v>1110.0205107979041</v>
      </c>
      <c r="K29" s="291" t="s">
        <v>1107</v>
      </c>
    </row>
    <row r="30" spans="2:11" ht="13.5" thickBot="1" x14ac:dyDescent="0.25"/>
    <row r="31" spans="2:11" ht="13.5" thickBot="1" x14ac:dyDescent="0.25">
      <c r="B31" s="277" t="s">
        <v>93</v>
      </c>
      <c r="C31" s="286">
        <f>'21func'!I47</f>
        <v>813.86069814202574</v>
      </c>
      <c r="D31" s="291" t="s">
        <v>1107</v>
      </c>
    </row>
    <row r="37" spans="2:11" ht="13.5" thickBot="1" x14ac:dyDescent="0.25"/>
    <row r="38" spans="2:11" ht="13.5" thickBot="1" x14ac:dyDescent="0.25">
      <c r="I38" s="277" t="s">
        <v>1109</v>
      </c>
      <c r="J38" s="286">
        <f>'21func'!F47</f>
        <v>675.41617043352733</v>
      </c>
      <c r="K38" s="291" t="s">
        <v>1107</v>
      </c>
    </row>
    <row r="39" spans="2:11" ht="13.5" thickBot="1" x14ac:dyDescent="0.25"/>
    <row r="40" spans="2:11" ht="13.5" thickBot="1" x14ac:dyDescent="0.25">
      <c r="F40" s="282" t="s">
        <v>1111</v>
      </c>
      <c r="G40" s="280"/>
      <c r="H40" s="285"/>
    </row>
    <row r="41" spans="2:11" ht="13.5" thickBot="1" x14ac:dyDescent="0.25">
      <c r="G41" s="292">
        <f>'21func'!G47</f>
        <v>1341.6929235865412</v>
      </c>
      <c r="H41" s="279" t="s">
        <v>1107</v>
      </c>
    </row>
    <row r="45" spans="2:11" ht="13.5" thickBot="1" x14ac:dyDescent="0.25"/>
    <row r="46" spans="2:11" ht="13.5" thickBot="1" x14ac:dyDescent="0.25">
      <c r="B46" s="288"/>
      <c r="C46" s="277" t="s">
        <v>1112</v>
      </c>
      <c r="D46" s="286">
        <f>'21func'!H47</f>
        <v>650.28640482312835</v>
      </c>
      <c r="E46" s="291" t="s">
        <v>1107</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902145"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902145" r:id="rId4"/>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73F3-35CE-4891-B739-2BE78D85FDA7}">
  <sheetPr>
    <pageSetUpPr fitToPage="1"/>
  </sheetPr>
  <dimension ref="B2:K46"/>
  <sheetViews>
    <sheetView zoomScale="90" zoomScaleNormal="90" workbookViewId="0">
      <selection activeCell="N15" sqref="N1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'20func'!C47</f>
        <v>6377.8743065085218</v>
      </c>
      <c r="H5" s="291" t="s">
        <v>1107</v>
      </c>
    </row>
    <row r="7" spans="3:11" ht="13.5" thickBot="1" x14ac:dyDescent="0.25"/>
    <row r="8" spans="3:11" ht="13.5" thickBot="1" x14ac:dyDescent="0.25">
      <c r="I8" s="277" t="s">
        <v>95</v>
      </c>
      <c r="J8" s="286">
        <f>'20func'!D47</f>
        <v>1077.6469914851509</v>
      </c>
      <c r="K8" s="291" t="s">
        <v>1107</v>
      </c>
    </row>
    <row r="14" spans="3:11" ht="13.5" thickBot="1" x14ac:dyDescent="0.25"/>
    <row r="15" spans="3:11" x14ac:dyDescent="0.2">
      <c r="C15" s="284" t="s">
        <v>1113</v>
      </c>
      <c r="D15" s="285"/>
    </row>
    <row r="16" spans="3:11" ht="13.5" thickBot="1" x14ac:dyDescent="0.25">
      <c r="C16" s="292">
        <f>'20func'!E47</f>
        <v>716.74092452510831</v>
      </c>
      <c r="D16" s="279" t="s">
        <v>1107</v>
      </c>
    </row>
    <row r="22" spans="2:11" ht="13.5" thickBot="1" x14ac:dyDescent="0.25"/>
    <row r="23" spans="2:11" ht="15.75" x14ac:dyDescent="0.25">
      <c r="F23" s="370" t="s">
        <v>1114</v>
      </c>
      <c r="G23" s="371"/>
    </row>
    <row r="24" spans="2:11" ht="15.75" x14ac:dyDescent="0.25">
      <c r="F24" s="372">
        <f>ROUND(J8+J29+J38+G41+C31+C16+G5+D46,0)</f>
        <v>12563</v>
      </c>
      <c r="G24" s="373"/>
    </row>
    <row r="25" spans="2:11" ht="16.5" thickBot="1" x14ac:dyDescent="0.3">
      <c r="F25" s="374" t="s">
        <v>1115</v>
      </c>
      <c r="G25" s="375"/>
    </row>
    <row r="28" spans="2:11" ht="13.5" thickBot="1" x14ac:dyDescent="0.25"/>
    <row r="29" spans="2:11" ht="13.5" thickBot="1" x14ac:dyDescent="0.25">
      <c r="I29" s="277" t="s">
        <v>1108</v>
      </c>
      <c r="J29" s="286">
        <f>'20func'!J47</f>
        <v>1137.2777672607965</v>
      </c>
      <c r="K29" s="291" t="s">
        <v>1107</v>
      </c>
    </row>
    <row r="30" spans="2:11" ht="13.5" thickBot="1" x14ac:dyDescent="0.25"/>
    <row r="31" spans="2:11" ht="13.5" thickBot="1" x14ac:dyDescent="0.25">
      <c r="B31" s="277" t="s">
        <v>93</v>
      </c>
      <c r="C31" s="286">
        <f>'20func'!I47</f>
        <v>780.04287258973795</v>
      </c>
      <c r="D31" s="291" t="s">
        <v>1107</v>
      </c>
    </row>
    <row r="37" spans="2:11" ht="13.5" thickBot="1" x14ac:dyDescent="0.25"/>
    <row r="38" spans="2:11" ht="13.5" thickBot="1" x14ac:dyDescent="0.25">
      <c r="I38" s="277" t="s">
        <v>1109</v>
      </c>
      <c r="J38" s="286">
        <f>'20func'!F47</f>
        <v>659.47348939549772</v>
      </c>
      <c r="K38" s="291" t="s">
        <v>1107</v>
      </c>
    </row>
    <row r="39" spans="2:11" ht="13.5" thickBot="1" x14ac:dyDescent="0.25"/>
    <row r="40" spans="2:11" ht="13.5" thickBot="1" x14ac:dyDescent="0.25">
      <c r="F40" s="282" t="s">
        <v>1111</v>
      </c>
      <c r="G40" s="280"/>
      <c r="H40" s="285"/>
    </row>
    <row r="41" spans="2:11" ht="13.5" thickBot="1" x14ac:dyDescent="0.25">
      <c r="G41" s="292">
        <f>'20func'!G47</f>
        <v>1200.3704012004114</v>
      </c>
      <c r="H41" s="279" t="s">
        <v>1107</v>
      </c>
    </row>
    <row r="45" spans="2:11" ht="13.5" thickBot="1" x14ac:dyDescent="0.25"/>
    <row r="46" spans="2:11" ht="13.5" thickBot="1" x14ac:dyDescent="0.25">
      <c r="B46" s="288"/>
      <c r="C46" s="277" t="s">
        <v>1112</v>
      </c>
      <c r="D46" s="286">
        <f>'20func'!H47</f>
        <v>613.46249632194974</v>
      </c>
      <c r="E46" s="291" t="s">
        <v>1107</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886785"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886785" r:id="rId4"/>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K46"/>
  <sheetViews>
    <sheetView topLeftCell="A28" zoomScale="90" zoomScaleNormal="90" workbookViewId="0">
      <selection activeCell="D53" sqref="D53"/>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'19func'!C47</f>
        <v>6276.6902145084787</v>
      </c>
      <c r="H5" s="291" t="s">
        <v>1107</v>
      </c>
    </row>
    <row r="7" spans="3:11" ht="13.5" thickBot="1" x14ac:dyDescent="0.25"/>
    <row r="8" spans="3:11" ht="13.5" thickBot="1" x14ac:dyDescent="0.25">
      <c r="I8" s="277" t="s">
        <v>95</v>
      </c>
      <c r="J8" s="286">
        <f>'19func'!D47</f>
        <v>1108.69769511492</v>
      </c>
      <c r="K8" s="291" t="s">
        <v>1107</v>
      </c>
    </row>
    <row r="14" spans="3:11" ht="13.5" thickBot="1" x14ac:dyDescent="0.25"/>
    <row r="15" spans="3:11" x14ac:dyDescent="0.2">
      <c r="C15" s="284" t="s">
        <v>1113</v>
      </c>
      <c r="D15" s="285"/>
    </row>
    <row r="16" spans="3:11" ht="13.5" thickBot="1" x14ac:dyDescent="0.25">
      <c r="C16" s="292">
        <f>'19func'!E47</f>
        <v>680.02923460963916</v>
      </c>
      <c r="D16" s="279" t="s">
        <v>1107</v>
      </c>
    </row>
    <row r="22" spans="2:11" ht="13.5" thickBot="1" x14ac:dyDescent="0.25"/>
    <row r="23" spans="2:11" ht="15.75" x14ac:dyDescent="0.25">
      <c r="F23" s="370" t="s">
        <v>1114</v>
      </c>
      <c r="G23" s="371"/>
    </row>
    <row r="24" spans="2:11" ht="15.75" x14ac:dyDescent="0.25">
      <c r="F24" s="372">
        <f>ROUND(J8+J29+J38+G41+C31+C16+G5+D46,0)</f>
        <v>12247</v>
      </c>
      <c r="G24" s="373"/>
    </row>
    <row r="25" spans="2:11" ht="16.5" thickBot="1" x14ac:dyDescent="0.3">
      <c r="F25" s="374" t="s">
        <v>1115</v>
      </c>
      <c r="G25" s="375"/>
    </row>
    <row r="28" spans="2:11" ht="13.5" thickBot="1" x14ac:dyDescent="0.25"/>
    <row r="29" spans="2:11" ht="13.5" thickBot="1" x14ac:dyDescent="0.25">
      <c r="I29" s="277" t="s">
        <v>1108</v>
      </c>
      <c r="J29" s="286">
        <f>'19func'!J47</f>
        <v>932.55683360851219</v>
      </c>
      <c r="K29" s="291" t="s">
        <v>1107</v>
      </c>
    </row>
    <row r="30" spans="2:11" ht="13.5" thickBot="1" x14ac:dyDescent="0.25"/>
    <row r="31" spans="2:11" ht="13.5" thickBot="1" x14ac:dyDescent="0.25">
      <c r="B31" s="277" t="s">
        <v>93</v>
      </c>
      <c r="C31" s="286">
        <f>'19func'!I47</f>
        <v>802.55074311397641</v>
      </c>
      <c r="D31" s="291" t="s">
        <v>1107</v>
      </c>
    </row>
    <row r="37" spans="2:11" ht="13.5" thickBot="1" x14ac:dyDescent="0.25"/>
    <row r="38" spans="2:11" ht="13.5" thickBot="1" x14ac:dyDescent="0.25">
      <c r="I38" s="277" t="s">
        <v>1109</v>
      </c>
      <c r="J38" s="286">
        <f>'19func'!F47</f>
        <v>641.22108636685277</v>
      </c>
      <c r="K38" s="291" t="s">
        <v>1107</v>
      </c>
    </row>
    <row r="39" spans="2:11" ht="13.5" thickBot="1" x14ac:dyDescent="0.25"/>
    <row r="40" spans="2:11" ht="13.5" thickBot="1" x14ac:dyDescent="0.25">
      <c r="F40" s="282" t="s">
        <v>1111</v>
      </c>
      <c r="G40" s="280"/>
      <c r="H40" s="285"/>
    </row>
    <row r="41" spans="2:11" ht="13.5" thickBot="1" x14ac:dyDescent="0.25">
      <c r="G41" s="292">
        <f>'19func'!G47</f>
        <v>1155.9479130958935</v>
      </c>
      <c r="H41" s="279" t="s">
        <v>1107</v>
      </c>
    </row>
    <row r="45" spans="2:11" ht="13.5" thickBot="1" x14ac:dyDescent="0.25"/>
    <row r="46" spans="2:11" ht="13.5" thickBot="1" x14ac:dyDescent="0.25">
      <c r="B46" s="288"/>
      <c r="C46" s="277" t="s">
        <v>1112</v>
      </c>
      <c r="D46" s="286">
        <f>'19func'!H47</f>
        <v>649.44886396991387</v>
      </c>
      <c r="E46" s="291" t="s">
        <v>1107</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7659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765953" r:id="rId4"/>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K46"/>
  <sheetViews>
    <sheetView zoomScale="90" zoomScaleNormal="90" workbookViewId="0">
      <selection activeCell="D7" sqref="D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'18func'!C47</f>
        <v>6061.9348076152428</v>
      </c>
      <c r="H5" s="291" t="s">
        <v>1107</v>
      </c>
    </row>
    <row r="7" spans="3:11" ht="13.5" thickBot="1" x14ac:dyDescent="0.25"/>
    <row r="8" spans="3:11" ht="13.5" thickBot="1" x14ac:dyDescent="0.25">
      <c r="I8" s="277" t="s">
        <v>95</v>
      </c>
      <c r="J8" s="286">
        <f>'18func'!D47</f>
        <v>1082.2758057035496</v>
      </c>
      <c r="K8" s="291" t="s">
        <v>1107</v>
      </c>
    </row>
    <row r="14" spans="3:11" ht="13.5" thickBot="1" x14ac:dyDescent="0.25"/>
    <row r="15" spans="3:11" x14ac:dyDescent="0.2">
      <c r="C15" s="284" t="s">
        <v>1113</v>
      </c>
      <c r="D15" s="285"/>
    </row>
    <row r="16" spans="3:11" ht="13.5" thickBot="1" x14ac:dyDescent="0.25">
      <c r="C16" s="292">
        <f>'18func'!E47</f>
        <v>657.64888852392255</v>
      </c>
      <c r="D16" s="279" t="s">
        <v>1107</v>
      </c>
    </row>
    <row r="22" spans="2:11" ht="13.5" thickBot="1" x14ac:dyDescent="0.25"/>
    <row r="23" spans="2:11" ht="15.75" x14ac:dyDescent="0.25">
      <c r="F23" s="370" t="s">
        <v>1114</v>
      </c>
      <c r="G23" s="371"/>
    </row>
    <row r="24" spans="2:11" ht="15.75" x14ac:dyDescent="0.25">
      <c r="F24" s="372">
        <f>ROUND(J8+J29+J38+G41+C31+C16+G5+D46,0)</f>
        <v>11769</v>
      </c>
      <c r="G24" s="373"/>
    </row>
    <row r="25" spans="2:11" ht="16.5" thickBot="1" x14ac:dyDescent="0.3">
      <c r="F25" s="374" t="s">
        <v>1115</v>
      </c>
      <c r="G25" s="375"/>
    </row>
    <row r="28" spans="2:11" ht="13.5" thickBot="1" x14ac:dyDescent="0.25"/>
    <row r="29" spans="2:11" ht="13.5" thickBot="1" x14ac:dyDescent="0.25">
      <c r="I29" s="277" t="s">
        <v>1108</v>
      </c>
      <c r="J29" s="286">
        <f>'18func'!J47</f>
        <v>821.82102843891448</v>
      </c>
      <c r="K29" s="291" t="s">
        <v>1107</v>
      </c>
    </row>
    <row r="30" spans="2:11" ht="13.5" thickBot="1" x14ac:dyDescent="0.25"/>
    <row r="31" spans="2:11" ht="13.5" thickBot="1" x14ac:dyDescent="0.25">
      <c r="B31" s="277" t="s">
        <v>93</v>
      </c>
      <c r="C31" s="286">
        <f>'18func'!I47</f>
        <v>793.16374803739313</v>
      </c>
      <c r="D31" s="291" t="s">
        <v>1107</v>
      </c>
    </row>
    <row r="37" spans="2:11" ht="13.5" thickBot="1" x14ac:dyDescent="0.25"/>
    <row r="38" spans="2:11" ht="13.5" thickBot="1" x14ac:dyDescent="0.25">
      <c r="I38" s="277" t="s">
        <v>1109</v>
      </c>
      <c r="J38" s="286">
        <f>'18func'!F47</f>
        <v>614.52752589984289</v>
      </c>
      <c r="K38" s="291" t="s">
        <v>1107</v>
      </c>
    </row>
    <row r="39" spans="2:11" ht="13.5" thickBot="1" x14ac:dyDescent="0.25"/>
    <row r="40" spans="2:11" ht="13.5" thickBot="1" x14ac:dyDescent="0.25">
      <c r="F40" s="282" t="s">
        <v>1111</v>
      </c>
      <c r="G40" s="280"/>
      <c r="H40" s="285"/>
    </row>
    <row r="41" spans="2:11" ht="13.5" thickBot="1" x14ac:dyDescent="0.25">
      <c r="G41" s="292">
        <f>'18func'!G47</f>
        <v>1115.2120939292215</v>
      </c>
      <c r="H41" s="279" t="s">
        <v>1107</v>
      </c>
    </row>
    <row r="45" spans="2:11" ht="13.5" thickBot="1" x14ac:dyDescent="0.25"/>
    <row r="46" spans="2:11" ht="13.5" thickBot="1" x14ac:dyDescent="0.25">
      <c r="B46" s="288"/>
      <c r="C46" s="277" t="s">
        <v>1112</v>
      </c>
      <c r="D46" s="286">
        <f>'18func'!H47</f>
        <v>622.05897996991212</v>
      </c>
      <c r="E46" s="291" t="s">
        <v>1107</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64716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647169" r:id="rId4"/>
      </mc:Fallback>
    </mc:AlternateContent>
  </oleObject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K46"/>
  <sheetViews>
    <sheetView zoomScale="90" zoomScaleNormal="90" workbookViewId="0">
      <selection activeCell="M29" sqref="M29"/>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'17func'!C47</f>
        <v>5989.635151453117</v>
      </c>
      <c r="H5" s="291" t="s">
        <v>1107</v>
      </c>
    </row>
    <row r="7" spans="3:11" ht="13.5" thickBot="1" x14ac:dyDescent="0.25"/>
    <row r="8" spans="3:11" ht="13.5" thickBot="1" x14ac:dyDescent="0.25">
      <c r="I8" s="277" t="s">
        <v>95</v>
      </c>
      <c r="J8" s="286">
        <f>'17func'!D47</f>
        <v>1043.156589580871</v>
      </c>
      <c r="K8" s="291" t="s">
        <v>1107</v>
      </c>
    </row>
    <row r="14" spans="3:11" ht="13.5" thickBot="1" x14ac:dyDescent="0.25"/>
    <row r="15" spans="3:11" x14ac:dyDescent="0.2">
      <c r="C15" s="284" t="s">
        <v>1113</v>
      </c>
      <c r="D15" s="285"/>
    </row>
    <row r="16" spans="3:11" ht="13.5" thickBot="1" x14ac:dyDescent="0.25">
      <c r="C16" s="292">
        <f>'17func'!E47</f>
        <v>664.41029524608234</v>
      </c>
      <c r="D16" s="279" t="s">
        <v>1107</v>
      </c>
    </row>
    <row r="22" spans="2:11" ht="13.5" thickBot="1" x14ac:dyDescent="0.25"/>
    <row r="23" spans="2:11" ht="15.75" x14ac:dyDescent="0.25">
      <c r="F23" s="370" t="s">
        <v>1114</v>
      </c>
      <c r="G23" s="371"/>
    </row>
    <row r="24" spans="2:11" ht="15.75" x14ac:dyDescent="0.25">
      <c r="F24" s="372">
        <f>ROUND(J8+J29+J38+G41+C31+C16+G5+D46,0)</f>
        <v>11437</v>
      </c>
      <c r="G24" s="373"/>
    </row>
    <row r="25" spans="2:11" ht="16.5" thickBot="1" x14ac:dyDescent="0.3">
      <c r="F25" s="374" t="s">
        <v>1115</v>
      </c>
      <c r="G25" s="375"/>
    </row>
    <row r="28" spans="2:11" ht="13.5" thickBot="1" x14ac:dyDescent="0.25"/>
    <row r="29" spans="2:11" ht="13.5" thickBot="1" x14ac:dyDescent="0.25">
      <c r="I29" s="277" t="s">
        <v>1108</v>
      </c>
      <c r="J29" s="286">
        <f>'17func'!J47</f>
        <v>640.82691791089121</v>
      </c>
      <c r="K29" s="291" t="s">
        <v>1107</v>
      </c>
    </row>
    <row r="30" spans="2:11" ht="13.5" thickBot="1" x14ac:dyDescent="0.25"/>
    <row r="31" spans="2:11" ht="13.5" thickBot="1" x14ac:dyDescent="0.25">
      <c r="B31" s="277" t="s">
        <v>93</v>
      </c>
      <c r="C31" s="286">
        <f>'17func'!I47</f>
        <v>772.96893299346914</v>
      </c>
      <c r="D31" s="291" t="s">
        <v>1107</v>
      </c>
    </row>
    <row r="37" spans="2:11" ht="13.5" thickBot="1" x14ac:dyDescent="0.25"/>
    <row r="38" spans="2:11" ht="13.5" thickBot="1" x14ac:dyDescent="0.25">
      <c r="I38" s="277" t="s">
        <v>1109</v>
      </c>
      <c r="J38" s="286">
        <f>'17func'!F47</f>
        <v>602.11547839638661</v>
      </c>
      <c r="K38" s="291" t="s">
        <v>1107</v>
      </c>
    </row>
    <row r="39" spans="2:11" ht="13.5" thickBot="1" x14ac:dyDescent="0.25"/>
    <row r="40" spans="2:11" ht="13.5" thickBot="1" x14ac:dyDescent="0.25">
      <c r="F40" s="282" t="s">
        <v>1111</v>
      </c>
      <c r="G40" s="280"/>
      <c r="H40" s="285"/>
    </row>
    <row r="41" spans="2:11" ht="13.5" thickBot="1" x14ac:dyDescent="0.25">
      <c r="G41" s="292">
        <f>'17func'!G47</f>
        <v>1120.4143649666848</v>
      </c>
      <c r="H41" s="279" t="s">
        <v>1107</v>
      </c>
    </row>
    <row r="45" spans="2:11" ht="13.5" thickBot="1" x14ac:dyDescent="0.25"/>
    <row r="46" spans="2:11" ht="13.5" thickBot="1" x14ac:dyDescent="0.25">
      <c r="B46" s="288"/>
      <c r="C46" s="277" t="s">
        <v>1112</v>
      </c>
      <c r="D46" s="286">
        <f>'17func'!H47</f>
        <v>603.60023673835963</v>
      </c>
      <c r="E46" s="291" t="s">
        <v>1107</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532481"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532481" r:id="rId4"/>
      </mc:Fallback>
    </mc:AlternateContent>
  </oleObject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'16func'!C47</f>
        <v>5925.3435243396571</v>
      </c>
      <c r="H5" s="291" t="s">
        <v>1107</v>
      </c>
    </row>
    <row r="7" spans="3:11" ht="13.5" thickBot="1" x14ac:dyDescent="0.25"/>
    <row r="8" spans="3:11" ht="13.5" thickBot="1" x14ac:dyDescent="0.25">
      <c r="I8" s="277" t="s">
        <v>95</v>
      </c>
      <c r="J8" s="286">
        <f>'16func'!D47</f>
        <v>1023.9625249855181</v>
      </c>
      <c r="K8" s="291" t="s">
        <v>1107</v>
      </c>
    </row>
    <row r="14" spans="3:11" ht="13.5" thickBot="1" x14ac:dyDescent="0.25"/>
    <row r="15" spans="3:11" x14ac:dyDescent="0.2">
      <c r="C15" s="284" t="s">
        <v>1113</v>
      </c>
      <c r="D15" s="285"/>
    </row>
    <row r="16" spans="3:11" ht="13.5" thickBot="1" x14ac:dyDescent="0.25">
      <c r="C16" s="292">
        <f>'16func'!E47</f>
        <v>646.75877179782537</v>
      </c>
      <c r="D16" s="279" t="s">
        <v>1107</v>
      </c>
    </row>
    <row r="22" spans="2:11" ht="13.5" thickBot="1" x14ac:dyDescent="0.25"/>
    <row r="23" spans="2:11" ht="15.75" x14ac:dyDescent="0.25">
      <c r="F23" s="370" t="s">
        <v>1114</v>
      </c>
      <c r="G23" s="371"/>
    </row>
    <row r="24" spans="2:11" ht="15.75" x14ac:dyDescent="0.25">
      <c r="F24" s="372">
        <f>ROUND(J8+J29+J38+G41+C31+C16+G5+D46,0)</f>
        <v>11287</v>
      </c>
      <c r="G24" s="373"/>
    </row>
    <row r="25" spans="2:11" ht="16.5" thickBot="1" x14ac:dyDescent="0.3">
      <c r="F25" s="374" t="s">
        <v>1115</v>
      </c>
      <c r="G25" s="375"/>
    </row>
    <row r="28" spans="2:11" ht="13.5" thickBot="1" x14ac:dyDescent="0.25"/>
    <row r="29" spans="2:11" ht="13.5" thickBot="1" x14ac:dyDescent="0.25">
      <c r="I29" s="277" t="s">
        <v>1108</v>
      </c>
      <c r="J29" s="286">
        <f>'16func'!J47</f>
        <v>622.44374386598042</v>
      </c>
      <c r="K29" s="291" t="s">
        <v>1107</v>
      </c>
    </row>
    <row r="30" spans="2:11" ht="13.5" thickBot="1" x14ac:dyDescent="0.25"/>
    <row r="31" spans="2:11" ht="13.5" thickBot="1" x14ac:dyDescent="0.25">
      <c r="B31" s="277" t="s">
        <v>93</v>
      </c>
      <c r="C31" s="286">
        <f>'16func'!I47</f>
        <v>766.60432906975973</v>
      </c>
      <c r="D31" s="291" t="s">
        <v>1107</v>
      </c>
    </row>
    <row r="37" spans="2:11" ht="13.5" thickBot="1" x14ac:dyDescent="0.25"/>
    <row r="38" spans="2:11" ht="13.5" thickBot="1" x14ac:dyDescent="0.25">
      <c r="I38" s="277" t="s">
        <v>1109</v>
      </c>
      <c r="J38" s="286">
        <f>'16func'!F47</f>
        <v>595.51388029589793</v>
      </c>
      <c r="K38" s="291" t="s">
        <v>1107</v>
      </c>
    </row>
    <row r="39" spans="2:11" ht="13.5" thickBot="1" x14ac:dyDescent="0.25"/>
    <row r="40" spans="2:11" ht="13.5" thickBot="1" x14ac:dyDescent="0.25">
      <c r="F40" s="282" t="s">
        <v>1111</v>
      </c>
      <c r="G40" s="280"/>
      <c r="H40" s="285"/>
    </row>
    <row r="41" spans="2:11" ht="13.5" thickBot="1" x14ac:dyDescent="0.25">
      <c r="G41" s="292">
        <f>'16func'!G47</f>
        <v>1122.9328987195961</v>
      </c>
      <c r="H41" s="279" t="s">
        <v>1107</v>
      </c>
    </row>
    <row r="45" spans="2:11" ht="13.5" thickBot="1" x14ac:dyDescent="0.25"/>
    <row r="46" spans="2:11" ht="13.5" thickBot="1" x14ac:dyDescent="0.25">
      <c r="B46" s="288"/>
      <c r="C46" s="277" t="s">
        <v>1112</v>
      </c>
      <c r="D46" s="286">
        <f>'16func'!H47</f>
        <v>583.47639109909642</v>
      </c>
      <c r="E46" s="291" t="s">
        <v>1107</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2188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21889" r:id="rId4"/>
      </mc:Fallback>
    </mc:AlternateContent>
  </oleObject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K46"/>
  <sheetViews>
    <sheetView topLeftCell="A22" zoomScale="90" zoomScaleNormal="90" workbookViewId="0">
      <selection activeCell="D7" sqref="D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'15func'!C47</f>
        <v>5787.2573039287863</v>
      </c>
      <c r="H5" s="291" t="s">
        <v>1107</v>
      </c>
    </row>
    <row r="7" spans="3:11" ht="13.5" thickBot="1" x14ac:dyDescent="0.25"/>
    <row r="8" spans="3:11" ht="13.5" thickBot="1" x14ac:dyDescent="0.25">
      <c r="I8" s="277" t="s">
        <v>95</v>
      </c>
      <c r="J8" s="286">
        <f>'15func'!D47</f>
        <v>1001.2967538317382</v>
      </c>
      <c r="K8" s="291" t="s">
        <v>1107</v>
      </c>
    </row>
    <row r="14" spans="3:11" ht="13.5" thickBot="1" x14ac:dyDescent="0.25"/>
    <row r="15" spans="3:11" x14ac:dyDescent="0.2">
      <c r="C15" s="284" t="s">
        <v>1113</v>
      </c>
      <c r="D15" s="285"/>
    </row>
    <row r="16" spans="3:11" ht="13.5" thickBot="1" x14ac:dyDescent="0.25">
      <c r="C16" s="292">
        <f>'15func'!E47</f>
        <v>629.25922796332236</v>
      </c>
      <c r="D16" s="279" t="s">
        <v>1107</v>
      </c>
    </row>
    <row r="22" spans="2:11" ht="13.5" thickBot="1" x14ac:dyDescent="0.25"/>
    <row r="23" spans="2:11" ht="15.75" x14ac:dyDescent="0.25">
      <c r="F23" s="370" t="s">
        <v>1114</v>
      </c>
      <c r="G23" s="371"/>
    </row>
    <row r="24" spans="2:11" ht="15.75" x14ac:dyDescent="0.25">
      <c r="F24" s="372">
        <f>ROUND(J8+J29+J38+G41+C31+C16+G5+D46,0)</f>
        <v>11045</v>
      </c>
      <c r="G24" s="373"/>
    </row>
    <row r="25" spans="2:11" ht="16.5" thickBot="1" x14ac:dyDescent="0.3">
      <c r="F25" s="374" t="s">
        <v>1115</v>
      </c>
      <c r="G25" s="375"/>
    </row>
    <row r="28" spans="2:11" ht="13.5" thickBot="1" x14ac:dyDescent="0.25"/>
    <row r="29" spans="2:11" ht="13.5" thickBot="1" x14ac:dyDescent="0.25">
      <c r="I29" s="277" t="s">
        <v>1108</v>
      </c>
      <c r="J29" s="286">
        <f>'15func'!J47</f>
        <v>601.55077243825713</v>
      </c>
      <c r="K29" s="291" t="s">
        <v>1107</v>
      </c>
    </row>
    <row r="30" spans="2:11" ht="13.5" thickBot="1" x14ac:dyDescent="0.25"/>
    <row r="31" spans="2:11" ht="13.5" thickBot="1" x14ac:dyDescent="0.25">
      <c r="B31" s="277" t="s">
        <v>93</v>
      </c>
      <c r="C31" s="286">
        <f>'15func'!I47</f>
        <v>749.31170537447304</v>
      </c>
      <c r="D31" s="291" t="s">
        <v>1107</v>
      </c>
    </row>
    <row r="37" spans="2:11" ht="13.5" thickBot="1" x14ac:dyDescent="0.25"/>
    <row r="38" spans="2:11" ht="13.5" thickBot="1" x14ac:dyDescent="0.25">
      <c r="I38" s="277" t="s">
        <v>1109</v>
      </c>
      <c r="J38" s="286">
        <f>'15func'!F47</f>
        <v>571.97179311960383</v>
      </c>
      <c r="K38" s="291" t="s">
        <v>1107</v>
      </c>
    </row>
    <row r="39" spans="2:11" ht="13.5" thickBot="1" x14ac:dyDescent="0.25"/>
    <row r="40" spans="2:11" ht="13.5" thickBot="1" x14ac:dyDescent="0.25">
      <c r="F40" s="282" t="s">
        <v>1111</v>
      </c>
      <c r="G40" s="280"/>
      <c r="H40" s="285"/>
    </row>
    <row r="41" spans="2:11" ht="13.5" thickBot="1" x14ac:dyDescent="0.25">
      <c r="G41" s="292">
        <f>'15func'!G47</f>
        <v>1122.3046605314237</v>
      </c>
      <c r="H41" s="279" t="s">
        <v>1107</v>
      </c>
    </row>
    <row r="45" spans="2:11" ht="13.5" thickBot="1" x14ac:dyDescent="0.25"/>
    <row r="46" spans="2:11" ht="13.5" thickBot="1" x14ac:dyDescent="0.25">
      <c r="B46" s="288"/>
      <c r="C46" s="277" t="s">
        <v>1112</v>
      </c>
      <c r="D46" s="286">
        <f>'15func'!H47</f>
        <v>582.05392175891836</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318465"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318465" r:id="rId4"/>
      </mc:Fallback>
    </mc:AlternateContent>
  </oleObject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'14func'!C47</f>
        <v>5752.7197630025512</v>
      </c>
      <c r="H5" s="291" t="s">
        <v>1107</v>
      </c>
    </row>
    <row r="7" spans="3:11" ht="13.5" thickBot="1" x14ac:dyDescent="0.25"/>
    <row r="8" spans="3:11" ht="13.5" thickBot="1" x14ac:dyDescent="0.25">
      <c r="I8" s="277" t="s">
        <v>95</v>
      </c>
      <c r="J8" s="286">
        <f>'14func'!D47</f>
        <v>991.25043589760844</v>
      </c>
      <c r="K8" s="291" t="s">
        <v>1107</v>
      </c>
    </row>
    <row r="14" spans="3:11" ht="13.5" thickBot="1" x14ac:dyDescent="0.25"/>
    <row r="15" spans="3:11" x14ac:dyDescent="0.2">
      <c r="C15" s="284" t="s">
        <v>1113</v>
      </c>
      <c r="D15" s="285"/>
    </row>
    <row r="16" spans="3:11" ht="13.5" thickBot="1" x14ac:dyDescent="0.25">
      <c r="C16" s="292">
        <f>'14func'!E47</f>
        <v>589.55365007033856</v>
      </c>
      <c r="D16" s="279" t="s">
        <v>1107</v>
      </c>
    </row>
    <row r="22" spans="2:11" ht="13.5" thickBot="1" x14ac:dyDescent="0.25"/>
    <row r="23" spans="2:11" ht="15.75" x14ac:dyDescent="0.25">
      <c r="F23" s="370" t="s">
        <v>1114</v>
      </c>
      <c r="G23" s="371"/>
    </row>
    <row r="24" spans="2:11" ht="15.75" x14ac:dyDescent="0.25">
      <c r="F24" s="372">
        <f>ROUND(J8+J29+J38+G41+C31+C16+G5+D46,0)</f>
        <v>10874</v>
      </c>
      <c r="G24" s="373"/>
    </row>
    <row r="25" spans="2:11" ht="16.5" thickBot="1" x14ac:dyDescent="0.3">
      <c r="F25" s="374" t="s">
        <v>1115</v>
      </c>
      <c r="G25" s="375"/>
    </row>
    <row r="28" spans="2:11" ht="13.5" thickBot="1" x14ac:dyDescent="0.25"/>
    <row r="29" spans="2:11" ht="13.5" thickBot="1" x14ac:dyDescent="0.25">
      <c r="I29" s="277" t="s">
        <v>1108</v>
      </c>
      <c r="J29" s="286">
        <f>'14func'!J47</f>
        <v>556.79032200959841</v>
      </c>
      <c r="K29" s="291" t="s">
        <v>1107</v>
      </c>
    </row>
    <row r="30" spans="2:11" ht="13.5" thickBot="1" x14ac:dyDescent="0.25"/>
    <row r="31" spans="2:11" ht="13.5" thickBot="1" x14ac:dyDescent="0.25">
      <c r="B31" s="277" t="s">
        <v>93</v>
      </c>
      <c r="C31" s="286">
        <f>'14func'!I47</f>
        <v>718.05649383779712</v>
      </c>
      <c r="D31" s="291" t="s">
        <v>1107</v>
      </c>
    </row>
    <row r="37" spans="2:11" ht="13.5" thickBot="1" x14ac:dyDescent="0.25"/>
    <row r="38" spans="2:11" ht="13.5" thickBot="1" x14ac:dyDescent="0.25">
      <c r="I38" s="277" t="s">
        <v>1109</v>
      </c>
      <c r="J38" s="286">
        <f>'14func'!F47</f>
        <v>567.92255601849672</v>
      </c>
      <c r="K38" s="291" t="s">
        <v>1107</v>
      </c>
    </row>
    <row r="39" spans="2:11" ht="13.5" thickBot="1" x14ac:dyDescent="0.25"/>
    <row r="40" spans="2:11" ht="13.5" thickBot="1" x14ac:dyDescent="0.25">
      <c r="F40" s="282" t="s">
        <v>1111</v>
      </c>
      <c r="G40" s="280"/>
      <c r="H40" s="285"/>
    </row>
    <row r="41" spans="2:11" ht="13.5" thickBot="1" x14ac:dyDescent="0.25">
      <c r="G41" s="292">
        <f>'14func'!G47</f>
        <v>1099.5437477367116</v>
      </c>
      <c r="H41" s="279" t="s">
        <v>1107</v>
      </c>
    </row>
    <row r="45" spans="2:11" ht="13.5" thickBot="1" x14ac:dyDescent="0.25"/>
    <row r="46" spans="2:11" ht="13.5" thickBot="1" x14ac:dyDescent="0.25">
      <c r="B46" s="288"/>
      <c r="C46" s="277" t="s">
        <v>1112</v>
      </c>
      <c r="D46" s="286">
        <f>'14func'!H47</f>
        <v>598.26736866195051</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1811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1811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1E28B-B403-40F3-B556-96F42C51E1E9}">
  <sheetPr>
    <tabColor rgb="FFFFFF00"/>
  </sheetPr>
  <dimension ref="A1:AC82"/>
  <sheetViews>
    <sheetView tabSelected="1" zoomScaleNormal="100" workbookViewId="0">
      <selection activeCell="J20" sqref="J20"/>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3.42578125" customWidth="1"/>
    <col min="9" max="9" width="14.28515625" customWidth="1"/>
    <col min="10" max="10" width="11.7109375" bestFit="1" customWidth="1"/>
    <col min="11" max="11" width="11.7109375" customWidth="1"/>
    <col min="12" max="12" width="11.28515625" bestFit="1" customWidth="1"/>
    <col min="13" max="13" width="11.42578125" bestFit="1" customWidth="1"/>
    <col min="15" max="15" width="7.140625" bestFit="1" customWidth="1"/>
    <col min="16" max="16" width="10.42578125" customWidth="1"/>
    <col min="17" max="17" width="8.85546875" customWidth="1"/>
    <col min="18" max="20" width="11.5703125" bestFit="1" customWidth="1"/>
    <col min="21" max="21" width="12.5703125" bestFit="1" customWidth="1"/>
    <col min="22" max="22" width="11.5703125" bestFit="1" customWidth="1"/>
    <col min="23" max="23" width="10.5703125" bestFit="1" customWidth="1"/>
    <col min="24" max="24" width="20.7109375" bestFit="1" customWidth="1"/>
  </cols>
  <sheetData>
    <row r="1" spans="1:29" x14ac:dyDescent="0.2">
      <c r="A1" s="36" t="s">
        <v>200</v>
      </c>
      <c r="B1" s="36"/>
      <c r="C1" s="22"/>
      <c r="D1" s="22"/>
      <c r="E1" s="22"/>
      <c r="F1" s="22"/>
      <c r="G1" s="22"/>
      <c r="H1" s="22"/>
      <c r="I1" s="22"/>
      <c r="J1" s="22"/>
      <c r="K1" s="22"/>
      <c r="L1" s="22"/>
    </row>
    <row r="2" spans="1:29" x14ac:dyDescent="0.2">
      <c r="A2" s="36" t="s">
        <v>8</v>
      </c>
      <c r="B2" s="239"/>
      <c r="C2" s="22" t="s">
        <v>1415</v>
      </c>
      <c r="D2" s="22"/>
      <c r="E2" s="22"/>
      <c r="F2" s="22"/>
      <c r="G2" s="22"/>
      <c r="H2" s="22"/>
      <c r="I2" s="22"/>
      <c r="J2" s="22"/>
      <c r="K2" s="22"/>
      <c r="L2" s="22"/>
    </row>
    <row r="3" spans="1:29" ht="33.75" x14ac:dyDescent="0.2">
      <c r="A3" s="20" t="s">
        <v>245</v>
      </c>
      <c r="B3" s="21" t="str">
        <f>"ANB"&amp;RIGHT(C2,2)</f>
        <v>ANB23</v>
      </c>
      <c r="C3" s="202" t="str">
        <f>RIGHT(C2,2)&amp;"/Pupil Property Tax"</f>
        <v>23/Pupil Property Tax</v>
      </c>
      <c r="D3" s="202" t="str">
        <f>RIGHT(C2,2)&amp;"/Pupil Non Levy Revenue"</f>
        <v>23/Pupil Non Levy Revenue</v>
      </c>
      <c r="E3" s="202" t="str">
        <f>RIGHT(C2,2)&amp;"/Pupil County Revenue"</f>
        <v>23/Pupil County Revenue</v>
      </c>
      <c r="F3" s="202" t="str">
        <f>RIGHT(C2,2)&amp;"/Pupil State Revenue"</f>
        <v>23/Pupil State Revenue</v>
      </c>
      <c r="G3" s="202" t="str">
        <f>RIGHT(C2,2)&amp;"/Pupil Federal Revenue"</f>
        <v>23/Pupil Federal Revenue</v>
      </c>
      <c r="H3" s="202" t="str">
        <f>RIGHT(C2,2)&amp;"Federal CARES Revenue"</f>
        <v>23Federal CARES Revenue</v>
      </c>
      <c r="I3" s="202" t="str">
        <f>RIGHT(C2,2)&amp;"/Pupil Total Revenue NO CARES"</f>
        <v>23/Pupil Total Revenue NO CARES</v>
      </c>
      <c r="J3" s="202" t="str">
        <f>RIGHT(C2,2)&amp;"/Pupil Total Revenue WITH CARES"</f>
        <v>23/Pupil Total Revenue WITH CARES</v>
      </c>
      <c r="K3" s="202" t="str">
        <f>RIGHT(C2,2)&amp;"/Rev Per ANB NO CARES"</f>
        <v>23/Rev Per ANB NO CARES</v>
      </c>
      <c r="L3" s="202" t="str">
        <f>RIGHT(C2,2)&amp;"/Rev Per ANB WITH CARES"</f>
        <v>23/Rev Per ANB WITH CARES</v>
      </c>
      <c r="M3" s="202"/>
      <c r="O3" s="287"/>
      <c r="P3" s="278"/>
      <c r="Q3" s="290"/>
      <c r="R3" s="290"/>
      <c r="S3" s="290"/>
      <c r="T3" s="290"/>
      <c r="U3" s="290"/>
      <c r="V3" s="290"/>
      <c r="W3" s="290"/>
    </row>
    <row r="4" spans="1:29" ht="15" x14ac:dyDescent="0.25">
      <c r="A4" s="33" t="s">
        <v>102</v>
      </c>
      <c r="B4" s="214">
        <v>41244</v>
      </c>
      <c r="C4" s="214">
        <v>166368219.78</v>
      </c>
      <c r="D4" s="214">
        <v>14703160.369999999</v>
      </c>
      <c r="E4" s="214">
        <v>46765276.930000007</v>
      </c>
      <c r="F4" s="214">
        <v>224577823.87</v>
      </c>
      <c r="G4" s="214">
        <v>49924032.780000001</v>
      </c>
      <c r="H4" s="214">
        <v>36187667.700000003</v>
      </c>
      <c r="I4" s="229">
        <f>SUM(C4:G4)</f>
        <v>502338513.73000002</v>
      </c>
      <c r="J4" s="229">
        <f>SUM(C4:H4)</f>
        <v>538526181.43000007</v>
      </c>
      <c r="K4" s="321">
        <f>I4/B4</f>
        <v>12179.674952235477</v>
      </c>
      <c r="L4" s="321">
        <f t="shared" ref="L4:L10" si="0">J4/B4</f>
        <v>13057.079367423143</v>
      </c>
      <c r="M4" s="221"/>
      <c r="O4" s="283"/>
      <c r="P4" s="289"/>
      <c r="Q4" s="289"/>
      <c r="R4" s="289"/>
      <c r="S4" s="289"/>
      <c r="T4" s="289"/>
      <c r="U4" s="289"/>
      <c r="V4" s="289"/>
      <c r="W4" s="289"/>
      <c r="X4" s="268"/>
      <c r="Y4" s="268"/>
      <c r="Z4" s="268"/>
      <c r="AA4" s="268"/>
      <c r="AB4" s="268"/>
      <c r="AC4" s="268"/>
    </row>
    <row r="5" spans="1:29" ht="15" x14ac:dyDescent="0.25">
      <c r="A5" s="33" t="s">
        <v>76</v>
      </c>
      <c r="B5" s="214">
        <v>16500</v>
      </c>
      <c r="C5" s="214">
        <v>60983672.50999999</v>
      </c>
      <c r="D5" s="214">
        <v>6275554.9400000004</v>
      </c>
      <c r="E5" s="214">
        <v>17400908.460000001</v>
      </c>
      <c r="F5" s="214">
        <v>92830736.020000011</v>
      </c>
      <c r="G5" s="214">
        <v>47310422.820000008</v>
      </c>
      <c r="H5" s="214">
        <v>25026259.099999998</v>
      </c>
      <c r="I5" s="229">
        <f t="shared" ref="I5:I9" si="1">SUM(C5:G5)</f>
        <v>224801294.75</v>
      </c>
      <c r="J5" s="229">
        <f t="shared" ref="J5:J9" si="2">SUM(C5:H5)</f>
        <v>249827553.84999999</v>
      </c>
      <c r="K5" s="321">
        <f t="shared" ref="K5:K22" si="3">I5/B5</f>
        <v>13624.320893939393</v>
      </c>
      <c r="L5" s="321">
        <f t="shared" si="0"/>
        <v>15141.063869696969</v>
      </c>
      <c r="M5" s="221"/>
      <c r="O5" s="283"/>
      <c r="P5" s="289"/>
      <c r="Q5" s="289"/>
      <c r="R5" s="289"/>
      <c r="S5" s="289"/>
      <c r="T5" s="289"/>
      <c r="U5" s="289"/>
      <c r="V5" s="289"/>
      <c r="W5" s="289"/>
      <c r="X5" s="268"/>
      <c r="Y5" s="268"/>
      <c r="Z5" s="268"/>
      <c r="AA5" s="268"/>
      <c r="AB5" s="268"/>
      <c r="AC5" s="268"/>
    </row>
    <row r="6" spans="1:29" ht="15" x14ac:dyDescent="0.25">
      <c r="A6" s="33" t="s">
        <v>77</v>
      </c>
      <c r="B6" s="214">
        <v>17268</v>
      </c>
      <c r="C6" s="214">
        <v>55156355.629999995</v>
      </c>
      <c r="D6" s="214">
        <v>12323471.099999998</v>
      </c>
      <c r="E6" s="214">
        <v>18526209.090000004</v>
      </c>
      <c r="F6" s="214">
        <v>95967839.109999999</v>
      </c>
      <c r="G6" s="214">
        <v>39070016.189999998</v>
      </c>
      <c r="H6" s="214">
        <v>22987437.719999999</v>
      </c>
      <c r="I6" s="229">
        <f t="shared" si="1"/>
        <v>221043891.12</v>
      </c>
      <c r="J6" s="229">
        <f t="shared" si="2"/>
        <v>244031328.84</v>
      </c>
      <c r="K6" s="321">
        <f t="shared" si="3"/>
        <v>12800.78127866574</v>
      </c>
      <c r="L6" s="321">
        <f t="shared" si="0"/>
        <v>14131.997268936762</v>
      </c>
      <c r="M6" s="221"/>
      <c r="O6" s="283"/>
      <c r="P6" s="289"/>
      <c r="Q6" s="289"/>
      <c r="R6" s="289"/>
      <c r="S6" s="289"/>
      <c r="T6" s="289"/>
      <c r="U6" s="289"/>
      <c r="V6" s="289"/>
      <c r="W6" s="289"/>
      <c r="X6" s="268"/>
      <c r="Y6" s="268"/>
      <c r="Z6" s="268"/>
      <c r="AA6" s="268"/>
      <c r="AB6" s="268"/>
      <c r="AC6" s="268"/>
    </row>
    <row r="7" spans="1:29" ht="15" x14ac:dyDescent="0.25">
      <c r="A7" s="33" t="s">
        <v>78</v>
      </c>
      <c r="B7" s="214">
        <v>12117</v>
      </c>
      <c r="C7" s="214">
        <v>37084839.810000002</v>
      </c>
      <c r="D7" s="214">
        <v>10779160.220000003</v>
      </c>
      <c r="E7" s="214">
        <v>12655396.889999997</v>
      </c>
      <c r="F7" s="214">
        <v>69994922.239999995</v>
      </c>
      <c r="G7" s="214">
        <v>28251062.600000001</v>
      </c>
      <c r="H7" s="214">
        <v>17975585.969999999</v>
      </c>
      <c r="I7" s="229">
        <f t="shared" si="1"/>
        <v>158765381.75999999</v>
      </c>
      <c r="J7" s="229">
        <f t="shared" si="2"/>
        <v>176740967.72999999</v>
      </c>
      <c r="K7" s="321">
        <f t="shared" si="3"/>
        <v>13102.697182470907</v>
      </c>
      <c r="L7" s="321">
        <f t="shared" si="0"/>
        <v>14586.198541718246</v>
      </c>
      <c r="M7" s="221"/>
      <c r="O7" s="283"/>
      <c r="P7" s="289"/>
      <c r="Q7" s="289"/>
      <c r="R7" s="289"/>
      <c r="S7" s="289"/>
      <c r="T7" s="289"/>
      <c r="U7" s="289"/>
      <c r="V7" s="289"/>
      <c r="W7" s="289"/>
      <c r="X7" s="268"/>
      <c r="Y7" s="268"/>
      <c r="Z7" s="268"/>
      <c r="AA7" s="268"/>
      <c r="AB7" s="268"/>
      <c r="AC7" s="268"/>
    </row>
    <row r="8" spans="1:29" ht="15" x14ac:dyDescent="0.25">
      <c r="A8" s="33" t="s">
        <v>79</v>
      </c>
      <c r="B8" s="214">
        <v>4860</v>
      </c>
      <c r="C8" s="214">
        <v>20899716.34</v>
      </c>
      <c r="D8" s="214">
        <v>9088335.6099999975</v>
      </c>
      <c r="E8" s="214">
        <v>6639929.2599999998</v>
      </c>
      <c r="F8" s="214">
        <v>30427731.700000007</v>
      </c>
      <c r="G8" s="214">
        <v>17105135.740000002</v>
      </c>
      <c r="H8" s="214">
        <v>9792485.4100000001</v>
      </c>
      <c r="I8" s="229">
        <f t="shared" si="1"/>
        <v>84160848.650000006</v>
      </c>
      <c r="J8" s="229">
        <f t="shared" si="2"/>
        <v>93953334.060000002</v>
      </c>
      <c r="K8" s="321">
        <f t="shared" si="3"/>
        <v>17317.047047325104</v>
      </c>
      <c r="L8" s="321">
        <f t="shared" si="0"/>
        <v>19331.961740740742</v>
      </c>
      <c r="M8" s="221"/>
      <c r="O8" s="283"/>
      <c r="P8" s="289"/>
      <c r="Q8" s="289"/>
      <c r="R8" s="289"/>
      <c r="S8" s="289"/>
      <c r="T8" s="289"/>
      <c r="U8" s="289"/>
      <c r="V8" s="289"/>
      <c r="W8" s="289"/>
      <c r="X8" s="268"/>
      <c r="Y8" s="268"/>
      <c r="Z8" s="268"/>
      <c r="AA8" s="268"/>
      <c r="AB8" s="268"/>
      <c r="AC8" s="268"/>
    </row>
    <row r="9" spans="1:29" ht="15" x14ac:dyDescent="0.25">
      <c r="A9" s="33" t="s">
        <v>80</v>
      </c>
      <c r="B9" s="220">
        <v>1438</v>
      </c>
      <c r="C9" s="220">
        <v>7373364.3899999978</v>
      </c>
      <c r="D9" s="220">
        <v>2242679.35</v>
      </c>
      <c r="E9" s="220">
        <v>1926266.6100000003</v>
      </c>
      <c r="F9" s="220">
        <v>10045613.580000002</v>
      </c>
      <c r="G9" s="220">
        <v>3844339.6300000004</v>
      </c>
      <c r="H9" s="220">
        <v>3331626.2200000007</v>
      </c>
      <c r="I9" s="229">
        <f t="shared" si="1"/>
        <v>25432263.559999999</v>
      </c>
      <c r="J9" s="229">
        <f t="shared" si="2"/>
        <v>28763889.780000001</v>
      </c>
      <c r="K9" s="321">
        <f t="shared" si="3"/>
        <v>17685.857830319888</v>
      </c>
      <c r="L9" s="322">
        <f t="shared" si="0"/>
        <v>20002.704993045896</v>
      </c>
      <c r="M9" s="221"/>
      <c r="O9" s="283"/>
      <c r="P9" s="289"/>
      <c r="Q9" s="289"/>
      <c r="R9" s="289"/>
      <c r="S9" s="289"/>
      <c r="T9" s="289"/>
      <c r="U9" s="289"/>
      <c r="V9" s="289"/>
      <c r="W9" s="289"/>
      <c r="X9" s="268"/>
      <c r="Y9" s="268"/>
      <c r="Z9" s="268"/>
      <c r="AA9" s="268"/>
      <c r="AB9" s="268"/>
      <c r="AC9" s="268"/>
    </row>
    <row r="10" spans="1:29" x14ac:dyDescent="0.2">
      <c r="A10" s="33" t="s">
        <v>171</v>
      </c>
      <c r="B10" s="229">
        <f t="shared" ref="B10:J10" si="4">SUM(B4:B9)</f>
        <v>93427</v>
      </c>
      <c r="C10" s="229">
        <f t="shared" si="4"/>
        <v>347866168.45999992</v>
      </c>
      <c r="D10" s="229">
        <f t="shared" si="4"/>
        <v>55412361.589999996</v>
      </c>
      <c r="E10" s="229">
        <f t="shared" si="4"/>
        <v>103913987.24000002</v>
      </c>
      <c r="F10" s="229">
        <f t="shared" si="4"/>
        <v>523844666.51999998</v>
      </c>
      <c r="G10" s="229">
        <f t="shared" si="4"/>
        <v>185505009.76000002</v>
      </c>
      <c r="H10" s="229">
        <f t="shared" si="4"/>
        <v>115301062.11999999</v>
      </c>
      <c r="I10" s="339">
        <f t="shared" si="4"/>
        <v>1216542193.5700002</v>
      </c>
      <c r="J10" s="339">
        <f t="shared" si="4"/>
        <v>1331843255.6900001</v>
      </c>
      <c r="K10" s="340">
        <f>I10/B10</f>
        <v>13021.312827876312</v>
      </c>
      <c r="L10" s="321">
        <f t="shared" si="0"/>
        <v>14255.442812998384</v>
      </c>
      <c r="M10" s="221"/>
      <c r="O10" s="287"/>
      <c r="P10" s="287"/>
      <c r="Q10" s="287"/>
      <c r="R10" s="287"/>
      <c r="S10" s="287"/>
      <c r="T10" s="287"/>
      <c r="U10" s="287"/>
      <c r="V10" s="287"/>
      <c r="W10" s="287"/>
      <c r="X10" s="268"/>
      <c r="Y10" s="268"/>
      <c r="Z10" s="268"/>
      <c r="AA10" s="268"/>
      <c r="AB10" s="268"/>
      <c r="AC10" s="268"/>
    </row>
    <row r="11" spans="1:29" x14ac:dyDescent="0.2">
      <c r="A11" s="33"/>
      <c r="B11" s="229"/>
      <c r="C11" s="214"/>
      <c r="D11" s="214"/>
      <c r="E11" s="214"/>
      <c r="F11" s="214"/>
      <c r="G11" s="214"/>
      <c r="H11" s="214"/>
      <c r="I11" s="214"/>
      <c r="J11" s="214"/>
      <c r="K11" s="321"/>
      <c r="L11" s="321"/>
      <c r="M11" s="221"/>
      <c r="O11" s="287"/>
      <c r="P11" s="287"/>
      <c r="Q11" s="287"/>
      <c r="R11" s="287"/>
      <c r="S11" s="287"/>
      <c r="T11" s="287"/>
      <c r="U11" s="287"/>
      <c r="V11" s="287"/>
      <c r="W11" s="287"/>
      <c r="X11" s="268"/>
      <c r="Y11" s="268"/>
      <c r="Z11" s="268"/>
      <c r="AA11" s="268"/>
      <c r="AB11" s="268"/>
      <c r="AC11" s="268"/>
    </row>
    <row r="12" spans="1:29" x14ac:dyDescent="0.2">
      <c r="A12" s="33"/>
      <c r="B12" s="229"/>
      <c r="C12" s="214"/>
      <c r="D12" s="214"/>
      <c r="E12" s="214"/>
      <c r="F12" s="214"/>
      <c r="G12" s="214"/>
      <c r="H12" s="214"/>
      <c r="I12" s="214"/>
      <c r="J12" s="214"/>
      <c r="K12" s="321"/>
      <c r="L12" s="321"/>
      <c r="M12" s="221"/>
      <c r="O12" s="287"/>
      <c r="P12" s="287"/>
      <c r="Q12" s="287"/>
      <c r="R12" s="287"/>
      <c r="S12" s="287"/>
      <c r="T12" s="287"/>
      <c r="U12" s="287"/>
      <c r="V12" s="287"/>
      <c r="W12" s="287"/>
      <c r="X12" s="268"/>
      <c r="Y12" s="268"/>
      <c r="Z12" s="268"/>
      <c r="AA12" s="268"/>
      <c r="AB12" s="268"/>
      <c r="AC12" s="268"/>
    </row>
    <row r="13" spans="1:29" ht="15" x14ac:dyDescent="0.25">
      <c r="A13" s="33" t="s">
        <v>81</v>
      </c>
      <c r="B13" s="214">
        <v>22534</v>
      </c>
      <c r="C13" s="214">
        <v>105118817.84</v>
      </c>
      <c r="D13" s="214">
        <v>14985345.52</v>
      </c>
      <c r="E13" s="214">
        <v>27118254.390000001</v>
      </c>
      <c r="F13" s="214">
        <v>134067389.64</v>
      </c>
      <c r="G13" s="214">
        <v>16869670.719999999</v>
      </c>
      <c r="H13" s="214">
        <v>9208396.6099999994</v>
      </c>
      <c r="I13" s="229">
        <f>SUM(C13:G13)</f>
        <v>298159478.11000001</v>
      </c>
      <c r="J13" s="229">
        <f>SUM(C13:H13)</f>
        <v>307367874.72000003</v>
      </c>
      <c r="K13" s="321">
        <f t="shared" si="3"/>
        <v>13231.538036300703</v>
      </c>
      <c r="L13" s="321">
        <f t="shared" ref="L13:L18" si="5">J13/B13</f>
        <v>13640.18260051478</v>
      </c>
      <c r="M13" s="221"/>
      <c r="O13" s="283"/>
      <c r="P13" s="289"/>
      <c r="Q13" s="289"/>
      <c r="R13" s="289"/>
      <c r="S13" s="289"/>
      <c r="T13" s="289"/>
      <c r="U13" s="289"/>
      <c r="V13" s="289"/>
      <c r="W13" s="289"/>
      <c r="X13" s="268"/>
      <c r="Y13" s="268"/>
      <c r="Z13" s="268"/>
      <c r="AA13" s="268"/>
      <c r="AB13" s="268"/>
      <c r="AC13" s="268"/>
    </row>
    <row r="14" spans="1:29" ht="15" x14ac:dyDescent="0.25">
      <c r="A14" s="33" t="s">
        <v>82</v>
      </c>
      <c r="B14" s="214">
        <v>6468</v>
      </c>
      <c r="C14" s="214">
        <v>27283844.709999997</v>
      </c>
      <c r="D14" s="214">
        <v>4840869.78</v>
      </c>
      <c r="E14" s="214">
        <v>7871195.5499999998</v>
      </c>
      <c r="F14" s="214">
        <v>40820611.160000004</v>
      </c>
      <c r="G14" s="214">
        <v>14510606.200000001</v>
      </c>
      <c r="H14" s="214">
        <v>0</v>
      </c>
      <c r="I14" s="229">
        <f t="shared" ref="I14:I17" si="6">SUM(C14:G14)</f>
        <v>95327127.400000006</v>
      </c>
      <c r="J14" s="229">
        <f t="shared" ref="J14:J17" si="7">SUM(C14:H14)</f>
        <v>95327127.400000006</v>
      </c>
      <c r="K14" s="321">
        <f t="shared" si="3"/>
        <v>14738.269542362401</v>
      </c>
      <c r="L14" s="321">
        <f t="shared" si="5"/>
        <v>14738.269542362401</v>
      </c>
      <c r="M14" s="221"/>
      <c r="O14" s="283"/>
      <c r="P14" s="289"/>
      <c r="Q14" s="289"/>
      <c r="R14" s="289"/>
      <c r="S14" s="289"/>
      <c r="T14" s="289"/>
      <c r="U14" s="289"/>
      <c r="V14" s="289"/>
      <c r="W14" s="289"/>
      <c r="X14" s="268"/>
      <c r="Y14" s="268"/>
      <c r="Z14" s="268"/>
      <c r="AA14" s="268"/>
      <c r="AB14" s="268"/>
      <c r="AC14" s="268"/>
    </row>
    <row r="15" spans="1:29" ht="15" x14ac:dyDescent="0.25">
      <c r="A15" s="33" t="s">
        <v>83</v>
      </c>
      <c r="B15" s="214">
        <v>5072</v>
      </c>
      <c r="C15" s="214">
        <v>25721075.230000004</v>
      </c>
      <c r="D15" s="214">
        <v>7194412.6100000003</v>
      </c>
      <c r="E15" s="214">
        <v>6762344.1899999995</v>
      </c>
      <c r="F15" s="214">
        <v>35083924.68</v>
      </c>
      <c r="G15" s="214">
        <v>7045914.0999999996</v>
      </c>
      <c r="H15" s="214">
        <v>1451933.5299999998</v>
      </c>
      <c r="I15" s="229">
        <f t="shared" si="6"/>
        <v>81807670.810000002</v>
      </c>
      <c r="J15" s="229">
        <f t="shared" si="7"/>
        <v>83259604.340000004</v>
      </c>
      <c r="K15" s="321">
        <f t="shared" si="3"/>
        <v>16129.272636041011</v>
      </c>
      <c r="L15" s="321">
        <f t="shared" si="5"/>
        <v>16415.537133280759</v>
      </c>
      <c r="M15" s="221"/>
      <c r="O15" s="283"/>
      <c r="P15" s="289"/>
      <c r="Q15" s="289"/>
      <c r="R15" s="289"/>
      <c r="S15" s="289"/>
      <c r="T15" s="289"/>
      <c r="U15" s="289"/>
      <c r="V15" s="289"/>
      <c r="W15" s="289"/>
      <c r="X15" s="268"/>
      <c r="Y15" s="268"/>
      <c r="Z15" s="268"/>
      <c r="AA15" s="268"/>
      <c r="AB15" s="268"/>
      <c r="AC15" s="268"/>
    </row>
    <row r="16" spans="1:29" ht="15" x14ac:dyDescent="0.25">
      <c r="A16" s="33" t="s">
        <v>84</v>
      </c>
      <c r="B16" s="214">
        <v>3747</v>
      </c>
      <c r="C16" s="214">
        <v>19607257.039999999</v>
      </c>
      <c r="D16" s="214">
        <v>7161981.3600000013</v>
      </c>
      <c r="E16" s="214">
        <v>6167038.2799999993</v>
      </c>
      <c r="F16" s="214">
        <v>30955577.069999993</v>
      </c>
      <c r="G16" s="214">
        <v>12477884.370000001</v>
      </c>
      <c r="H16" s="214">
        <v>1016652.12</v>
      </c>
      <c r="I16" s="229">
        <f t="shared" si="6"/>
        <v>76369738.11999999</v>
      </c>
      <c r="J16" s="229">
        <f t="shared" si="7"/>
        <v>77386390.239999995</v>
      </c>
      <c r="K16" s="321">
        <f t="shared" si="3"/>
        <v>20381.568753669599</v>
      </c>
      <c r="L16" s="321">
        <f t="shared" si="5"/>
        <v>20652.893045102748</v>
      </c>
      <c r="M16" s="221"/>
      <c r="O16" s="283"/>
      <c r="P16" s="289"/>
      <c r="Q16" s="289"/>
      <c r="R16" s="289"/>
      <c r="S16" s="289"/>
      <c r="T16" s="289"/>
      <c r="U16" s="289"/>
      <c r="V16" s="289"/>
      <c r="W16" s="289"/>
      <c r="X16" s="268"/>
      <c r="Y16" s="268"/>
      <c r="Z16" s="268"/>
      <c r="AA16" s="268"/>
      <c r="AB16" s="268"/>
      <c r="AC16" s="268"/>
    </row>
    <row r="17" spans="1:29" ht="15" x14ac:dyDescent="0.25">
      <c r="A17" s="33" t="s">
        <v>85</v>
      </c>
      <c r="B17" s="220">
        <v>1464</v>
      </c>
      <c r="C17" s="220">
        <v>13519673.960000003</v>
      </c>
      <c r="D17" s="220">
        <v>5581013.8100000015</v>
      </c>
      <c r="E17" s="220">
        <v>3830965.7600000007</v>
      </c>
      <c r="F17" s="220">
        <v>17078426.670000002</v>
      </c>
      <c r="G17" s="220">
        <v>4574689.2799999993</v>
      </c>
      <c r="H17" s="220">
        <v>514854.58</v>
      </c>
      <c r="I17" s="229">
        <f t="shared" si="6"/>
        <v>44584769.480000004</v>
      </c>
      <c r="J17" s="229">
        <f t="shared" si="7"/>
        <v>45099624.060000002</v>
      </c>
      <c r="K17" s="321">
        <f t="shared" si="3"/>
        <v>30454.077513661206</v>
      </c>
      <c r="L17" s="322">
        <f t="shared" si="5"/>
        <v>30805.754139344263</v>
      </c>
      <c r="M17" s="221"/>
      <c r="O17" s="283"/>
      <c r="P17" s="289"/>
      <c r="Q17" s="289"/>
      <c r="R17" s="289"/>
      <c r="S17" s="289"/>
      <c r="T17" s="289"/>
      <c r="U17" s="289"/>
      <c r="V17" s="289"/>
      <c r="W17" s="289"/>
      <c r="X17" s="268"/>
      <c r="Y17" s="268"/>
      <c r="Z17" s="268"/>
      <c r="AA17" s="268"/>
      <c r="AB17" s="268"/>
      <c r="AC17" s="268"/>
    </row>
    <row r="18" spans="1:29" x14ac:dyDescent="0.2">
      <c r="A18" s="33" t="s">
        <v>172</v>
      </c>
      <c r="B18" s="229">
        <f t="shared" ref="B18:J18" si="8">SUM(B13:B17)</f>
        <v>39285</v>
      </c>
      <c r="C18" s="229">
        <f t="shared" si="8"/>
        <v>191250668.78</v>
      </c>
      <c r="D18" s="229">
        <f t="shared" si="8"/>
        <v>39763623.080000006</v>
      </c>
      <c r="E18" s="229">
        <f t="shared" si="8"/>
        <v>51749798.169999994</v>
      </c>
      <c r="F18" s="229">
        <f t="shared" si="8"/>
        <v>258005929.22000003</v>
      </c>
      <c r="G18" s="229">
        <f t="shared" si="8"/>
        <v>55478764.670000002</v>
      </c>
      <c r="H18" s="229">
        <f t="shared" si="8"/>
        <v>12191836.839999998</v>
      </c>
      <c r="I18" s="339">
        <f t="shared" si="8"/>
        <v>596248783.91999996</v>
      </c>
      <c r="J18" s="339">
        <f t="shared" si="8"/>
        <v>608440620.75999999</v>
      </c>
      <c r="K18" s="340">
        <f>I18/B18</f>
        <v>15177.51772737686</v>
      </c>
      <c r="L18" s="321">
        <f t="shared" si="5"/>
        <v>15487.861035000637</v>
      </c>
      <c r="M18" s="221"/>
      <c r="O18" s="287"/>
      <c r="P18" s="287"/>
      <c r="Q18" s="287"/>
      <c r="R18" s="287"/>
      <c r="S18" s="287"/>
      <c r="T18" s="287"/>
      <c r="U18" s="287"/>
      <c r="V18" s="287"/>
      <c r="W18" s="287"/>
      <c r="X18" s="268"/>
      <c r="Y18" s="268"/>
      <c r="Z18" s="268"/>
      <c r="AA18" s="268"/>
      <c r="AB18" s="268"/>
      <c r="AC18" s="268"/>
    </row>
    <row r="19" spans="1:29" x14ac:dyDescent="0.2">
      <c r="A19" s="33"/>
      <c r="B19" s="229"/>
      <c r="C19" s="214"/>
      <c r="D19" s="214"/>
      <c r="E19" s="214"/>
      <c r="F19" s="214"/>
      <c r="G19" s="214"/>
      <c r="H19" s="214"/>
      <c r="I19" s="214"/>
      <c r="J19" s="214"/>
      <c r="K19" s="321"/>
      <c r="L19" s="321"/>
      <c r="M19" s="221"/>
      <c r="O19" s="287"/>
      <c r="P19" s="287"/>
      <c r="Q19" s="287"/>
      <c r="R19" s="287"/>
      <c r="S19" s="287"/>
      <c r="T19" s="287"/>
      <c r="U19" s="287"/>
      <c r="V19" s="287"/>
      <c r="W19" s="287"/>
      <c r="X19" s="268"/>
      <c r="Y19" s="268"/>
      <c r="Z19" s="268"/>
      <c r="AA19" s="268"/>
      <c r="AB19" s="268"/>
      <c r="AC19" s="268"/>
    </row>
    <row r="20" spans="1:29" x14ac:dyDescent="0.2">
      <c r="A20" s="33"/>
      <c r="B20" s="229"/>
      <c r="C20" s="214"/>
      <c r="D20" s="214"/>
      <c r="E20" s="214"/>
      <c r="F20" s="214"/>
      <c r="G20" s="214"/>
      <c r="H20" s="214"/>
      <c r="I20" s="214"/>
      <c r="J20" s="214"/>
      <c r="K20" s="321"/>
      <c r="L20" s="321"/>
      <c r="M20" s="221"/>
      <c r="O20" s="287"/>
      <c r="P20" s="287"/>
      <c r="Q20" s="287"/>
      <c r="R20" s="287"/>
      <c r="S20" s="287"/>
      <c r="T20" s="287"/>
      <c r="U20" s="287"/>
      <c r="V20" s="287"/>
      <c r="W20" s="281"/>
      <c r="X20" s="268"/>
      <c r="Y20" s="268"/>
      <c r="Z20" s="268"/>
      <c r="AA20" s="268"/>
      <c r="AB20" s="268"/>
      <c r="AC20" s="268"/>
    </row>
    <row r="21" spans="1:29" ht="15" x14ac:dyDescent="0.25">
      <c r="A21" s="33" t="s">
        <v>86</v>
      </c>
      <c r="B21" s="214">
        <v>15444</v>
      </c>
      <c r="C21" s="214">
        <v>58937845.919999987</v>
      </c>
      <c r="D21" s="214">
        <v>13355015.109999999</v>
      </c>
      <c r="E21" s="214">
        <v>16889289.68</v>
      </c>
      <c r="F21" s="214">
        <v>91949523.480000004</v>
      </c>
      <c r="G21" s="214">
        <v>19103824.460000001</v>
      </c>
      <c r="H21" s="214">
        <v>14080991.370000001</v>
      </c>
      <c r="I21" s="221">
        <f>SUM(C21:G21)</f>
        <v>200235498.65000001</v>
      </c>
      <c r="J21" s="221">
        <f>SUM(C21:H21)</f>
        <v>214316490.02000001</v>
      </c>
      <c r="K21" s="321">
        <f t="shared" si="3"/>
        <v>12965.261502849004</v>
      </c>
      <c r="L21" s="321">
        <f>J21/B21</f>
        <v>13877.006605801607</v>
      </c>
      <c r="M21" s="221"/>
      <c r="O21" s="283"/>
      <c r="P21" s="289"/>
      <c r="Q21" s="289"/>
      <c r="R21" s="289"/>
      <c r="S21" s="289"/>
      <c r="T21" s="289"/>
      <c r="U21" s="289"/>
      <c r="V21" s="289"/>
      <c r="W21" s="289"/>
      <c r="X21" s="268"/>
      <c r="Y21" s="268"/>
      <c r="Z21" s="268"/>
      <c r="AA21" s="268"/>
      <c r="AB21" s="268"/>
      <c r="AC21" s="268"/>
    </row>
    <row r="22" spans="1:29" ht="15" x14ac:dyDescent="0.25">
      <c r="A22" s="33" t="s">
        <v>87</v>
      </c>
      <c r="B22" s="220">
        <v>7387</v>
      </c>
      <c r="C22" s="220">
        <v>43838448.330000021</v>
      </c>
      <c r="D22" s="220">
        <v>12667924.509999998</v>
      </c>
      <c r="E22" s="220">
        <v>11753641.519999996</v>
      </c>
      <c r="F22" s="220">
        <v>55977156.170000002</v>
      </c>
      <c r="G22" s="220">
        <v>18821884.060000002</v>
      </c>
      <c r="H22" s="220">
        <v>9569349.7400000021</v>
      </c>
      <c r="I22" s="221">
        <f>SUM(C22:G22)</f>
        <v>143059054.59000003</v>
      </c>
      <c r="J22" s="221">
        <f>SUM(C22:H22)</f>
        <v>152628404.33000004</v>
      </c>
      <c r="K22" s="321">
        <f t="shared" si="3"/>
        <v>19366.326599431439</v>
      </c>
      <c r="L22" s="322">
        <f>J22/B22</f>
        <v>20661.757727088134</v>
      </c>
      <c r="M22" s="221"/>
      <c r="O22" s="283"/>
      <c r="P22" s="289"/>
      <c r="Q22" s="289"/>
      <c r="R22" s="289"/>
      <c r="S22" s="289"/>
      <c r="T22" s="289"/>
      <c r="U22" s="289"/>
      <c r="V22" s="289"/>
      <c r="W22" s="289"/>
      <c r="X22" s="268"/>
      <c r="Y22" s="268"/>
      <c r="Z22" s="268"/>
      <c r="AA22" s="268"/>
      <c r="AB22" s="268"/>
      <c r="AC22" s="268"/>
    </row>
    <row r="23" spans="1:29" x14ac:dyDescent="0.2">
      <c r="A23" s="33" t="s">
        <v>173</v>
      </c>
      <c r="B23" s="221">
        <f t="shared" ref="B23:J23" si="9">SUM(B21:B22)</f>
        <v>22831</v>
      </c>
      <c r="C23" s="221">
        <f t="shared" si="9"/>
        <v>102776294.25</v>
      </c>
      <c r="D23" s="221">
        <f t="shared" si="9"/>
        <v>26022939.619999997</v>
      </c>
      <c r="E23" s="221">
        <f t="shared" si="9"/>
        <v>28642931.199999996</v>
      </c>
      <c r="F23" s="221">
        <f t="shared" si="9"/>
        <v>147926679.65000001</v>
      </c>
      <c r="G23" s="221">
        <f t="shared" si="9"/>
        <v>37925708.520000003</v>
      </c>
      <c r="H23" s="221">
        <f t="shared" si="9"/>
        <v>23650341.110000003</v>
      </c>
      <c r="I23" s="339">
        <f t="shared" si="9"/>
        <v>343294553.24000001</v>
      </c>
      <c r="J23" s="339">
        <f t="shared" si="9"/>
        <v>366944894.35000002</v>
      </c>
      <c r="K23" s="340">
        <f>I23/B23</f>
        <v>15036.334511847926</v>
      </c>
      <c r="L23" s="323">
        <f>J23/B23</f>
        <v>16072.221731417811</v>
      </c>
      <c r="M23" s="221"/>
      <c r="O23" s="287"/>
      <c r="P23" s="287"/>
      <c r="Q23" s="287"/>
      <c r="R23" s="287"/>
      <c r="S23" s="287"/>
      <c r="T23" s="287"/>
      <c r="U23" s="287"/>
      <c r="V23" s="287"/>
      <c r="W23" s="287"/>
    </row>
    <row r="24" spans="1:29" x14ac:dyDescent="0.2">
      <c r="A24" s="33"/>
      <c r="B24" s="214"/>
      <c r="C24" s="214"/>
      <c r="D24" s="214"/>
      <c r="E24" s="214"/>
      <c r="F24" s="214"/>
      <c r="G24" s="214"/>
      <c r="H24" s="214"/>
      <c r="I24" s="214"/>
      <c r="J24" s="214"/>
      <c r="K24" s="321"/>
      <c r="L24" s="214"/>
      <c r="M24" s="221"/>
    </row>
    <row r="25" spans="1:29" ht="13.5" thickBot="1" x14ac:dyDescent="0.25">
      <c r="A25" s="33" t="s">
        <v>174</v>
      </c>
      <c r="B25" s="222">
        <f>B23+B18+B10</f>
        <v>155543</v>
      </c>
      <c r="C25" s="192">
        <f t="shared" ref="C25:J25" si="10">C10+C18+C23</f>
        <v>641893131.48999989</v>
      </c>
      <c r="D25" s="192">
        <f t="shared" si="10"/>
        <v>121198924.28999999</v>
      </c>
      <c r="E25" s="192">
        <f t="shared" si="10"/>
        <v>184306716.61000001</v>
      </c>
      <c r="F25" s="192">
        <f t="shared" si="10"/>
        <v>929777275.38999999</v>
      </c>
      <c r="G25" s="192">
        <f t="shared" si="10"/>
        <v>278909482.94999999</v>
      </c>
      <c r="H25" s="192">
        <f t="shared" si="10"/>
        <v>151143240.06999999</v>
      </c>
      <c r="I25" s="192">
        <f>I10+I18+I23</f>
        <v>2156085530.7300005</v>
      </c>
      <c r="J25" s="192">
        <f t="shared" si="10"/>
        <v>2307228770.8000002</v>
      </c>
      <c r="K25" s="222">
        <f>I25/B25</f>
        <v>13861.668675093064</v>
      </c>
      <c r="L25" s="222">
        <f>J25/B25</f>
        <v>14833.382220993553</v>
      </c>
      <c r="M25" s="221"/>
    </row>
    <row r="26" spans="1:29" ht="13.5" thickTop="1" x14ac:dyDescent="0.2">
      <c r="A26" s="33"/>
      <c r="B26" s="296"/>
      <c r="C26" s="182"/>
      <c r="D26" s="182"/>
      <c r="E26" s="182"/>
      <c r="F26" s="182"/>
      <c r="G26" s="182"/>
      <c r="H26" s="182"/>
      <c r="I26" s="182"/>
      <c r="J26" s="182"/>
      <c r="K26" s="182"/>
      <c r="L26" s="182"/>
      <c r="M26" s="182"/>
    </row>
    <row r="27" spans="1:29" x14ac:dyDescent="0.2">
      <c r="A27" s="33"/>
      <c r="B27" s="182"/>
      <c r="C27" s="33"/>
      <c r="D27" s="33"/>
      <c r="E27" s="33"/>
      <c r="F27" s="33"/>
      <c r="G27" s="33"/>
      <c r="H27" s="33"/>
      <c r="I27" s="33"/>
      <c r="J27" s="33"/>
      <c r="K27" s="33"/>
      <c r="L27" s="182"/>
      <c r="M27" s="182"/>
    </row>
    <row r="28" spans="1:29" x14ac:dyDescent="0.2">
      <c r="A28" s="36" t="s">
        <v>200</v>
      </c>
      <c r="B28" s="22"/>
      <c r="C28" s="36"/>
      <c r="D28" s="36"/>
      <c r="E28" s="36"/>
      <c r="F28" s="36"/>
      <c r="G28" s="36"/>
      <c r="H28" s="36"/>
      <c r="I28" s="36"/>
      <c r="J28" s="36"/>
      <c r="K28" s="36"/>
      <c r="L28" s="22"/>
      <c r="M28" s="182"/>
    </row>
    <row r="29" spans="1:29" x14ac:dyDescent="0.2">
      <c r="A29" s="36" t="s">
        <v>10</v>
      </c>
      <c r="B29" s="22" t="str">
        <f>C2</f>
        <v>FY23</v>
      </c>
      <c r="C29" s="223"/>
      <c r="D29" s="223"/>
      <c r="E29" s="223"/>
      <c r="F29" s="223"/>
      <c r="G29" s="223"/>
      <c r="H29" s="223"/>
      <c r="I29" s="223"/>
      <c r="J29" s="223"/>
      <c r="K29" s="223"/>
      <c r="L29" s="182"/>
    </row>
    <row r="30" spans="1:29" ht="33.75" x14ac:dyDescent="0.2">
      <c r="A30" s="20" t="s">
        <v>245</v>
      </c>
      <c r="B30" s="202" t="str">
        <f>B3</f>
        <v>ANB23</v>
      </c>
      <c r="C30" s="202" t="str">
        <f t="shared" ref="C30:H30" si="11">C3</f>
        <v>23/Pupil Property Tax</v>
      </c>
      <c r="D30" s="202" t="str">
        <f t="shared" si="11"/>
        <v>23/Pupil Non Levy Revenue</v>
      </c>
      <c r="E30" s="202" t="str">
        <f t="shared" si="11"/>
        <v>23/Pupil County Revenue</v>
      </c>
      <c r="F30" s="202" t="str">
        <f t="shared" si="11"/>
        <v>23/Pupil State Revenue</v>
      </c>
      <c r="G30" s="202" t="str">
        <f t="shared" si="11"/>
        <v>23/Pupil Federal Revenue</v>
      </c>
      <c r="H30" s="202" t="str">
        <f t="shared" si="11"/>
        <v>23Federal CARES Revenue</v>
      </c>
      <c r="I30" s="202" t="str">
        <f>K3</f>
        <v>23/Rev Per ANB NO CARES</v>
      </c>
      <c r="J30" s="202" t="str">
        <f>L3</f>
        <v>23/Rev Per ANB WITH CARES</v>
      </c>
      <c r="K30" s="202"/>
      <c r="L30" s="202"/>
      <c r="M30" s="202"/>
    </row>
    <row r="31" spans="1:29" x14ac:dyDescent="0.2">
      <c r="A31" s="33"/>
      <c r="B31" s="182"/>
      <c r="C31" s="182"/>
      <c r="D31" s="182"/>
      <c r="E31" s="182"/>
      <c r="F31" s="182"/>
      <c r="G31" s="182"/>
      <c r="H31" s="182"/>
      <c r="I31" s="182"/>
      <c r="J31" s="33"/>
      <c r="K31" s="33"/>
      <c r="L31" s="182"/>
    </row>
    <row r="32" spans="1:29" x14ac:dyDescent="0.2">
      <c r="A32" s="33" t="s">
        <v>102</v>
      </c>
      <c r="B32" s="221">
        <f t="shared" ref="B32:B37" si="12">B4</f>
        <v>41244</v>
      </c>
      <c r="C32" s="182">
        <f t="shared" ref="C32:J38" si="13">C4/$B32</f>
        <v>4033.7556924643586</v>
      </c>
      <c r="D32" s="182">
        <f t="shared" si="13"/>
        <v>356.49210479099986</v>
      </c>
      <c r="E32" s="182">
        <f t="shared" si="13"/>
        <v>1133.8686094947145</v>
      </c>
      <c r="F32" s="182">
        <f t="shared" si="13"/>
        <v>5445.1028966637568</v>
      </c>
      <c r="G32" s="182">
        <f t="shared" si="13"/>
        <v>1210.4556488216467</v>
      </c>
      <c r="H32" s="214">
        <f t="shared" si="13"/>
        <v>877.40441518766374</v>
      </c>
      <c r="I32" s="182">
        <f>I4/$B32</f>
        <v>12179.674952235477</v>
      </c>
      <c r="J32" s="182">
        <f t="shared" si="13"/>
        <v>13057.079367423143</v>
      </c>
      <c r="K32" s="182"/>
      <c r="L32" s="182"/>
      <c r="M32" s="182"/>
    </row>
    <row r="33" spans="1:13" x14ac:dyDescent="0.2">
      <c r="A33" s="33" t="s">
        <v>76</v>
      </c>
      <c r="B33" s="221">
        <f t="shared" si="12"/>
        <v>16500</v>
      </c>
      <c r="C33" s="182">
        <f t="shared" si="13"/>
        <v>3695.9801521212116</v>
      </c>
      <c r="D33" s="182">
        <f t="shared" si="13"/>
        <v>380.33666303030304</v>
      </c>
      <c r="E33" s="182">
        <f t="shared" si="13"/>
        <v>1054.6005127272729</v>
      </c>
      <c r="F33" s="182">
        <f t="shared" si="13"/>
        <v>5626.1052133333342</v>
      </c>
      <c r="G33" s="182">
        <f t="shared" si="13"/>
        <v>2867.2983527272731</v>
      </c>
      <c r="H33" s="214">
        <f t="shared" si="13"/>
        <v>1516.7429757575756</v>
      </c>
      <c r="I33" s="182">
        <f t="shared" si="13"/>
        <v>13624.320893939393</v>
      </c>
      <c r="J33" s="182">
        <f t="shared" si="13"/>
        <v>15141.063869696969</v>
      </c>
      <c r="K33" s="182"/>
      <c r="L33" s="182"/>
      <c r="M33" s="182"/>
    </row>
    <row r="34" spans="1:13" x14ac:dyDescent="0.2">
      <c r="A34" s="33" t="s">
        <v>77</v>
      </c>
      <c r="B34" s="221">
        <f t="shared" si="12"/>
        <v>17268</v>
      </c>
      <c r="C34" s="182">
        <f t="shared" si="13"/>
        <v>3194.1368791985174</v>
      </c>
      <c r="D34" s="182">
        <f t="shared" si="13"/>
        <v>713.6594336344682</v>
      </c>
      <c r="E34" s="182">
        <f t="shared" si="13"/>
        <v>1072.8636257817932</v>
      </c>
      <c r="F34" s="182">
        <f t="shared" si="13"/>
        <v>5557.5538053046093</v>
      </c>
      <c r="G34" s="182">
        <f t="shared" si="13"/>
        <v>2262.5675347463516</v>
      </c>
      <c r="H34" s="214">
        <f t="shared" si="13"/>
        <v>1331.2159902710214</v>
      </c>
      <c r="I34" s="182">
        <f t="shared" si="13"/>
        <v>12800.78127866574</v>
      </c>
      <c r="J34" s="182">
        <f t="shared" si="13"/>
        <v>14131.997268936762</v>
      </c>
      <c r="K34" s="182"/>
      <c r="L34" s="182"/>
      <c r="M34" s="182"/>
    </row>
    <row r="35" spans="1:13" x14ac:dyDescent="0.2">
      <c r="A35" s="33" t="s">
        <v>78</v>
      </c>
      <c r="B35" s="221">
        <f t="shared" si="12"/>
        <v>12117</v>
      </c>
      <c r="C35" s="182">
        <f t="shared" si="13"/>
        <v>3060.5628299083933</v>
      </c>
      <c r="D35" s="182">
        <f t="shared" si="13"/>
        <v>889.58985062309171</v>
      </c>
      <c r="E35" s="182">
        <f t="shared" si="13"/>
        <v>1044.4331839564245</v>
      </c>
      <c r="F35" s="182">
        <f t="shared" si="13"/>
        <v>5776.5884492861269</v>
      </c>
      <c r="G35" s="182">
        <f t="shared" si="13"/>
        <v>2331.5228686968721</v>
      </c>
      <c r="H35" s="214">
        <f t="shared" si="13"/>
        <v>1483.5013592473383</v>
      </c>
      <c r="I35" s="182">
        <f t="shared" si="13"/>
        <v>13102.697182470907</v>
      </c>
      <c r="J35" s="182">
        <f t="shared" si="13"/>
        <v>14586.198541718246</v>
      </c>
      <c r="K35" s="182"/>
      <c r="L35" s="182"/>
      <c r="M35" s="182"/>
    </row>
    <row r="36" spans="1:13" x14ac:dyDescent="0.2">
      <c r="A36" s="33" t="s">
        <v>79</v>
      </c>
      <c r="B36" s="221">
        <f t="shared" si="12"/>
        <v>4860</v>
      </c>
      <c r="C36" s="182">
        <f t="shared" si="13"/>
        <v>4300.3531563786009</v>
      </c>
      <c r="D36" s="182">
        <f t="shared" si="13"/>
        <v>1870.0279032921806</v>
      </c>
      <c r="E36" s="182">
        <f t="shared" si="13"/>
        <v>1366.2405884773661</v>
      </c>
      <c r="F36" s="182">
        <f t="shared" si="13"/>
        <v>6260.8501440329228</v>
      </c>
      <c r="G36" s="182">
        <f t="shared" si="13"/>
        <v>3519.5752551440332</v>
      </c>
      <c r="H36" s="214">
        <f t="shared" si="13"/>
        <v>2014.9146934156379</v>
      </c>
      <c r="I36" s="182">
        <f t="shared" si="13"/>
        <v>17317.047047325104</v>
      </c>
      <c r="J36" s="182">
        <f t="shared" si="13"/>
        <v>19331.961740740742</v>
      </c>
      <c r="K36" s="182"/>
      <c r="L36" s="182"/>
      <c r="M36" s="182"/>
    </row>
    <row r="37" spans="1:13" x14ac:dyDescent="0.2">
      <c r="A37" s="33" t="s">
        <v>80</v>
      </c>
      <c r="B37" s="220">
        <f t="shared" si="12"/>
        <v>1438</v>
      </c>
      <c r="C37" s="183">
        <f t="shared" si="13"/>
        <v>5127.5134840055616</v>
      </c>
      <c r="D37" s="183">
        <f t="shared" si="13"/>
        <v>1559.5823018080669</v>
      </c>
      <c r="E37" s="183">
        <f t="shared" si="13"/>
        <v>1339.5456258692632</v>
      </c>
      <c r="F37" s="183">
        <f t="shared" si="13"/>
        <v>6985.8230737134927</v>
      </c>
      <c r="G37" s="183">
        <f t="shared" si="13"/>
        <v>2673.3933449235051</v>
      </c>
      <c r="H37" s="220">
        <f t="shared" si="13"/>
        <v>2316.8471627260087</v>
      </c>
      <c r="I37" s="183">
        <f t="shared" si="13"/>
        <v>17685.857830319888</v>
      </c>
      <c r="J37" s="183">
        <f t="shared" si="13"/>
        <v>20002.704993045896</v>
      </c>
      <c r="K37" s="182"/>
      <c r="L37" s="182"/>
      <c r="M37" s="182"/>
    </row>
    <row r="38" spans="1:13" x14ac:dyDescent="0.2">
      <c r="A38" s="33" t="s">
        <v>171</v>
      </c>
      <c r="B38" s="221">
        <f>SUM(B32:B37)</f>
        <v>93427</v>
      </c>
      <c r="C38" s="182">
        <f t="shared" si="13"/>
        <v>3723.4008205336777</v>
      </c>
      <c r="D38" s="182">
        <f t="shared" si="13"/>
        <v>593.10864728611637</v>
      </c>
      <c r="E38" s="182">
        <f t="shared" si="13"/>
        <v>1112.2479287572119</v>
      </c>
      <c r="F38" s="182">
        <f t="shared" si="13"/>
        <v>5606.9944076123602</v>
      </c>
      <c r="G38" s="182">
        <f t="shared" si="13"/>
        <v>1985.5610236869429</v>
      </c>
      <c r="H38" s="214">
        <f t="shared" si="13"/>
        <v>1234.1299851220738</v>
      </c>
      <c r="I38" s="182">
        <f t="shared" si="13"/>
        <v>13021.312827876312</v>
      </c>
      <c r="J38" s="182">
        <f t="shared" si="13"/>
        <v>14255.442812998384</v>
      </c>
      <c r="K38" s="182"/>
      <c r="L38" s="182"/>
      <c r="M38" s="182"/>
    </row>
    <row r="39" spans="1:13" x14ac:dyDescent="0.2">
      <c r="A39" s="33"/>
      <c r="B39" s="182"/>
      <c r="C39" s="182"/>
      <c r="D39" s="182"/>
      <c r="E39" s="182"/>
      <c r="F39" s="182"/>
      <c r="G39" s="182"/>
      <c r="H39" s="214"/>
      <c r="I39" s="182"/>
      <c r="J39" s="182"/>
      <c r="K39" s="182"/>
      <c r="L39" s="182"/>
      <c r="M39" s="182"/>
    </row>
    <row r="40" spans="1:13" x14ac:dyDescent="0.2">
      <c r="A40" s="33"/>
      <c r="B40" s="221"/>
      <c r="C40" s="182"/>
      <c r="D40" s="182"/>
      <c r="E40" s="182"/>
      <c r="F40" s="182"/>
      <c r="G40" s="182"/>
      <c r="H40" s="214"/>
      <c r="I40" s="182"/>
      <c r="J40" s="182"/>
      <c r="K40" s="182"/>
      <c r="L40" s="182"/>
      <c r="M40" s="182"/>
    </row>
    <row r="41" spans="1:13" x14ac:dyDescent="0.2">
      <c r="A41" s="33" t="s">
        <v>81</v>
      </c>
      <c r="B41" s="221">
        <f>B13</f>
        <v>22534</v>
      </c>
      <c r="C41" s="182">
        <f t="shared" ref="C41:J53" si="14">C13/$B41</f>
        <v>4664.8982799325468</v>
      </c>
      <c r="D41" s="182">
        <f t="shared" si="14"/>
        <v>665.01045176178218</v>
      </c>
      <c r="E41" s="182">
        <f t="shared" si="14"/>
        <v>1203.4372233070028</v>
      </c>
      <c r="F41" s="182">
        <f t="shared" si="14"/>
        <v>5949.5602041359725</v>
      </c>
      <c r="G41" s="182">
        <f t="shared" si="14"/>
        <v>748.63187716339746</v>
      </c>
      <c r="H41" s="214">
        <f t="shared" si="14"/>
        <v>408.64456421407647</v>
      </c>
      <c r="I41" s="182">
        <f t="shared" si="14"/>
        <v>13231.538036300703</v>
      </c>
      <c r="J41" s="182">
        <f t="shared" si="14"/>
        <v>13640.18260051478</v>
      </c>
      <c r="K41" s="182"/>
      <c r="L41" s="182"/>
      <c r="M41" s="182"/>
    </row>
    <row r="42" spans="1:13" x14ac:dyDescent="0.2">
      <c r="A42" s="33" t="s">
        <v>82</v>
      </c>
      <c r="B42" s="221">
        <f>B14</f>
        <v>6468</v>
      </c>
      <c r="C42" s="182">
        <f t="shared" si="14"/>
        <v>4218.2814950525662</v>
      </c>
      <c r="D42" s="182">
        <f t="shared" si="14"/>
        <v>748.43379406307986</v>
      </c>
      <c r="E42" s="182">
        <f t="shared" si="14"/>
        <v>1216.944271799629</v>
      </c>
      <c r="F42" s="182">
        <f t="shared" si="14"/>
        <v>6311.1643722943727</v>
      </c>
      <c r="G42" s="182">
        <f t="shared" si="14"/>
        <v>2243.4456091527522</v>
      </c>
      <c r="H42" s="214">
        <f t="shared" si="14"/>
        <v>0</v>
      </c>
      <c r="I42" s="182">
        <f t="shared" si="14"/>
        <v>14738.269542362401</v>
      </c>
      <c r="J42" s="182">
        <f t="shared" si="14"/>
        <v>14738.269542362401</v>
      </c>
      <c r="K42" s="182"/>
      <c r="L42" s="182"/>
      <c r="M42" s="182"/>
    </row>
    <row r="43" spans="1:13" x14ac:dyDescent="0.2">
      <c r="A43" s="33" t="s">
        <v>83</v>
      </c>
      <c r="B43" s="221">
        <f>B15</f>
        <v>5072</v>
      </c>
      <c r="C43" s="182">
        <f t="shared" si="14"/>
        <v>5071.1899112776036</v>
      </c>
      <c r="D43" s="182">
        <f t="shared" si="14"/>
        <v>1418.4567448738171</v>
      </c>
      <c r="E43" s="182">
        <f t="shared" si="14"/>
        <v>1333.2697535488958</v>
      </c>
      <c r="F43" s="182">
        <f t="shared" si="14"/>
        <v>6917.1775788643536</v>
      </c>
      <c r="G43" s="182">
        <f t="shared" si="14"/>
        <v>1389.1786474763405</v>
      </c>
      <c r="H43" s="214">
        <f t="shared" si="14"/>
        <v>286.26449723974758</v>
      </c>
      <c r="I43" s="182">
        <f t="shared" si="14"/>
        <v>16129.272636041011</v>
      </c>
      <c r="J43" s="182">
        <f t="shared" si="14"/>
        <v>16415.537133280759</v>
      </c>
      <c r="K43" s="182"/>
      <c r="L43" s="182"/>
      <c r="M43" s="182"/>
    </row>
    <row r="44" spans="1:13" x14ac:dyDescent="0.2">
      <c r="A44" s="33" t="s">
        <v>84</v>
      </c>
      <c r="B44" s="221">
        <f>B16</f>
        <v>3747</v>
      </c>
      <c r="C44" s="182">
        <f t="shared" si="14"/>
        <v>5232.7881078195887</v>
      </c>
      <c r="D44" s="182">
        <f t="shared" si="14"/>
        <v>1911.3908086469178</v>
      </c>
      <c r="E44" s="182">
        <f t="shared" si="14"/>
        <v>1645.8602295169467</v>
      </c>
      <c r="F44" s="182">
        <f t="shared" si="14"/>
        <v>8261.4296957566039</v>
      </c>
      <c r="G44" s="182">
        <f t="shared" si="14"/>
        <v>3330.0999119295439</v>
      </c>
      <c r="H44" s="214">
        <f t="shared" si="14"/>
        <v>271.32429143314653</v>
      </c>
      <c r="I44" s="182">
        <f t="shared" si="14"/>
        <v>20381.568753669599</v>
      </c>
      <c r="J44" s="182">
        <f t="shared" si="14"/>
        <v>20652.893045102748</v>
      </c>
      <c r="K44" s="182"/>
      <c r="L44" s="182"/>
      <c r="M44" s="182"/>
    </row>
    <row r="45" spans="1:13" x14ac:dyDescent="0.2">
      <c r="A45" s="33" t="s">
        <v>85</v>
      </c>
      <c r="B45" s="220">
        <f>B17</f>
        <v>1464</v>
      </c>
      <c r="C45" s="183">
        <f t="shared" si="14"/>
        <v>9234.7499726775968</v>
      </c>
      <c r="D45" s="183">
        <f t="shared" si="14"/>
        <v>3812.1679030054656</v>
      </c>
      <c r="E45" s="183">
        <f t="shared" si="14"/>
        <v>2616.7798907103829</v>
      </c>
      <c r="F45" s="183">
        <f t="shared" si="14"/>
        <v>11665.59198770492</v>
      </c>
      <c r="G45" s="183">
        <f t="shared" si="14"/>
        <v>3124.7877595628411</v>
      </c>
      <c r="H45" s="220">
        <f t="shared" si="14"/>
        <v>351.67662568306014</v>
      </c>
      <c r="I45" s="183">
        <f t="shared" si="14"/>
        <v>30454.077513661206</v>
      </c>
      <c r="J45" s="183">
        <f t="shared" si="14"/>
        <v>30805.754139344263</v>
      </c>
      <c r="K45" s="182"/>
      <c r="L45" s="182"/>
      <c r="M45" s="182"/>
    </row>
    <row r="46" spans="1:13" x14ac:dyDescent="0.2">
      <c r="A46" s="33" t="s">
        <v>172</v>
      </c>
      <c r="B46" s="221">
        <f>SUM(B41:B45)</f>
        <v>39285</v>
      </c>
      <c r="C46" s="182">
        <f t="shared" si="14"/>
        <v>4868.287355988291</v>
      </c>
      <c r="D46" s="182">
        <f t="shared" si="14"/>
        <v>1012.1833544609904</v>
      </c>
      <c r="E46" s="182">
        <f t="shared" si="14"/>
        <v>1317.2915405371004</v>
      </c>
      <c r="F46" s="182">
        <f t="shared" si="14"/>
        <v>6567.5430627465958</v>
      </c>
      <c r="G46" s="182">
        <f t="shared" si="14"/>
        <v>1412.2124136438845</v>
      </c>
      <c r="H46" s="214">
        <f t="shared" si="14"/>
        <v>310.34330762377493</v>
      </c>
      <c r="I46" s="182">
        <f t="shared" si="14"/>
        <v>15177.51772737686</v>
      </c>
      <c r="J46" s="182">
        <f t="shared" si="14"/>
        <v>15487.861035000637</v>
      </c>
      <c r="K46" s="182"/>
      <c r="L46" s="182"/>
      <c r="M46" s="182"/>
    </row>
    <row r="47" spans="1:13" x14ac:dyDescent="0.2">
      <c r="A47" s="33"/>
      <c r="B47" s="182"/>
      <c r="C47" s="182"/>
      <c r="D47" s="182"/>
      <c r="E47" s="182"/>
      <c r="F47" s="182"/>
      <c r="G47" s="182"/>
      <c r="H47" s="214"/>
      <c r="I47" s="182"/>
      <c r="J47" s="182"/>
      <c r="K47" s="182"/>
      <c r="L47" s="182"/>
      <c r="M47" s="182"/>
    </row>
    <row r="48" spans="1:13" x14ac:dyDescent="0.2">
      <c r="A48" s="33"/>
      <c r="B48" s="221"/>
      <c r="C48" s="182"/>
      <c r="D48" s="182"/>
      <c r="E48" s="182"/>
      <c r="F48" s="182"/>
      <c r="G48" s="182"/>
      <c r="H48" s="214"/>
      <c r="I48" s="182"/>
      <c r="J48" s="182"/>
      <c r="K48" s="182"/>
      <c r="L48" s="182"/>
      <c r="M48" s="182"/>
    </row>
    <row r="49" spans="1:13" x14ac:dyDescent="0.2">
      <c r="A49" s="33" t="s">
        <v>86</v>
      </c>
      <c r="B49" s="221">
        <f>B21</f>
        <v>15444</v>
      </c>
      <c r="C49" s="182">
        <f t="shared" ref="C49:H51" si="15">C21/$B49</f>
        <v>3816.2293395493389</v>
      </c>
      <c r="D49" s="182">
        <f t="shared" si="15"/>
        <v>864.73809311059313</v>
      </c>
      <c r="E49" s="182">
        <f t="shared" si="15"/>
        <v>1093.5826003626003</v>
      </c>
      <c r="F49" s="182">
        <f t="shared" si="15"/>
        <v>5953.7375990675991</v>
      </c>
      <c r="G49" s="182">
        <f t="shared" si="15"/>
        <v>1236.9738707588708</v>
      </c>
      <c r="H49" s="214">
        <f t="shared" si="15"/>
        <v>911.74510295260302</v>
      </c>
      <c r="I49" s="182">
        <f t="shared" si="14"/>
        <v>12965.261502849004</v>
      </c>
      <c r="J49" s="182">
        <f>J21/$B49</f>
        <v>13877.006605801607</v>
      </c>
      <c r="K49" s="182"/>
      <c r="L49" s="182"/>
      <c r="M49" s="182"/>
    </row>
    <row r="50" spans="1:13" x14ac:dyDescent="0.2">
      <c r="A50" s="33" t="s">
        <v>87</v>
      </c>
      <c r="B50" s="220">
        <f>B22</f>
        <v>7387</v>
      </c>
      <c r="C50" s="183">
        <f t="shared" si="15"/>
        <v>5934.5401827534888</v>
      </c>
      <c r="D50" s="183">
        <f t="shared" si="15"/>
        <v>1714.8943427643153</v>
      </c>
      <c r="E50" s="183">
        <f t="shared" si="15"/>
        <v>1591.1251550020299</v>
      </c>
      <c r="F50" s="183">
        <f t="shared" si="15"/>
        <v>7577.7929023961015</v>
      </c>
      <c r="G50" s="183">
        <f t="shared" si="15"/>
        <v>2547.9740165155004</v>
      </c>
      <c r="H50" s="220">
        <f t="shared" si="15"/>
        <v>1295.4311276566946</v>
      </c>
      <c r="I50" s="183">
        <f t="shared" si="14"/>
        <v>19366.326599431439</v>
      </c>
      <c r="J50" s="183">
        <f>J22/$B50</f>
        <v>20661.757727088134</v>
      </c>
      <c r="K50" s="182"/>
      <c r="L50" s="182"/>
      <c r="M50" s="182"/>
    </row>
    <row r="51" spans="1:13" x14ac:dyDescent="0.2">
      <c r="A51" s="33" t="s">
        <v>173</v>
      </c>
      <c r="B51" s="221">
        <f>SUM(B49:B50)</f>
        <v>22831</v>
      </c>
      <c r="C51" s="182">
        <f t="shared" si="15"/>
        <v>4501.6115916955014</v>
      </c>
      <c r="D51" s="182">
        <f t="shared" si="15"/>
        <v>1139.8072629319784</v>
      </c>
      <c r="E51" s="182">
        <f t="shared" si="15"/>
        <v>1254.5631465989222</v>
      </c>
      <c r="F51" s="182">
        <f t="shared" si="15"/>
        <v>6479.2028229162106</v>
      </c>
      <c r="G51" s="182">
        <f t="shared" si="15"/>
        <v>1661.149687705313</v>
      </c>
      <c r="H51" s="214">
        <f t="shared" si="15"/>
        <v>1035.8872195698832</v>
      </c>
      <c r="I51" s="182">
        <f t="shared" si="14"/>
        <v>15036.334511847926</v>
      </c>
      <c r="J51" s="182">
        <f>J23/$B51</f>
        <v>16072.221731417811</v>
      </c>
      <c r="K51" s="182"/>
      <c r="L51" s="182"/>
      <c r="M51" s="182"/>
    </row>
    <row r="52" spans="1:13" x14ac:dyDescent="0.2">
      <c r="A52" s="33"/>
      <c r="B52" s="214"/>
      <c r="C52" s="182"/>
      <c r="D52" s="182"/>
      <c r="E52" s="182"/>
      <c r="F52" s="182"/>
      <c r="G52" s="182"/>
      <c r="H52" s="214"/>
      <c r="I52" s="182"/>
      <c r="J52" s="182"/>
      <c r="K52" s="182"/>
      <c r="L52" s="182"/>
      <c r="M52" s="182"/>
    </row>
    <row r="53" spans="1:13" ht="13.5" thickBot="1" x14ac:dyDescent="0.25">
      <c r="A53" s="33" t="s">
        <v>174</v>
      </c>
      <c r="B53" s="222">
        <f>B51+B46+B38</f>
        <v>155543</v>
      </c>
      <c r="C53" s="192">
        <f t="shared" ref="C53:H53" si="16">C25/$B53</f>
        <v>4126.7889361141288</v>
      </c>
      <c r="D53" s="192">
        <f t="shared" si="16"/>
        <v>779.19883434162898</v>
      </c>
      <c r="E53" s="192">
        <f t="shared" si="16"/>
        <v>1184.9245328301499</v>
      </c>
      <c r="F53" s="192">
        <f t="shared" si="16"/>
        <v>5977.62210700578</v>
      </c>
      <c r="G53" s="192">
        <f t="shared" si="16"/>
        <v>1793.1342648013731</v>
      </c>
      <c r="H53" s="222">
        <f t="shared" si="16"/>
        <v>971.71354590049054</v>
      </c>
      <c r="I53" s="192">
        <f t="shared" si="14"/>
        <v>13861.668675093064</v>
      </c>
      <c r="J53" s="192">
        <f>J25/$B53</f>
        <v>14833.382220993553</v>
      </c>
      <c r="K53" s="182"/>
      <c r="L53" s="182"/>
      <c r="M53" s="182"/>
    </row>
    <row r="54" spans="1:13" ht="13.5" thickTop="1" x14ac:dyDescent="0.2">
      <c r="A54" s="33"/>
      <c r="B54" s="296"/>
      <c r="C54" s="182"/>
      <c r="D54" s="182"/>
      <c r="E54" s="182"/>
      <c r="F54" s="182"/>
      <c r="G54" s="182"/>
      <c r="H54" s="182"/>
      <c r="I54" s="182"/>
      <c r="J54" s="182"/>
      <c r="K54" s="182"/>
      <c r="L54" s="182"/>
    </row>
    <row r="55" spans="1:13" x14ac:dyDescent="0.2">
      <c r="A55" s="33"/>
      <c r="B55" s="182"/>
      <c r="C55" s="182"/>
      <c r="D55" s="182"/>
      <c r="E55" s="182"/>
      <c r="F55" s="182"/>
      <c r="G55" s="182"/>
      <c r="H55" s="182"/>
      <c r="I55" s="182"/>
      <c r="J55" s="182"/>
      <c r="K55" s="182"/>
      <c r="L55" s="182"/>
      <c r="M55" s="182"/>
    </row>
    <row r="56" spans="1:13" x14ac:dyDescent="0.2">
      <c r="A56" s="36" t="s">
        <v>200</v>
      </c>
      <c r="B56" s="36"/>
      <c r="C56" s="36"/>
      <c r="D56" s="36"/>
      <c r="E56" s="36"/>
      <c r="F56" s="36"/>
      <c r="G56" s="36"/>
      <c r="H56" s="36"/>
      <c r="I56" s="36"/>
      <c r="J56" s="36"/>
      <c r="K56" s="36"/>
      <c r="L56" s="36"/>
      <c r="M56" s="182"/>
    </row>
    <row r="57" spans="1:13" x14ac:dyDescent="0.2">
      <c r="A57" s="36" t="s">
        <v>11</v>
      </c>
      <c r="B57" s="22" t="str">
        <f>C2</f>
        <v>FY23</v>
      </c>
      <c r="L57" s="202"/>
      <c r="M57" s="182"/>
    </row>
    <row r="58" spans="1:13" ht="33.75" x14ac:dyDescent="0.2">
      <c r="A58" s="20" t="s">
        <v>245</v>
      </c>
      <c r="B58" s="21"/>
      <c r="C58" s="202" t="str">
        <f t="shared" ref="C58:H58" si="17">C3</f>
        <v>23/Pupil Property Tax</v>
      </c>
      <c r="D58" s="202" t="str">
        <f t="shared" si="17"/>
        <v>23/Pupil Non Levy Revenue</v>
      </c>
      <c r="E58" s="202" t="str">
        <f t="shared" si="17"/>
        <v>23/Pupil County Revenue</v>
      </c>
      <c r="F58" s="202" t="str">
        <f t="shared" si="17"/>
        <v>23/Pupil State Revenue</v>
      </c>
      <c r="G58" s="202" t="str">
        <f t="shared" si="17"/>
        <v>23/Pupil Federal Revenue</v>
      </c>
      <c r="H58" s="202" t="str">
        <f t="shared" si="17"/>
        <v>23Federal CARES Revenue</v>
      </c>
      <c r="I58" s="202"/>
      <c r="J58" s="202"/>
      <c r="K58" s="202"/>
      <c r="L58" s="202"/>
    </row>
    <row r="59" spans="1:13" x14ac:dyDescent="0.2">
      <c r="A59" s="33" t="s">
        <v>102</v>
      </c>
      <c r="B59" s="221"/>
      <c r="C59" s="224">
        <f t="shared" ref="C59:H65" si="18">C32/$J32</f>
        <v>0.30893246329867668</v>
      </c>
      <c r="D59" s="224">
        <f t="shared" si="18"/>
        <v>2.7302591548951788E-2</v>
      </c>
      <c r="E59" s="224">
        <f t="shared" si="18"/>
        <v>8.6839374839343356E-2</v>
      </c>
      <c r="F59" s="224">
        <f t="shared" si="18"/>
        <v>0.41702303734547685</v>
      </c>
      <c r="G59" s="224">
        <f t="shared" si="18"/>
        <v>9.2704931536349705E-2</v>
      </c>
      <c r="H59" s="224">
        <f t="shared" si="18"/>
        <v>6.7197601431201404E-2</v>
      </c>
      <c r="I59" s="224"/>
      <c r="J59" s="313"/>
      <c r="K59" s="313"/>
      <c r="L59" s="182"/>
    </row>
    <row r="60" spans="1:13" x14ac:dyDescent="0.2">
      <c r="A60" s="33" t="s">
        <v>76</v>
      </c>
      <c r="B60" s="221"/>
      <c r="C60" s="224">
        <f t="shared" si="18"/>
        <v>0.24410306857751748</v>
      </c>
      <c r="D60" s="224">
        <f t="shared" si="18"/>
        <v>2.5119546836566843E-2</v>
      </c>
      <c r="E60" s="224">
        <f t="shared" si="18"/>
        <v>6.9651678495190147E-2</v>
      </c>
      <c r="F60" s="224">
        <f t="shared" si="18"/>
        <v>0.37157925372690037</v>
      </c>
      <c r="G60" s="224">
        <f t="shared" si="18"/>
        <v>0.18937231738820073</v>
      </c>
      <c r="H60" s="224">
        <f t="shared" si="18"/>
        <v>0.1001741349756245</v>
      </c>
      <c r="I60" s="224"/>
      <c r="J60" s="313"/>
      <c r="K60" s="313"/>
      <c r="L60" s="182"/>
    </row>
    <row r="61" spans="1:13" x14ac:dyDescent="0.2">
      <c r="A61" s="33" t="s">
        <v>77</v>
      </c>
      <c r="B61" s="221"/>
      <c r="C61" s="224">
        <f t="shared" si="18"/>
        <v>0.22602161735620205</v>
      </c>
      <c r="D61" s="224">
        <f t="shared" si="18"/>
        <v>5.0499545114061663E-2</v>
      </c>
      <c r="E61" s="224">
        <f t="shared" si="18"/>
        <v>7.5917338884577301E-2</v>
      </c>
      <c r="F61" s="224">
        <f t="shared" si="18"/>
        <v>0.3932603226240744</v>
      </c>
      <c r="G61" s="224">
        <f t="shared" si="18"/>
        <v>0.16010246051488083</v>
      </c>
      <c r="H61" s="224">
        <f t="shared" si="18"/>
        <v>9.4198715506203679E-2</v>
      </c>
      <c r="I61" s="224"/>
      <c r="J61" s="313"/>
      <c r="K61" s="313"/>
      <c r="L61" s="182"/>
    </row>
    <row r="62" spans="1:13" x14ac:dyDescent="0.2">
      <c r="A62" s="33" t="s">
        <v>78</v>
      </c>
      <c r="B62" s="221"/>
      <c r="C62" s="224">
        <f t="shared" si="18"/>
        <v>0.20982594067637453</v>
      </c>
      <c r="D62" s="224">
        <f t="shared" si="18"/>
        <v>6.0988464408924636E-2</v>
      </c>
      <c r="E62" s="224">
        <f t="shared" si="18"/>
        <v>7.160420729014641E-2</v>
      </c>
      <c r="F62" s="224">
        <f t="shared" si="18"/>
        <v>0.39603111343674663</v>
      </c>
      <c r="G62" s="224">
        <f t="shared" si="18"/>
        <v>0.15984444898569303</v>
      </c>
      <c r="H62" s="224">
        <f t="shared" si="18"/>
        <v>0.10170582520211484</v>
      </c>
      <c r="I62" s="224"/>
      <c r="J62" s="313"/>
      <c r="K62" s="313"/>
      <c r="L62" s="182"/>
    </row>
    <row r="63" spans="1:13" x14ac:dyDescent="0.2">
      <c r="A63" s="33" t="s">
        <v>79</v>
      </c>
      <c r="B63" s="221"/>
      <c r="C63" s="224">
        <f t="shared" si="18"/>
        <v>0.22244784125120168</v>
      </c>
      <c r="D63" s="224">
        <f t="shared" si="18"/>
        <v>9.6732443834255527E-2</v>
      </c>
      <c r="E63" s="224">
        <f t="shared" si="18"/>
        <v>7.0672630475887538E-2</v>
      </c>
      <c r="F63" s="224">
        <f t="shared" si="18"/>
        <v>0.3238600524869974</v>
      </c>
      <c r="G63" s="224">
        <f t="shared" si="18"/>
        <v>0.18205991209504502</v>
      </c>
      <c r="H63" s="224">
        <f t="shared" si="18"/>
        <v>0.10422711985661277</v>
      </c>
      <c r="I63" s="224"/>
      <c r="J63" s="313"/>
      <c r="K63" s="313"/>
      <c r="L63" s="182"/>
    </row>
    <row r="64" spans="1:13" x14ac:dyDescent="0.2">
      <c r="A64" s="33" t="s">
        <v>80</v>
      </c>
      <c r="B64" s="221"/>
      <c r="C64" s="225">
        <f t="shared" si="18"/>
        <v>0.2563410041685954</v>
      </c>
      <c r="D64" s="225">
        <f t="shared" si="18"/>
        <v>7.7968569868438711E-2</v>
      </c>
      <c r="E64" s="225">
        <f t="shared" si="18"/>
        <v>6.6968223864470683E-2</v>
      </c>
      <c r="F64" s="225">
        <f t="shared" si="18"/>
        <v>0.34924391856712234</v>
      </c>
      <c r="G64" s="225">
        <f t="shared" si="18"/>
        <v>0.13365159091497536</v>
      </c>
      <c r="H64" s="225">
        <f t="shared" si="18"/>
        <v>0.11582669261639761</v>
      </c>
      <c r="I64" s="313"/>
      <c r="J64" s="313"/>
      <c r="K64" s="313"/>
      <c r="L64" s="182"/>
    </row>
    <row r="65" spans="1:12" x14ac:dyDescent="0.2">
      <c r="A65" s="33" t="s">
        <v>171</v>
      </c>
      <c r="B65" s="221"/>
      <c r="C65" s="224">
        <f t="shared" si="18"/>
        <v>0.26119152308187926</v>
      </c>
      <c r="D65" s="224">
        <f t="shared" si="18"/>
        <v>4.1605768061116176E-2</v>
      </c>
      <c r="E65" s="224">
        <f t="shared" si="18"/>
        <v>7.8022685324305951E-2</v>
      </c>
      <c r="F65" s="224">
        <f t="shared" si="18"/>
        <v>0.39332306131520489</v>
      </c>
      <c r="G65" s="224">
        <f t="shared" si="18"/>
        <v>0.13928441576549769</v>
      </c>
      <c r="H65" s="224">
        <f t="shared" si="18"/>
        <v>8.6572546451995899E-2</v>
      </c>
      <c r="I65" s="224"/>
      <c r="J65" s="313"/>
      <c r="K65" s="313"/>
      <c r="L65" s="182"/>
    </row>
    <row r="66" spans="1:12" x14ac:dyDescent="0.2">
      <c r="A66" s="33"/>
      <c r="B66" s="182"/>
      <c r="C66" s="224"/>
      <c r="D66" s="224"/>
      <c r="E66" s="224"/>
      <c r="F66" s="224"/>
      <c r="G66" s="224"/>
      <c r="H66" s="224"/>
      <c r="I66" s="224"/>
      <c r="J66" s="313"/>
      <c r="K66" s="313"/>
      <c r="L66" s="182"/>
    </row>
    <row r="67" spans="1:12" x14ac:dyDescent="0.2">
      <c r="A67" s="33"/>
      <c r="B67" s="221"/>
      <c r="C67" s="224"/>
      <c r="D67" s="224"/>
      <c r="E67" s="224"/>
      <c r="F67" s="224"/>
      <c r="G67" s="224"/>
      <c r="H67" s="224"/>
      <c r="I67" s="224"/>
      <c r="J67" s="313"/>
      <c r="K67" s="313"/>
      <c r="L67" s="182"/>
    </row>
    <row r="68" spans="1:12" x14ac:dyDescent="0.2">
      <c r="A68" s="33" t="s">
        <v>81</v>
      </c>
      <c r="B68" s="221"/>
      <c r="C68" s="224">
        <f t="shared" ref="C68:H73" si="19">C41/$J41</f>
        <v>0.34199676181435384</v>
      </c>
      <c r="D68" s="224">
        <f t="shared" si="19"/>
        <v>4.8753779273943497E-2</v>
      </c>
      <c r="E68" s="224">
        <f t="shared" si="19"/>
        <v>8.8227354321604542E-2</v>
      </c>
      <c r="F68" s="224">
        <f t="shared" si="19"/>
        <v>0.43617892651315654</v>
      </c>
      <c r="G68" s="224">
        <f t="shared" si="19"/>
        <v>5.488430023914373E-2</v>
      </c>
      <c r="H68" s="224">
        <f t="shared" si="19"/>
        <v>2.9958877837797732E-2</v>
      </c>
      <c r="I68" s="224"/>
      <c r="J68" s="313"/>
      <c r="K68" s="313"/>
      <c r="L68" s="182"/>
    </row>
    <row r="69" spans="1:12" x14ac:dyDescent="0.2">
      <c r="A69" s="33" t="s">
        <v>82</v>
      </c>
      <c r="B69" s="221"/>
      <c r="C69" s="224">
        <f t="shared" si="19"/>
        <v>0.28621280693285628</v>
      </c>
      <c r="D69" s="224">
        <f t="shared" si="19"/>
        <v>5.0781660079688921E-2</v>
      </c>
      <c r="E69" s="224">
        <f t="shared" si="19"/>
        <v>8.2570363386403681E-2</v>
      </c>
      <c r="F69" s="224">
        <f t="shared" si="19"/>
        <v>0.42821610462165255</v>
      </c>
      <c r="G69" s="224">
        <f t="shared" si="19"/>
        <v>0.15221906497939852</v>
      </c>
      <c r="H69" s="224">
        <f t="shared" si="19"/>
        <v>0</v>
      </c>
      <c r="I69" s="224"/>
      <c r="J69" s="313"/>
      <c r="K69" s="313"/>
      <c r="L69" s="182"/>
    </row>
    <row r="70" spans="1:12" x14ac:dyDescent="0.2">
      <c r="A70" s="33" t="s">
        <v>83</v>
      </c>
      <c r="B70" s="221"/>
      <c r="C70" s="224">
        <f t="shared" si="19"/>
        <v>0.30892622459464358</v>
      </c>
      <c r="D70" s="224">
        <f t="shared" si="19"/>
        <v>8.6409401858562801E-2</v>
      </c>
      <c r="E70" s="224">
        <f t="shared" si="19"/>
        <v>8.1219989496769673E-2</v>
      </c>
      <c r="F70" s="224">
        <f t="shared" si="19"/>
        <v>0.42137991115992851</v>
      </c>
      <c r="G70" s="224">
        <f t="shared" si="19"/>
        <v>8.4625841737455437E-2</v>
      </c>
      <c r="H70" s="224">
        <f t="shared" si="19"/>
        <v>1.7438631152639942E-2</v>
      </c>
      <c r="I70" s="224"/>
      <c r="J70" s="313"/>
      <c r="K70" s="313"/>
      <c r="L70" s="182"/>
    </row>
    <row r="71" spans="1:12" x14ac:dyDescent="0.2">
      <c r="A71" s="33" t="s">
        <v>84</v>
      </c>
      <c r="B71" s="221"/>
      <c r="C71" s="224">
        <f t="shared" si="19"/>
        <v>0.25336828580828763</v>
      </c>
      <c r="D71" s="224">
        <f t="shared" si="19"/>
        <v>9.254833230737862E-2</v>
      </c>
      <c r="E71" s="224">
        <f t="shared" si="19"/>
        <v>7.969150984913545E-2</v>
      </c>
      <c r="F71" s="224">
        <f t="shared" si="19"/>
        <v>0.40001319319840128</v>
      </c>
      <c r="G71" s="224">
        <f t="shared" si="19"/>
        <v>0.16124132849848768</v>
      </c>
      <c r="H71" s="224">
        <f t="shared" si="19"/>
        <v>1.3137350338309307E-2</v>
      </c>
      <c r="I71" s="224"/>
      <c r="J71" s="313"/>
      <c r="K71" s="313"/>
      <c r="L71" s="182"/>
    </row>
    <row r="72" spans="1:12" x14ac:dyDescent="0.2">
      <c r="A72" s="33" t="s">
        <v>85</v>
      </c>
      <c r="B72" s="221"/>
      <c r="C72" s="225">
        <f t="shared" si="19"/>
        <v>0.29977354006351781</v>
      </c>
      <c r="D72" s="225">
        <f t="shared" si="19"/>
        <v>0.12374856612053102</v>
      </c>
      <c r="E72" s="225">
        <f t="shared" si="19"/>
        <v>8.4944516497594963E-2</v>
      </c>
      <c r="F72" s="225">
        <f t="shared" si="19"/>
        <v>0.37868224017297947</v>
      </c>
      <c r="G72" s="225">
        <f t="shared" si="19"/>
        <v>0.10143519763964967</v>
      </c>
      <c r="H72" s="225">
        <f t="shared" si="19"/>
        <v>1.1415939505727224E-2</v>
      </c>
      <c r="I72" s="313"/>
      <c r="J72" s="313"/>
      <c r="K72" s="313"/>
      <c r="L72" s="182"/>
    </row>
    <row r="73" spans="1:12" x14ac:dyDescent="0.2">
      <c r="A73" s="33" t="s">
        <v>172</v>
      </c>
      <c r="B73" s="221"/>
      <c r="C73" s="224">
        <f t="shared" si="19"/>
        <v>0.31432922499669697</v>
      </c>
      <c r="D73" s="224">
        <f t="shared" si="19"/>
        <v>6.5353333954481008E-2</v>
      </c>
      <c r="E73" s="224">
        <f t="shared" si="19"/>
        <v>8.5053161153769763E-2</v>
      </c>
      <c r="F73" s="224">
        <f t="shared" si="19"/>
        <v>0.42404454998045027</v>
      </c>
      <c r="G73" s="224">
        <f t="shared" si="19"/>
        <v>9.1181888218938717E-2</v>
      </c>
      <c r="H73" s="224">
        <f t="shared" si="19"/>
        <v>2.0037841695663316E-2</v>
      </c>
      <c r="I73" s="224"/>
      <c r="J73" s="313"/>
      <c r="K73" s="313"/>
      <c r="L73" s="182"/>
    </row>
    <row r="74" spans="1:12" x14ac:dyDescent="0.2">
      <c r="A74" s="33"/>
      <c r="B74" s="182"/>
      <c r="C74" s="224"/>
      <c r="D74" s="224"/>
      <c r="E74" s="224"/>
      <c r="F74" s="224"/>
      <c r="G74" s="224"/>
      <c r="H74" s="224"/>
      <c r="I74" s="224"/>
      <c r="J74" s="313"/>
      <c r="K74" s="313"/>
      <c r="L74" s="182"/>
    </row>
    <row r="75" spans="1:12" x14ac:dyDescent="0.2">
      <c r="A75" s="33"/>
      <c r="B75" s="221"/>
      <c r="C75" s="224"/>
      <c r="D75" s="224"/>
      <c r="E75" s="224"/>
      <c r="F75" s="224"/>
      <c r="G75" s="224"/>
      <c r="H75" s="224"/>
      <c r="I75" s="224"/>
      <c r="J75" s="313"/>
      <c r="K75" s="313"/>
      <c r="L75" s="182"/>
    </row>
    <row r="76" spans="1:12" x14ac:dyDescent="0.2">
      <c r="A76" s="33" t="s">
        <v>86</v>
      </c>
      <c r="B76" s="221"/>
      <c r="C76" s="224">
        <f t="shared" ref="C76:H78" si="20">C49/$J49</f>
        <v>0.27500378489074689</v>
      </c>
      <c r="D76" s="224">
        <f t="shared" si="20"/>
        <v>6.2314454238932851E-2</v>
      </c>
      <c r="E76" s="224">
        <f t="shared" si="20"/>
        <v>7.8805367139149624E-2</v>
      </c>
      <c r="F76" s="224">
        <f t="shared" si="20"/>
        <v>0.42903615802694073</v>
      </c>
      <c r="G76" s="224">
        <f t="shared" si="20"/>
        <v>8.9138378751057526E-2</v>
      </c>
      <c r="H76" s="224">
        <f t="shared" si="20"/>
        <v>6.5701856953172211E-2</v>
      </c>
      <c r="I76" s="224"/>
      <c r="J76" s="313"/>
      <c r="K76" s="313"/>
      <c r="L76" s="182"/>
    </row>
    <row r="77" spans="1:12" x14ac:dyDescent="0.2">
      <c r="A77" s="33" t="s">
        <v>87</v>
      </c>
      <c r="B77" s="221"/>
      <c r="C77" s="225">
        <f t="shared" si="20"/>
        <v>0.28722339411487452</v>
      </c>
      <c r="D77" s="225">
        <f t="shared" si="20"/>
        <v>8.2998473092927696E-2</v>
      </c>
      <c r="E77" s="225">
        <f t="shared" si="20"/>
        <v>7.7008218565839684E-2</v>
      </c>
      <c r="F77" s="225">
        <f t="shared" si="20"/>
        <v>0.36675451345852372</v>
      </c>
      <c r="G77" s="225">
        <f t="shared" si="20"/>
        <v>0.12331835704253932</v>
      </c>
      <c r="H77" s="225">
        <f t="shared" si="20"/>
        <v>6.2697043725294901E-2</v>
      </c>
      <c r="I77" s="313"/>
      <c r="J77" s="313"/>
      <c r="K77" s="313"/>
      <c r="L77" s="182"/>
    </row>
    <row r="78" spans="1:12" x14ac:dyDescent="0.2">
      <c r="A78" s="33" t="s">
        <v>173</v>
      </c>
      <c r="B78" s="221"/>
      <c r="C78" s="224">
        <f t="shared" si="20"/>
        <v>0.28008645394032849</v>
      </c>
      <c r="D78" s="224">
        <f t="shared" si="20"/>
        <v>7.0917840854814437E-2</v>
      </c>
      <c r="E78" s="224">
        <f t="shared" si="20"/>
        <v>7.8057854574424851E-2</v>
      </c>
      <c r="F78" s="224">
        <f t="shared" si="20"/>
        <v>0.40313050250238475</v>
      </c>
      <c r="G78" s="224">
        <f t="shared" si="20"/>
        <v>0.10335532420250991</v>
      </c>
      <c r="H78" s="224">
        <f t="shared" si="20"/>
        <v>6.4452023925537422E-2</v>
      </c>
      <c r="I78" s="224"/>
      <c r="J78" s="313"/>
      <c r="K78" s="313"/>
      <c r="L78" s="182"/>
    </row>
    <row r="79" spans="1:12" x14ac:dyDescent="0.2">
      <c r="A79" s="33"/>
      <c r="B79" s="221"/>
      <c r="C79" s="224"/>
      <c r="D79" s="224"/>
      <c r="E79" s="224"/>
      <c r="F79" s="224"/>
      <c r="G79" s="224"/>
      <c r="H79" s="224"/>
      <c r="I79" s="224"/>
      <c r="J79" s="313"/>
      <c r="K79" s="313"/>
      <c r="L79" s="182"/>
    </row>
    <row r="80" spans="1:12" ht="13.5" thickBot="1" x14ac:dyDescent="0.25">
      <c r="A80" s="33" t="s">
        <v>208</v>
      </c>
      <c r="B80" s="221"/>
      <c r="C80" s="226">
        <f t="shared" ref="C80:H80" si="21">C53/$J53</f>
        <v>0.27820957315274469</v>
      </c>
      <c r="D80" s="226">
        <f t="shared" si="21"/>
        <v>5.2530085366426803E-2</v>
      </c>
      <c r="E80" s="226">
        <f t="shared" si="21"/>
        <v>7.9882289499230777E-2</v>
      </c>
      <c r="F80" s="226">
        <f t="shared" si="21"/>
        <v>0.40298443186785177</v>
      </c>
      <c r="G80" s="226">
        <f t="shared" si="21"/>
        <v>0.12088505764137637</v>
      </c>
      <c r="H80" s="226">
        <f t="shared" si="21"/>
        <v>6.5508562472369455E-2</v>
      </c>
      <c r="I80" s="313"/>
      <c r="J80" s="313"/>
      <c r="K80" s="313"/>
      <c r="L80" s="182"/>
    </row>
    <row r="81" spans="1:13" ht="13.5" thickTop="1" x14ac:dyDescent="0.2">
      <c r="A81" s="33"/>
      <c r="B81" s="33"/>
      <c r="C81" s="296"/>
      <c r="D81" s="33"/>
      <c r="E81" s="33"/>
      <c r="F81" s="33"/>
      <c r="G81" s="33"/>
      <c r="H81" s="33"/>
      <c r="I81" s="33"/>
      <c r="J81" s="33"/>
      <c r="K81" s="33"/>
      <c r="L81" s="33"/>
      <c r="M81" s="182"/>
    </row>
    <row r="82" spans="1:13" x14ac:dyDescent="0.2">
      <c r="A82" s="33"/>
      <c r="B82" s="33"/>
      <c r="C82" s="33"/>
      <c r="D82" s="33"/>
      <c r="E82" s="33"/>
      <c r="F82" s="33"/>
      <c r="G82" s="33"/>
      <c r="H82" s="33"/>
      <c r="I82" s="33"/>
      <c r="J82" s="33"/>
      <c r="K82" s="33"/>
      <c r="L82" s="33"/>
      <c r="M82" s="182"/>
    </row>
  </sheetData>
  <pageMargins left="0.5" right="0.5" top="0.75" bottom="0.75" header="0.5" footer="0.5"/>
  <pageSetup scale="63" orientation="portrait" r:id="rId1"/>
  <headerFooter alignWithMargins="0">
    <oddFooter>&amp;Z&amp;F</oddFooter>
  </headerFooter>
  <rowBreaks count="1" manualBreakCount="1">
    <brk id="55" max="16383" man="1"/>
  </rowBreaks>
  <colBreaks count="1" manualBreakCount="1">
    <brk id="12" max="79"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2:K46"/>
  <sheetViews>
    <sheetView zoomScale="90" zoomScaleNormal="90" workbookViewId="0">
      <selection activeCell="T17" sqref="T1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'13func'!C47</f>
        <v>5627.8993818760355</v>
      </c>
      <c r="H5" s="291" t="s">
        <v>1107</v>
      </c>
    </row>
    <row r="7" spans="3:11" ht="13.5" thickBot="1" x14ac:dyDescent="0.25"/>
    <row r="8" spans="3:11" ht="13.5" thickBot="1" x14ac:dyDescent="0.25">
      <c r="I8" s="277" t="s">
        <v>95</v>
      </c>
      <c r="J8" s="286">
        <f>'13func'!D47</f>
        <v>955.98916292610272</v>
      </c>
      <c r="K8" s="291" t="s">
        <v>1107</v>
      </c>
    </row>
    <row r="14" spans="3:11" ht="13.5" thickBot="1" x14ac:dyDescent="0.25"/>
    <row r="15" spans="3:11" x14ac:dyDescent="0.2">
      <c r="C15" s="284" t="s">
        <v>1113</v>
      </c>
      <c r="D15" s="285"/>
    </row>
    <row r="16" spans="3:11" ht="13.5" thickBot="1" x14ac:dyDescent="0.25">
      <c r="C16" s="292">
        <f>'13func'!E47</f>
        <v>558.18133319792821</v>
      </c>
      <c r="D16" s="279" t="s">
        <v>1107</v>
      </c>
    </row>
    <row r="22" spans="2:11" ht="13.5" thickBot="1" x14ac:dyDescent="0.25"/>
    <row r="23" spans="2:11" ht="15.75" x14ac:dyDescent="0.25">
      <c r="F23" s="370" t="s">
        <v>1114</v>
      </c>
      <c r="G23" s="371"/>
    </row>
    <row r="24" spans="2:11" ht="15.75" x14ac:dyDescent="0.25">
      <c r="F24" s="372">
        <f>ROUND(J8+J29+J38+G41+C31+C16+G5+D46,0)</f>
        <v>10536</v>
      </c>
      <c r="G24" s="373"/>
    </row>
    <row r="25" spans="2:11" ht="16.5" thickBot="1" x14ac:dyDescent="0.3">
      <c r="F25" s="374" t="s">
        <v>1115</v>
      </c>
      <c r="G25" s="375"/>
    </row>
    <row r="28" spans="2:11" ht="13.5" thickBot="1" x14ac:dyDescent="0.25"/>
    <row r="29" spans="2:11" ht="13.5" thickBot="1" x14ac:dyDescent="0.25">
      <c r="I29" s="277" t="s">
        <v>1108</v>
      </c>
      <c r="J29" s="286">
        <f>'13func'!J47</f>
        <v>559.2279729866965</v>
      </c>
      <c r="K29" s="291" t="s">
        <v>1107</v>
      </c>
    </row>
    <row r="30" spans="2:11" ht="13.5" thickBot="1" x14ac:dyDescent="0.25"/>
    <row r="31" spans="2:11" ht="13.5" thickBot="1" x14ac:dyDescent="0.25">
      <c r="B31" s="277" t="s">
        <v>93</v>
      </c>
      <c r="C31" s="286">
        <f>'13func'!I47</f>
        <v>693.08721160421112</v>
      </c>
      <c r="D31" s="291" t="s">
        <v>1107</v>
      </c>
    </row>
    <row r="37" spans="2:11" ht="13.5" thickBot="1" x14ac:dyDescent="0.25"/>
    <row r="38" spans="2:11" ht="13.5" thickBot="1" x14ac:dyDescent="0.25">
      <c r="I38" s="277" t="s">
        <v>1109</v>
      </c>
      <c r="J38" s="286">
        <f>'13func'!F47</f>
        <v>550.30412118750212</v>
      </c>
      <c r="K38" s="291" t="s">
        <v>1107</v>
      </c>
    </row>
    <row r="39" spans="2:11" ht="13.5" thickBot="1" x14ac:dyDescent="0.25"/>
    <row r="40" spans="2:11" ht="13.5" thickBot="1" x14ac:dyDescent="0.25">
      <c r="F40" s="282" t="s">
        <v>1111</v>
      </c>
      <c r="G40" s="280"/>
      <c r="H40" s="285"/>
    </row>
    <row r="41" spans="2:11" ht="13.5" thickBot="1" x14ac:dyDescent="0.25">
      <c r="G41" s="292">
        <f>'13func'!G47</f>
        <v>1018.3510083612606</v>
      </c>
      <c r="H41" s="279" t="s">
        <v>1107</v>
      </c>
    </row>
    <row r="45" spans="2:11" ht="13.5" thickBot="1" x14ac:dyDescent="0.25"/>
    <row r="46" spans="2:11" ht="13.5" thickBot="1" x14ac:dyDescent="0.25">
      <c r="B46" s="288"/>
      <c r="C46" s="277" t="s">
        <v>1112</v>
      </c>
      <c r="D46" s="286">
        <f>'13func'!H47</f>
        <v>572.68155532988044</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1218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121857" r:id="rId4"/>
      </mc:Fallback>
    </mc:AlternateContent>
  </oleObject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K46"/>
  <sheetViews>
    <sheetView topLeftCell="A11" zoomScale="90" zoomScaleNormal="90" workbookViewId="0">
      <selection activeCell="O34" sqref="O34"/>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v>5516</v>
      </c>
      <c r="H5" s="291" t="s">
        <v>1107</v>
      </c>
    </row>
    <row r="7" spans="3:11" ht="13.5" thickBot="1" x14ac:dyDescent="0.25"/>
    <row r="8" spans="3:11" ht="13.5" thickBot="1" x14ac:dyDescent="0.25">
      <c r="I8" s="277" t="s">
        <v>95</v>
      </c>
      <c r="J8" s="286">
        <v>914</v>
      </c>
      <c r="K8" s="291" t="s">
        <v>1107</v>
      </c>
    </row>
    <row r="14" spans="3:11" ht="13.5" thickBot="1" x14ac:dyDescent="0.25"/>
    <row r="15" spans="3:11" x14ac:dyDescent="0.2">
      <c r="C15" s="284" t="s">
        <v>1113</v>
      </c>
      <c r="D15" s="285"/>
    </row>
    <row r="16" spans="3:11" ht="13.5" thickBot="1" x14ac:dyDescent="0.25">
      <c r="C16" s="292">
        <v>548</v>
      </c>
      <c r="D16" s="279" t="s">
        <v>1107</v>
      </c>
    </row>
    <row r="22" spans="2:11" ht="13.5" thickBot="1" x14ac:dyDescent="0.25"/>
    <row r="23" spans="2:11" ht="15.75" x14ac:dyDescent="0.25">
      <c r="F23" s="370" t="s">
        <v>1114</v>
      </c>
      <c r="G23" s="371"/>
    </row>
    <row r="24" spans="2:11" ht="15.75" x14ac:dyDescent="0.25">
      <c r="F24" s="372">
        <f>ROUND(J8+J29+J38+G41+C31+C16+G5+D46,0)</f>
        <v>10400</v>
      </c>
      <c r="G24" s="373"/>
    </row>
    <row r="25" spans="2:11" ht="16.5" thickBot="1" x14ac:dyDescent="0.3">
      <c r="F25" s="374" t="s">
        <v>1115</v>
      </c>
      <c r="G25" s="375"/>
    </row>
    <row r="28" spans="2:11" ht="13.5" thickBot="1" x14ac:dyDescent="0.25"/>
    <row r="29" spans="2:11" ht="13.5" thickBot="1" x14ac:dyDescent="0.25">
      <c r="I29" s="277" t="s">
        <v>1108</v>
      </c>
      <c r="J29" s="286">
        <v>579</v>
      </c>
      <c r="K29" s="291" t="s">
        <v>1107</v>
      </c>
    </row>
    <row r="30" spans="2:11" ht="13.5" thickBot="1" x14ac:dyDescent="0.25"/>
    <row r="31" spans="2:11" ht="13.5" thickBot="1" x14ac:dyDescent="0.25">
      <c r="B31" s="277" t="s">
        <v>93</v>
      </c>
      <c r="C31" s="286">
        <v>706</v>
      </c>
      <c r="D31" s="291" t="s">
        <v>1107</v>
      </c>
    </row>
    <row r="37" spans="2:11" ht="13.5" thickBot="1" x14ac:dyDescent="0.25"/>
    <row r="38" spans="2:11" ht="13.5" thickBot="1" x14ac:dyDescent="0.25">
      <c r="I38" s="277" t="s">
        <v>1109</v>
      </c>
      <c r="J38" s="286">
        <v>541</v>
      </c>
      <c r="K38" s="291" t="s">
        <v>1107</v>
      </c>
    </row>
    <row r="39" spans="2:11" ht="13.5" thickBot="1" x14ac:dyDescent="0.25"/>
    <row r="40" spans="2:11" ht="13.5" thickBot="1" x14ac:dyDescent="0.25">
      <c r="F40" s="282" t="s">
        <v>1111</v>
      </c>
      <c r="G40" s="280"/>
      <c r="H40" s="285"/>
    </row>
    <row r="41" spans="2:11" ht="13.5" thickBot="1" x14ac:dyDescent="0.25">
      <c r="G41" s="292">
        <v>1027</v>
      </c>
      <c r="H41" s="279" t="s">
        <v>1107</v>
      </c>
    </row>
    <row r="45" spans="2:11" ht="13.5" thickBot="1" x14ac:dyDescent="0.25"/>
    <row r="46" spans="2:11" ht="13.5" thickBot="1" x14ac:dyDescent="0.25">
      <c r="B46" s="288"/>
      <c r="C46" s="277" t="s">
        <v>1112</v>
      </c>
      <c r="D46" s="286">
        <v>569</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91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9153" r:id="rId4"/>
      </mc:Fallback>
    </mc:AlternateContent>
  </oleObject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89">
    <pageSetUpPr fitToPage="1"/>
  </sheetPr>
  <dimension ref="B2:K46"/>
  <sheetViews>
    <sheetView topLeftCell="A26" zoomScale="90" zoomScaleNormal="90" workbookViewId="0">
      <selection activeCell="M42" sqref="M42"/>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'11func_NO_ARRA_NO_SFSF'!C47</f>
        <v>4992.3902983137905</v>
      </c>
      <c r="H5" s="291" t="s">
        <v>1107</v>
      </c>
    </row>
    <row r="7" spans="3:11" ht="13.5" thickBot="1" x14ac:dyDescent="0.25"/>
    <row r="8" spans="3:11" ht="13.5" thickBot="1" x14ac:dyDescent="0.25">
      <c r="I8" s="277" t="s">
        <v>95</v>
      </c>
      <c r="J8" s="286">
        <f>'11func_NO_ARRA_NO_SFSF'!D47</f>
        <v>854.07070036833045</v>
      </c>
      <c r="K8" s="291" t="s">
        <v>1107</v>
      </c>
    </row>
    <row r="14" spans="3:11" ht="13.5" thickBot="1" x14ac:dyDescent="0.25"/>
    <row r="15" spans="3:11" x14ac:dyDescent="0.2">
      <c r="C15" s="284" t="s">
        <v>1113</v>
      </c>
      <c r="D15" s="285"/>
    </row>
    <row r="16" spans="3:11" ht="13.5" thickBot="1" x14ac:dyDescent="0.25">
      <c r="C16" s="292">
        <f>'11func_NO_ARRA_NO_SFSF'!E47</f>
        <v>530.68010299733044</v>
      </c>
      <c r="D16" s="279" t="s">
        <v>1107</v>
      </c>
    </row>
    <row r="22" spans="2:11" ht="13.5" thickBot="1" x14ac:dyDescent="0.25"/>
    <row r="23" spans="2:11" ht="15.75" x14ac:dyDescent="0.25">
      <c r="F23" s="370" t="s">
        <v>1114</v>
      </c>
      <c r="G23" s="371"/>
    </row>
    <row r="24" spans="2:11" ht="15.75" x14ac:dyDescent="0.25">
      <c r="F24" s="372">
        <f>J8+J29+J38+G41+C31+C16+G5+D46</f>
        <v>9802.3486024397662</v>
      </c>
      <c r="G24" s="373"/>
    </row>
    <row r="25" spans="2:11" ht="16.5" thickBot="1" x14ac:dyDescent="0.3">
      <c r="F25" s="374" t="s">
        <v>1115</v>
      </c>
      <c r="G25" s="375"/>
    </row>
    <row r="28" spans="2:11" ht="13.5" thickBot="1" x14ac:dyDescent="0.25"/>
    <row r="29" spans="2:11" ht="13.5" thickBot="1" x14ac:dyDescent="0.25">
      <c r="I29" s="277" t="s">
        <v>1108</v>
      </c>
      <c r="J29" s="286">
        <f>'11func_NO_ARRA_NO_SFSF'!J47</f>
        <v>672.39400324401038</v>
      </c>
      <c r="K29" s="291" t="s">
        <v>1107</v>
      </c>
    </row>
    <row r="30" spans="2:11" ht="13.5" thickBot="1" x14ac:dyDescent="0.25"/>
    <row r="31" spans="2:11" ht="13.5" thickBot="1" x14ac:dyDescent="0.25">
      <c r="B31" s="277" t="s">
        <v>93</v>
      </c>
      <c r="C31" s="286">
        <f>'11func_NO_ARRA_NO_SFSF'!I47</f>
        <v>623.99420518365821</v>
      </c>
      <c r="D31" s="291" t="s">
        <v>1107</v>
      </c>
    </row>
    <row r="37" spans="2:11" ht="13.5" thickBot="1" x14ac:dyDescent="0.25"/>
    <row r="38" spans="2:11" ht="13.5" thickBot="1" x14ac:dyDescent="0.25">
      <c r="I38" s="277" t="s">
        <v>1109</v>
      </c>
      <c r="J38" s="286">
        <f>'11func_NO_ARRA_NO_SFSF'!F47</f>
        <v>521.65639029500221</v>
      </c>
      <c r="K38" s="291" t="s">
        <v>1107</v>
      </c>
    </row>
    <row r="39" spans="2:11" ht="13.5" thickBot="1" x14ac:dyDescent="0.25"/>
    <row r="40" spans="2:11" ht="13.5" thickBot="1" x14ac:dyDescent="0.25">
      <c r="F40" s="282" t="s">
        <v>1111</v>
      </c>
      <c r="G40" s="280"/>
      <c r="H40" s="285"/>
    </row>
    <row r="41" spans="2:11" ht="13.5" thickBot="1" x14ac:dyDescent="0.25">
      <c r="G41" s="292">
        <f>'11func_NO_ARRA_NO_SFSF'!G47</f>
        <v>1049.3581837596728</v>
      </c>
      <c r="H41" s="279" t="s">
        <v>1107</v>
      </c>
    </row>
    <row r="45" spans="2:11" ht="13.5" thickBot="1" x14ac:dyDescent="0.25"/>
    <row r="46" spans="2:11" ht="13.5" thickBot="1" x14ac:dyDescent="0.25">
      <c r="B46" s="288"/>
      <c r="C46" s="277" t="s">
        <v>1112</v>
      </c>
      <c r="D46" s="286">
        <f>'11func_NO_ARRA_NO_SFSF'!H47</f>
        <v>557.80471827797112</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50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5057" r:id="rId4"/>
      </mc:Fallback>
    </mc:AlternateContent>
  </oleObject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8">
    <pageSetUpPr fitToPage="1"/>
  </sheetPr>
  <dimension ref="B2:K46"/>
  <sheetViews>
    <sheetView topLeftCell="A29"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f>'11func_NO_ARRA_With_SFSF'!C47</f>
        <v>5420.9853624843709</v>
      </c>
      <c r="H5" s="291" t="s">
        <v>1107</v>
      </c>
    </row>
    <row r="7" spans="3:11" ht="13.5" thickBot="1" x14ac:dyDescent="0.25"/>
    <row r="8" spans="3:11" ht="13.5" thickBot="1" x14ac:dyDescent="0.25">
      <c r="I8" s="277" t="s">
        <v>95</v>
      </c>
      <c r="J8" s="286">
        <f>'11func_NO_ARRA_With_SFSF'!D47</f>
        <v>887.90523008819662</v>
      </c>
      <c r="K8" s="291" t="s">
        <v>1107</v>
      </c>
    </row>
    <row r="14" spans="3:11" ht="13.5" thickBot="1" x14ac:dyDescent="0.25"/>
    <row r="15" spans="3:11" x14ac:dyDescent="0.2">
      <c r="C15" s="284" t="s">
        <v>1113</v>
      </c>
      <c r="D15" s="285"/>
    </row>
    <row r="16" spans="3:11" ht="13.5" thickBot="1" x14ac:dyDescent="0.25">
      <c r="C16" s="292">
        <f>'11func_NO_ARRA_With_SFSF'!E47</f>
        <v>532.34674578447607</v>
      </c>
      <c r="D16" s="279" t="s">
        <v>1107</v>
      </c>
    </row>
    <row r="22" spans="2:11" ht="13.5" thickBot="1" x14ac:dyDescent="0.25"/>
    <row r="23" spans="2:11" ht="15.75" x14ac:dyDescent="0.25">
      <c r="F23" s="370" t="s">
        <v>1114</v>
      </c>
      <c r="G23" s="371"/>
    </row>
    <row r="24" spans="2:11" ht="15.75" x14ac:dyDescent="0.25">
      <c r="F24" s="372">
        <f>J8+J29+J38+G41+C31+C16+G5+D46</f>
        <v>10275.205132497549</v>
      </c>
      <c r="G24" s="373"/>
    </row>
    <row r="25" spans="2:11" ht="16.5" thickBot="1" x14ac:dyDescent="0.3">
      <c r="F25" s="374" t="s">
        <v>1115</v>
      </c>
      <c r="G25" s="375"/>
    </row>
    <row r="28" spans="2:11" ht="13.5" thickBot="1" x14ac:dyDescent="0.25"/>
    <row r="29" spans="2:11" ht="13.5" thickBot="1" x14ac:dyDescent="0.25">
      <c r="I29" s="277" t="s">
        <v>1108</v>
      </c>
      <c r="J29" s="286">
        <f>'11func_NO_ARRA_With_SFSF'!J47</f>
        <v>672.95303815091404</v>
      </c>
      <c r="K29" s="291" t="s">
        <v>1107</v>
      </c>
    </row>
    <row r="30" spans="2:11" ht="13.5" thickBot="1" x14ac:dyDescent="0.25"/>
    <row r="31" spans="2:11" ht="13.5" thickBot="1" x14ac:dyDescent="0.25">
      <c r="B31" s="277" t="s">
        <v>93</v>
      </c>
      <c r="C31" s="286">
        <f>'11func_NO_ARRA_With_SFSF'!I47</f>
        <v>624.98181265839889</v>
      </c>
      <c r="D31" s="291" t="s">
        <v>1107</v>
      </c>
    </row>
    <row r="37" spans="2:11" ht="13.5" thickBot="1" x14ac:dyDescent="0.25"/>
    <row r="38" spans="2:11" ht="13.5" thickBot="1" x14ac:dyDescent="0.25">
      <c r="I38" s="277" t="s">
        <v>1109</v>
      </c>
      <c r="J38" s="286">
        <f>'11func_NO_ARRA_With_SFSF'!F47</f>
        <v>527.68878599668847</v>
      </c>
      <c r="K38" s="291" t="s">
        <v>1107</v>
      </c>
    </row>
    <row r="39" spans="2:11" ht="13.5" thickBot="1" x14ac:dyDescent="0.25"/>
    <row r="40" spans="2:11" ht="13.5" thickBot="1" x14ac:dyDescent="0.25">
      <c r="F40" s="282" t="s">
        <v>1111</v>
      </c>
      <c r="G40" s="280"/>
      <c r="H40" s="285"/>
    </row>
    <row r="41" spans="2:11" ht="13.5" thickBot="1" x14ac:dyDescent="0.25">
      <c r="G41" s="292">
        <f>'11func_NO_ARRA_With_SFSF'!G47</f>
        <v>1050.488800797486</v>
      </c>
      <c r="H41" s="279" t="s">
        <v>1107</v>
      </c>
    </row>
    <row r="45" spans="2:11" ht="13.5" thickBot="1" x14ac:dyDescent="0.25"/>
    <row r="46" spans="2:11" ht="13.5" thickBot="1" x14ac:dyDescent="0.25">
      <c r="B46" s="288"/>
      <c r="C46" s="277" t="s">
        <v>1112</v>
      </c>
      <c r="D46" s="286">
        <f>'11func_NO_ARRA_With_SFSF'!H47</f>
        <v>557.85535653701902</v>
      </c>
      <c r="E46" s="291" t="s">
        <v>1107</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403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4033" r:id="rId4"/>
      </mc:Fallback>
    </mc:AlternateContent>
  </oleObject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87">
    <pageSetUpPr fitToPage="1"/>
  </sheetPr>
  <dimension ref="B2:K46"/>
  <sheetViews>
    <sheetView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368" t="s">
        <v>1110</v>
      </c>
      <c r="E2" s="369"/>
      <c r="F2" s="369"/>
      <c r="G2" s="369"/>
      <c r="H2" s="369"/>
      <c r="I2" s="369"/>
    </row>
    <row r="4" spans="3:11" ht="13.5" thickBot="1" x14ac:dyDescent="0.25"/>
    <row r="5" spans="3:11" ht="13.5" thickBot="1" x14ac:dyDescent="0.25">
      <c r="F5" s="277" t="s">
        <v>1106</v>
      </c>
      <c r="G5" s="286">
        <v>5575</v>
      </c>
      <c r="H5" s="291" t="s">
        <v>1107</v>
      </c>
    </row>
    <row r="7" spans="3:11" ht="13.5" thickBot="1" x14ac:dyDescent="0.25"/>
    <row r="8" spans="3:11" ht="13.5" thickBot="1" x14ac:dyDescent="0.25">
      <c r="I8" s="277" t="s">
        <v>95</v>
      </c>
      <c r="J8" s="286">
        <v>924</v>
      </c>
      <c r="K8" s="291" t="s">
        <v>1107</v>
      </c>
    </row>
    <row r="14" spans="3:11" ht="13.5" thickBot="1" x14ac:dyDescent="0.25"/>
    <row r="15" spans="3:11" x14ac:dyDescent="0.2">
      <c r="C15" s="284" t="s">
        <v>1113</v>
      </c>
      <c r="D15" s="285"/>
    </row>
    <row r="16" spans="3:11" ht="13.5" thickBot="1" x14ac:dyDescent="0.25">
      <c r="C16" s="292">
        <v>535</v>
      </c>
      <c r="D16" s="279" t="s">
        <v>1107</v>
      </c>
    </row>
    <row r="22" spans="2:11" ht="13.5" thickBot="1" x14ac:dyDescent="0.25"/>
    <row r="23" spans="2:11" ht="15.75" x14ac:dyDescent="0.25">
      <c r="F23" s="370" t="s">
        <v>1114</v>
      </c>
      <c r="G23" s="371"/>
    </row>
    <row r="24" spans="2:11" ht="15.75" x14ac:dyDescent="0.25">
      <c r="F24" s="372">
        <f>J8+J29+J38+G41+C31+C16+G5+D46</f>
        <v>10488</v>
      </c>
      <c r="G24" s="373"/>
    </row>
    <row r="25" spans="2:11" ht="16.5" thickBot="1" x14ac:dyDescent="0.3">
      <c r="F25" s="374" t="s">
        <v>1115</v>
      </c>
      <c r="G25" s="375"/>
    </row>
    <row r="28" spans="2:11" ht="13.5" thickBot="1" x14ac:dyDescent="0.25"/>
    <row r="29" spans="2:11" ht="13.5" thickBot="1" x14ac:dyDescent="0.25">
      <c r="I29" s="277" t="s">
        <v>1108</v>
      </c>
      <c r="J29" s="286">
        <v>635</v>
      </c>
      <c r="K29" s="291" t="s">
        <v>1107</v>
      </c>
    </row>
    <row r="30" spans="2:11" ht="13.5" thickBot="1" x14ac:dyDescent="0.25"/>
    <row r="31" spans="2:11" ht="13.5" thickBot="1" x14ac:dyDescent="0.25">
      <c r="B31" s="277" t="s">
        <v>93</v>
      </c>
      <c r="C31" s="286">
        <v>673</v>
      </c>
      <c r="D31" s="291" t="s">
        <v>1107</v>
      </c>
    </row>
    <row r="37" spans="2:11" ht="13.5" thickBot="1" x14ac:dyDescent="0.25"/>
    <row r="38" spans="2:11" ht="13.5" thickBot="1" x14ac:dyDescent="0.25">
      <c r="I38" s="277" t="s">
        <v>1109</v>
      </c>
      <c r="J38" s="286">
        <v>530</v>
      </c>
      <c r="K38" s="291" t="s">
        <v>1107</v>
      </c>
    </row>
    <row r="39" spans="2:11" ht="13.5" thickBot="1" x14ac:dyDescent="0.25"/>
    <row r="40" spans="2:11" ht="13.5" thickBot="1" x14ac:dyDescent="0.25">
      <c r="F40" s="282" t="s">
        <v>1111</v>
      </c>
      <c r="G40" s="280"/>
      <c r="H40" s="285"/>
    </row>
    <row r="41" spans="2:11" ht="13.5" thickBot="1" x14ac:dyDescent="0.25">
      <c r="G41" s="292">
        <v>1054</v>
      </c>
      <c r="H41" s="279" t="s">
        <v>1107</v>
      </c>
    </row>
    <row r="45" spans="2:11" ht="13.5" thickBot="1" x14ac:dyDescent="0.25"/>
    <row r="46" spans="2:11" ht="13.5" thickBot="1" x14ac:dyDescent="0.25">
      <c r="B46" s="288"/>
      <c r="C46" s="277" t="s">
        <v>1112</v>
      </c>
      <c r="D46" s="286">
        <v>562</v>
      </c>
      <c r="E46" s="291" t="s">
        <v>1107</v>
      </c>
    </row>
  </sheetData>
  <mergeCells count="4">
    <mergeCell ref="D2:I2"/>
    <mergeCell ref="F24:G24"/>
    <mergeCell ref="F23:G23"/>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300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3009" r:id="rId4"/>
      </mc:Fallback>
    </mc:AlternateContent>
  </oleObject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0">
    <pageSetUpPr fitToPage="1"/>
  </sheetPr>
  <dimension ref="A1"/>
  <sheetViews>
    <sheetView topLeftCell="A5" zoomScale="90" zoomScaleNormal="90" workbookViewId="0">
      <selection activeCell="B29" sqref="B29"/>
    </sheetView>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5601"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5601" r:id="rId4"/>
      </mc:Fallback>
    </mc:AlternateContent>
  </oleObject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1">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457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4577" r:id="rId4"/>
      </mc:Fallback>
    </mc:AlternateContent>
  </oleObject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2">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35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3553" r:id="rId4"/>
      </mc:Fallback>
    </mc:AlternateContent>
  </oleObjec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E8628-4F1D-433E-8214-4FCCBD384EC0}">
  <sheetPr>
    <tabColor rgb="FFFFFF00"/>
  </sheetPr>
  <dimension ref="A1:X75"/>
  <sheetViews>
    <sheetView zoomScaleNormal="100" workbookViewId="0"/>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1416</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ANB23</v>
      </c>
      <c r="C3" s="12" t="str">
        <f>RIGHT(D1,2)&amp;"/Pupil Instruction"</f>
        <v>23/Pupil Instruction</v>
      </c>
      <c r="D3" s="12" t="str">
        <f>RIGHT(D1,2)&amp;"/Pupil Student Services"</f>
        <v>23/Pupil Student Services</v>
      </c>
      <c r="E3" s="12" t="str">
        <f>RIGHT(D1,2)&amp;"/Pupil General Admin"</f>
        <v>23/Pupil General Admin</v>
      </c>
      <c r="F3" s="12" t="str">
        <f>RIGHT(D1,2)&amp;"/Pupil Bldg Admin"</f>
        <v>23/Pupil Bldg Admin</v>
      </c>
      <c r="G3" s="12" t="str">
        <f>RIGHT(D1,2)&amp;"/Pupil Bldg OM"</f>
        <v>23/Pupil Bldg OM</v>
      </c>
      <c r="H3" s="12" t="str">
        <f>RIGHT(D1,2)&amp;"/Pupil Transport"</f>
        <v>23/Pupil Transport</v>
      </c>
      <c r="I3" s="12" t="str">
        <f>RIGHT(D1,2)&amp;"/Pupil Other"</f>
        <v>23/Pupil Other</v>
      </c>
      <c r="J3" s="12" t="str">
        <f>RIGHT(D1,2)&amp;"/Pupil Bonds/ Facilities"</f>
        <v>23/Pupil Bonds/ Facilities</v>
      </c>
      <c r="K3" s="12" t="str">
        <f>RIGHT(D1,2)&amp;"/Pupil Total"</f>
        <v>23/Pupil Total</v>
      </c>
    </row>
    <row r="4" spans="1:24" ht="15" x14ac:dyDescent="0.25">
      <c r="A4" s="33" t="s">
        <v>102</v>
      </c>
      <c r="B4" s="214">
        <v>41244</v>
      </c>
      <c r="C4" s="214">
        <v>282146102.87</v>
      </c>
      <c r="D4" s="214">
        <v>65294833.700000003</v>
      </c>
      <c r="E4" s="214">
        <v>20560739.93</v>
      </c>
      <c r="F4" s="214">
        <v>28540830.760000002</v>
      </c>
      <c r="G4" s="214">
        <v>45565424.099999994</v>
      </c>
      <c r="H4" s="214">
        <v>23494137.93</v>
      </c>
      <c r="I4" s="214">
        <v>17451496.25</v>
      </c>
      <c r="J4" s="214">
        <v>41548401.129999995</v>
      </c>
      <c r="K4" s="214">
        <f t="shared" ref="K4:K9" si="0">SUM(C4:J4)</f>
        <v>524601966.67000002</v>
      </c>
      <c r="N4" s="214"/>
      <c r="O4" s="294"/>
      <c r="P4" s="293"/>
      <c r="Q4" s="293"/>
      <c r="R4" s="293"/>
      <c r="S4" s="293"/>
      <c r="T4" s="293"/>
      <c r="U4" s="293"/>
      <c r="V4" s="293"/>
      <c r="W4" s="293"/>
      <c r="X4" s="293"/>
    </row>
    <row r="5" spans="1:24" ht="15" x14ac:dyDescent="0.25">
      <c r="A5" s="33" t="s">
        <v>76</v>
      </c>
      <c r="B5" s="214">
        <v>16500</v>
      </c>
      <c r="C5" s="214">
        <v>116023993.52000001</v>
      </c>
      <c r="D5" s="214">
        <v>27098244.009999998</v>
      </c>
      <c r="E5" s="214">
        <v>12966496.549999999</v>
      </c>
      <c r="F5" s="214">
        <v>12637743.07</v>
      </c>
      <c r="G5" s="214">
        <v>20992554.759999998</v>
      </c>
      <c r="H5" s="214">
        <v>11760030.770000001</v>
      </c>
      <c r="I5" s="214">
        <v>12151700.289999999</v>
      </c>
      <c r="J5" s="214">
        <v>28898636.840000004</v>
      </c>
      <c r="K5" s="214">
        <f t="shared" si="0"/>
        <v>242529399.81</v>
      </c>
      <c r="N5" s="214"/>
      <c r="O5" s="352"/>
      <c r="P5" s="293"/>
      <c r="Q5" s="293"/>
      <c r="R5" s="293"/>
      <c r="S5" s="293"/>
      <c r="T5" s="293"/>
      <c r="U5" s="293"/>
      <c r="V5" s="293"/>
      <c r="W5" s="293"/>
      <c r="X5" s="293"/>
    </row>
    <row r="6" spans="1:24" ht="15" x14ac:dyDescent="0.25">
      <c r="A6" s="33" t="s">
        <v>77</v>
      </c>
      <c r="B6" s="214">
        <v>17268</v>
      </c>
      <c r="C6" s="214">
        <v>124907080.02</v>
      </c>
      <c r="D6" s="214">
        <v>18328422.400000002</v>
      </c>
      <c r="E6" s="214">
        <v>13637415.819999997</v>
      </c>
      <c r="F6" s="214">
        <v>12084773.529999997</v>
      </c>
      <c r="G6" s="214">
        <v>21508255.649999999</v>
      </c>
      <c r="H6" s="214">
        <v>9774103.5299999993</v>
      </c>
      <c r="I6" s="214">
        <v>13115638.979999999</v>
      </c>
      <c r="J6" s="214">
        <v>25127228.470000003</v>
      </c>
      <c r="K6" s="214">
        <f t="shared" si="0"/>
        <v>238482918.39999998</v>
      </c>
      <c r="N6" s="214"/>
      <c r="O6" s="352"/>
      <c r="P6" s="293"/>
      <c r="Q6" s="293"/>
      <c r="R6" s="293"/>
      <c r="S6" s="293"/>
      <c r="T6" s="293"/>
      <c r="U6" s="293"/>
      <c r="V6" s="293"/>
      <c r="W6" s="293"/>
      <c r="X6" s="293"/>
    </row>
    <row r="7" spans="1:24" ht="15" x14ac:dyDescent="0.25">
      <c r="A7" s="33" t="s">
        <v>78</v>
      </c>
      <c r="B7" s="214">
        <v>12117</v>
      </c>
      <c r="C7" s="214">
        <v>89190068.540000021</v>
      </c>
      <c r="D7" s="214">
        <v>9235390.6500000004</v>
      </c>
      <c r="E7" s="214">
        <v>13148813.690000001</v>
      </c>
      <c r="F7" s="214">
        <v>7235484.1099999994</v>
      </c>
      <c r="G7" s="214">
        <v>23710759.41</v>
      </c>
      <c r="H7" s="214">
        <v>10025209.51</v>
      </c>
      <c r="I7" s="214">
        <v>13720028.610000001</v>
      </c>
      <c r="J7" s="214">
        <v>7308504.379999999</v>
      </c>
      <c r="K7" s="214">
        <f t="shared" si="0"/>
        <v>173574258.90000004</v>
      </c>
      <c r="N7" s="214"/>
      <c r="O7" s="294"/>
      <c r="P7" s="293"/>
      <c r="Q7" s="293"/>
      <c r="R7" s="293"/>
      <c r="S7" s="293"/>
      <c r="T7" s="293"/>
      <c r="U7" s="293"/>
      <c r="V7" s="293"/>
      <c r="W7" s="293"/>
      <c r="X7" s="293"/>
    </row>
    <row r="8" spans="1:24" ht="15" x14ac:dyDescent="0.25">
      <c r="A8" s="33" t="s">
        <v>79</v>
      </c>
      <c r="B8" s="214">
        <v>4860</v>
      </c>
      <c r="C8" s="214">
        <v>44902811.320000008</v>
      </c>
      <c r="D8" s="214">
        <v>4737055.32</v>
      </c>
      <c r="E8" s="214">
        <v>9228689.3500000015</v>
      </c>
      <c r="F8" s="214">
        <v>2860125.8299999996</v>
      </c>
      <c r="G8" s="214">
        <v>10833391.770000001</v>
      </c>
      <c r="H8" s="214">
        <v>5358157.6500000004</v>
      </c>
      <c r="I8" s="214">
        <v>6104253.1300000018</v>
      </c>
      <c r="J8" s="214">
        <v>7447681.6199999982</v>
      </c>
      <c r="K8" s="214">
        <f t="shared" si="0"/>
        <v>91472165.99000001</v>
      </c>
      <c r="N8" s="214"/>
      <c r="O8" s="294"/>
      <c r="P8" s="293"/>
      <c r="Q8" s="293"/>
      <c r="R8" s="293"/>
      <c r="S8" s="293"/>
      <c r="T8" s="293"/>
      <c r="U8" s="293"/>
      <c r="V8" s="293"/>
      <c r="W8" s="293"/>
      <c r="X8" s="293"/>
    </row>
    <row r="9" spans="1:24" ht="15" x14ac:dyDescent="0.25">
      <c r="A9" s="33" t="s">
        <v>80</v>
      </c>
      <c r="B9" s="220">
        <v>1438</v>
      </c>
      <c r="C9" s="220">
        <v>14960364.650000004</v>
      </c>
      <c r="D9" s="220">
        <v>493568.81</v>
      </c>
      <c r="E9" s="220">
        <v>3386540.9000000008</v>
      </c>
      <c r="F9" s="220">
        <v>170857.01</v>
      </c>
      <c r="G9" s="220">
        <v>3712103.4699999988</v>
      </c>
      <c r="H9" s="220">
        <v>1750449.8299999994</v>
      </c>
      <c r="I9" s="220">
        <v>1136030.6099999999</v>
      </c>
      <c r="J9" s="220">
        <v>1731549.59</v>
      </c>
      <c r="K9" s="220">
        <f t="shared" si="0"/>
        <v>27341464.870000005</v>
      </c>
      <c r="N9" s="214"/>
      <c r="O9" s="294"/>
      <c r="P9" s="293"/>
      <c r="Q9" s="293"/>
      <c r="R9" s="293"/>
      <c r="S9" s="293"/>
      <c r="T9" s="293"/>
      <c r="U9" s="293"/>
      <c r="V9" s="293"/>
      <c r="W9" s="293"/>
      <c r="X9" s="293"/>
    </row>
    <row r="10" spans="1:24" x14ac:dyDescent="0.2">
      <c r="A10" s="182" t="s">
        <v>103</v>
      </c>
      <c r="B10" s="214">
        <f t="shared" ref="B10:K10" si="1">SUM(B4:B9)</f>
        <v>93427</v>
      </c>
      <c r="C10" s="214">
        <f t="shared" si="1"/>
        <v>672130420.92000008</v>
      </c>
      <c r="D10" s="214">
        <f t="shared" si="1"/>
        <v>125187514.89000002</v>
      </c>
      <c r="E10" s="214">
        <f t="shared" si="1"/>
        <v>72928696.24000001</v>
      </c>
      <c r="F10" s="214">
        <f t="shared" si="1"/>
        <v>63529814.309999995</v>
      </c>
      <c r="G10" s="214">
        <f t="shared" si="1"/>
        <v>126322489.15999998</v>
      </c>
      <c r="H10" s="214">
        <f t="shared" si="1"/>
        <v>62162089.219999999</v>
      </c>
      <c r="I10" s="214">
        <f t="shared" si="1"/>
        <v>63679147.869999997</v>
      </c>
      <c r="J10" s="214">
        <f t="shared" si="1"/>
        <v>112062002.03</v>
      </c>
      <c r="K10" s="214">
        <f t="shared" si="1"/>
        <v>1298002174.6399999</v>
      </c>
      <c r="N10" s="214"/>
    </row>
    <row r="11" spans="1:24" x14ac:dyDescent="0.2">
      <c r="A11" s="33"/>
      <c r="B11" s="214"/>
      <c r="C11" s="214"/>
      <c r="D11" s="214"/>
      <c r="E11" s="214"/>
      <c r="F11" s="214"/>
      <c r="G11" s="214"/>
      <c r="H11" s="214"/>
      <c r="I11" s="214"/>
      <c r="J11" s="214"/>
      <c r="K11" s="182"/>
      <c r="N11" s="214"/>
    </row>
    <row r="12" spans="1:24" ht="15" x14ac:dyDescent="0.25">
      <c r="A12" s="33" t="s">
        <v>81</v>
      </c>
      <c r="B12" s="214">
        <v>22534</v>
      </c>
      <c r="C12" s="214">
        <v>147685467.25999999</v>
      </c>
      <c r="D12" s="214">
        <v>25109878.579999998</v>
      </c>
      <c r="E12" s="214">
        <v>11789183.26</v>
      </c>
      <c r="F12" s="214">
        <v>16850366.48</v>
      </c>
      <c r="G12" s="214">
        <v>28079588.840000004</v>
      </c>
      <c r="H12" s="214">
        <v>12809037.550000001</v>
      </c>
      <c r="I12" s="214">
        <v>25154882.590000004</v>
      </c>
      <c r="J12" s="214">
        <v>37283945.320000008</v>
      </c>
      <c r="K12" s="214">
        <f>SUM(C12:J12)</f>
        <v>304762349.88</v>
      </c>
      <c r="N12" s="214"/>
      <c r="O12" s="294"/>
      <c r="P12" s="293"/>
      <c r="Q12" s="293"/>
      <c r="R12" s="293"/>
      <c r="S12" s="293"/>
      <c r="T12" s="293"/>
      <c r="U12" s="293"/>
      <c r="V12" s="293"/>
      <c r="W12" s="293"/>
      <c r="X12" s="293"/>
    </row>
    <row r="13" spans="1:24" ht="15" x14ac:dyDescent="0.25">
      <c r="A13" s="33" t="s">
        <v>82</v>
      </c>
      <c r="B13" s="214">
        <v>6468</v>
      </c>
      <c r="C13" s="214">
        <v>36715288.410000004</v>
      </c>
      <c r="D13" s="214">
        <v>7057063.8600000013</v>
      </c>
      <c r="E13" s="214">
        <v>5746667.9399999995</v>
      </c>
      <c r="F13" s="214">
        <v>5523909.1600000001</v>
      </c>
      <c r="G13" s="214">
        <v>10200945.889999999</v>
      </c>
      <c r="H13" s="214">
        <v>5993030.4100000001</v>
      </c>
      <c r="I13" s="214">
        <v>12855316.599999998</v>
      </c>
      <c r="J13" s="214">
        <v>8683619.2000000011</v>
      </c>
      <c r="K13" s="214">
        <f>SUM(C13:J13)</f>
        <v>92775841.469999999</v>
      </c>
      <c r="N13" s="214"/>
      <c r="O13" s="294"/>
      <c r="P13" s="293"/>
      <c r="Q13" s="293"/>
      <c r="R13" s="293"/>
      <c r="S13" s="293"/>
      <c r="T13" s="293"/>
      <c r="U13" s="293"/>
      <c r="V13" s="293"/>
      <c r="W13" s="293"/>
      <c r="X13" s="293"/>
    </row>
    <row r="14" spans="1:24" ht="15" x14ac:dyDescent="0.25">
      <c r="A14" s="33" t="s">
        <v>83</v>
      </c>
      <c r="B14" s="214">
        <v>5072</v>
      </c>
      <c r="C14" s="214">
        <v>32732770.899999999</v>
      </c>
      <c r="D14" s="214">
        <v>4756938.07</v>
      </c>
      <c r="E14" s="214">
        <v>5220863.9899999984</v>
      </c>
      <c r="F14" s="214">
        <v>4419221.4800000004</v>
      </c>
      <c r="G14" s="214">
        <v>8286660.6100000003</v>
      </c>
      <c r="H14" s="214">
        <v>5976570.459999999</v>
      </c>
      <c r="I14" s="214">
        <v>8576959.5199999996</v>
      </c>
      <c r="J14" s="214">
        <v>7245207.5499999998</v>
      </c>
      <c r="K14" s="214">
        <f>SUM(C14:J14)</f>
        <v>77215192.579999998</v>
      </c>
      <c r="N14" s="214"/>
      <c r="O14" s="294"/>
      <c r="P14" s="293"/>
      <c r="Q14" s="293"/>
      <c r="R14" s="293"/>
      <c r="S14" s="293"/>
      <c r="T14" s="293"/>
      <c r="U14" s="293"/>
      <c r="V14" s="293"/>
      <c r="W14" s="293"/>
      <c r="X14" s="293"/>
    </row>
    <row r="15" spans="1:24" ht="15" x14ac:dyDescent="0.25">
      <c r="A15" s="33" t="s">
        <v>84</v>
      </c>
      <c r="B15" s="214">
        <v>3747</v>
      </c>
      <c r="C15" s="214">
        <v>30013531.989999998</v>
      </c>
      <c r="D15" s="214">
        <v>3845162.3899999997</v>
      </c>
      <c r="E15" s="214">
        <v>7371685.4499999993</v>
      </c>
      <c r="F15" s="214">
        <v>3842868.9899999998</v>
      </c>
      <c r="G15" s="214">
        <v>11118335.949999999</v>
      </c>
      <c r="H15" s="214">
        <v>6246795.5000000009</v>
      </c>
      <c r="I15" s="214">
        <v>8716262.4700000007</v>
      </c>
      <c r="J15" s="214">
        <v>2933493.7600000002</v>
      </c>
      <c r="K15" s="214">
        <f>SUM(C15:J15)</f>
        <v>74088136.5</v>
      </c>
      <c r="N15" s="214"/>
      <c r="O15" s="294"/>
      <c r="P15" s="293"/>
      <c r="Q15" s="293"/>
      <c r="R15" s="293"/>
      <c r="S15" s="293"/>
      <c r="T15" s="293"/>
      <c r="U15" s="293"/>
      <c r="V15" s="293"/>
      <c r="W15" s="293"/>
      <c r="X15" s="293"/>
    </row>
    <row r="16" spans="1:24" ht="15" x14ac:dyDescent="0.25">
      <c r="A16" s="33" t="s">
        <v>85</v>
      </c>
      <c r="B16" s="220">
        <v>1464</v>
      </c>
      <c r="C16" s="220">
        <v>16047073.02</v>
      </c>
      <c r="D16" s="220">
        <v>1349929.31</v>
      </c>
      <c r="E16" s="220">
        <v>5712291.5399999991</v>
      </c>
      <c r="F16" s="220">
        <v>1180991.69</v>
      </c>
      <c r="G16" s="220">
        <v>6973317.3199999994</v>
      </c>
      <c r="H16" s="220">
        <v>4078209.9900000012</v>
      </c>
      <c r="I16" s="220">
        <v>4440982.17</v>
      </c>
      <c r="J16" s="220">
        <v>1187354.1600000001</v>
      </c>
      <c r="K16" s="220">
        <f>SUM(C16:J16)</f>
        <v>40970149.200000003</v>
      </c>
      <c r="N16" s="214"/>
      <c r="O16" s="294"/>
      <c r="P16" s="293"/>
      <c r="Q16" s="293"/>
      <c r="R16" s="293"/>
      <c r="S16" s="293"/>
      <c r="T16" s="293"/>
      <c r="U16" s="293"/>
      <c r="V16" s="293"/>
      <c r="W16" s="293"/>
      <c r="X16" s="293"/>
    </row>
    <row r="17" spans="1:24" x14ac:dyDescent="0.2">
      <c r="A17" s="182" t="s">
        <v>104</v>
      </c>
      <c r="B17" s="214">
        <f t="shared" ref="B17:K17" si="2">SUM(B12:B16)</f>
        <v>39285</v>
      </c>
      <c r="C17" s="214">
        <f t="shared" si="2"/>
        <v>263194131.58000001</v>
      </c>
      <c r="D17" s="214">
        <f t="shared" si="2"/>
        <v>42118972.210000001</v>
      </c>
      <c r="E17" s="214">
        <f t="shared" si="2"/>
        <v>35840692.179999992</v>
      </c>
      <c r="F17" s="214">
        <f t="shared" si="2"/>
        <v>31817357.800000001</v>
      </c>
      <c r="G17" s="214">
        <f t="shared" si="2"/>
        <v>64658848.610000007</v>
      </c>
      <c r="H17" s="214">
        <f t="shared" si="2"/>
        <v>35103643.910000004</v>
      </c>
      <c r="I17" s="214">
        <f t="shared" si="2"/>
        <v>59744403.349999994</v>
      </c>
      <c r="J17" s="214">
        <f t="shared" si="2"/>
        <v>57333619.99000001</v>
      </c>
      <c r="K17" s="214">
        <f t="shared" si="2"/>
        <v>589811669.63000011</v>
      </c>
    </row>
    <row r="18" spans="1:24" x14ac:dyDescent="0.2">
      <c r="A18" s="33"/>
      <c r="B18" s="214"/>
      <c r="C18" s="214"/>
      <c r="D18" s="214"/>
      <c r="E18" s="214"/>
      <c r="F18" s="214"/>
      <c r="G18" s="214"/>
      <c r="H18" s="214"/>
      <c r="I18" s="214"/>
      <c r="J18" s="214"/>
      <c r="K18" s="182"/>
    </row>
    <row r="19" spans="1:24" ht="15" x14ac:dyDescent="0.25">
      <c r="A19" s="33" t="s">
        <v>86</v>
      </c>
      <c r="B19" s="214">
        <v>15444</v>
      </c>
      <c r="C19" s="214">
        <v>98952968.090000004</v>
      </c>
      <c r="D19" s="214">
        <v>13627557.939999998</v>
      </c>
      <c r="E19" s="214">
        <v>12079176.249999998</v>
      </c>
      <c r="F19" s="214">
        <v>10517449.979999999</v>
      </c>
      <c r="G19" s="214">
        <v>21364492.050000001</v>
      </c>
      <c r="H19" s="214">
        <v>11731316.280000001</v>
      </c>
      <c r="I19" s="214">
        <v>15373336.670000002</v>
      </c>
      <c r="J19" s="214">
        <v>23492669.549999997</v>
      </c>
      <c r="K19" s="214">
        <f>SUM(C19:J19)</f>
        <v>207138966.81</v>
      </c>
      <c r="O19" s="294"/>
      <c r="P19" s="293"/>
      <c r="Q19" s="293"/>
      <c r="R19" s="293"/>
      <c r="S19" s="293"/>
      <c r="T19" s="293"/>
      <c r="U19" s="293"/>
      <c r="V19" s="293"/>
      <c r="W19" s="293"/>
      <c r="X19" s="293"/>
    </row>
    <row r="20" spans="1:24" ht="15" x14ac:dyDescent="0.25">
      <c r="A20" s="33" t="s">
        <v>87</v>
      </c>
      <c r="B20" s="233">
        <v>7387</v>
      </c>
      <c r="C20" s="234">
        <v>69992135.830000013</v>
      </c>
      <c r="D20" s="234">
        <v>5418994.1700000018</v>
      </c>
      <c r="E20" s="234">
        <v>15804889.570000002</v>
      </c>
      <c r="F20" s="234">
        <v>5241526.0399999991</v>
      </c>
      <c r="G20" s="234">
        <v>23717379.370000001</v>
      </c>
      <c r="H20" s="234">
        <v>11615368.069999998</v>
      </c>
      <c r="I20" s="234">
        <v>14357539.670000007</v>
      </c>
      <c r="J20" s="220">
        <v>6698113.0399999982</v>
      </c>
      <c r="K20" s="220">
        <f>SUM(C20:J20)</f>
        <v>152845945.76000002</v>
      </c>
      <c r="O20" s="294"/>
      <c r="P20" s="293"/>
      <c r="Q20" s="293"/>
      <c r="R20" s="293"/>
      <c r="S20" s="293"/>
      <c r="T20" s="293"/>
      <c r="U20" s="293"/>
      <c r="V20" s="293"/>
      <c r="W20" s="293"/>
      <c r="X20" s="293"/>
    </row>
    <row r="21" spans="1:24" x14ac:dyDescent="0.2">
      <c r="A21" s="182" t="s">
        <v>105</v>
      </c>
      <c r="B21" s="214">
        <f t="shared" ref="B21:K21" si="3">SUM(B19:B20)</f>
        <v>22831</v>
      </c>
      <c r="C21" s="214">
        <f t="shared" si="3"/>
        <v>168945103.92000002</v>
      </c>
      <c r="D21" s="214">
        <f t="shared" si="3"/>
        <v>19046552.109999999</v>
      </c>
      <c r="E21" s="214">
        <f t="shared" si="3"/>
        <v>27884065.82</v>
      </c>
      <c r="F21" s="214">
        <f t="shared" si="3"/>
        <v>15758976.019999998</v>
      </c>
      <c r="G21" s="214">
        <f t="shared" si="3"/>
        <v>45081871.420000002</v>
      </c>
      <c r="H21" s="214">
        <f t="shared" si="3"/>
        <v>23346684.350000001</v>
      </c>
      <c r="I21" s="214">
        <f t="shared" si="3"/>
        <v>29730876.340000011</v>
      </c>
      <c r="J21" s="214">
        <f t="shared" si="3"/>
        <v>30190782.589999996</v>
      </c>
      <c r="K21" s="214">
        <f t="shared" si="3"/>
        <v>359984912.57000005</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155543</v>
      </c>
      <c r="C23" s="222">
        <f t="shared" si="4"/>
        <v>1104269656.4200001</v>
      </c>
      <c r="D23" s="222">
        <f t="shared" si="4"/>
        <v>186353039.21000001</v>
      </c>
      <c r="E23" s="222">
        <f t="shared" si="4"/>
        <v>136653454.24000001</v>
      </c>
      <c r="F23" s="222">
        <f t="shared" si="4"/>
        <v>111106148.13</v>
      </c>
      <c r="G23" s="222">
        <f t="shared" si="4"/>
        <v>236063209.19</v>
      </c>
      <c r="H23" s="222">
        <f t="shared" si="4"/>
        <v>120612417.48</v>
      </c>
      <c r="I23" s="222">
        <f t="shared" si="4"/>
        <v>153154427.56</v>
      </c>
      <c r="J23" s="222">
        <f t="shared" si="4"/>
        <v>199586404.61000001</v>
      </c>
      <c r="K23" s="222">
        <f t="shared" si="4"/>
        <v>2247798756.8400002</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FY2023</v>
      </c>
      <c r="C26" s="22"/>
      <c r="D26" s="22"/>
      <c r="E26" s="22"/>
      <c r="F26" s="22"/>
      <c r="G26" s="22"/>
      <c r="H26" s="22"/>
      <c r="I26" s="22"/>
      <c r="J26" s="22"/>
      <c r="K26" s="22"/>
    </row>
    <row r="27" spans="1:24" ht="39" customHeight="1" x14ac:dyDescent="0.2">
      <c r="A27" s="21" t="s">
        <v>245</v>
      </c>
      <c r="B27" s="21" t="str">
        <f>B3</f>
        <v>ANB23</v>
      </c>
      <c r="C27" s="21" t="str">
        <f t="shared" ref="C27:K27" si="5">C3</f>
        <v>23/Pupil Instruction</v>
      </c>
      <c r="D27" s="21" t="str">
        <f t="shared" si="5"/>
        <v>23/Pupil Student Services</v>
      </c>
      <c r="E27" s="21" t="str">
        <f t="shared" si="5"/>
        <v>23/Pupil General Admin</v>
      </c>
      <c r="F27" s="21" t="str">
        <f t="shared" si="5"/>
        <v>23/Pupil Bldg Admin</v>
      </c>
      <c r="G27" s="21" t="str">
        <f t="shared" si="5"/>
        <v>23/Pupil Bldg OM</v>
      </c>
      <c r="H27" s="21" t="str">
        <f t="shared" si="5"/>
        <v>23/Pupil Transport</v>
      </c>
      <c r="I27" s="21" t="str">
        <f t="shared" si="5"/>
        <v>23/Pupil Other</v>
      </c>
      <c r="J27" s="21" t="str">
        <f t="shared" si="5"/>
        <v>23/Pupil Bonds/ Facilities</v>
      </c>
      <c r="K27" s="21" t="str">
        <f t="shared" si="5"/>
        <v>23/Pupil Total</v>
      </c>
    </row>
    <row r="28" spans="1:24" x14ac:dyDescent="0.2">
      <c r="A28" s="182" t="s">
        <v>102</v>
      </c>
      <c r="B28" s="214">
        <f t="shared" ref="B28:B33" si="6">B4</f>
        <v>41244</v>
      </c>
      <c r="C28" s="182">
        <f t="shared" ref="C28:K34" si="7">C4/$B28</f>
        <v>6840.900564203278</v>
      </c>
      <c r="D28" s="182">
        <f t="shared" si="7"/>
        <v>1583.1353336242848</v>
      </c>
      <c r="E28" s="182">
        <f t="shared" si="7"/>
        <v>498.51469134904471</v>
      </c>
      <c r="F28" s="182">
        <f t="shared" si="7"/>
        <v>691.99958199980608</v>
      </c>
      <c r="G28" s="182">
        <f t="shared" si="7"/>
        <v>1104.7770366598777</v>
      </c>
      <c r="H28" s="182">
        <f t="shared" si="7"/>
        <v>569.63771530404426</v>
      </c>
      <c r="I28" s="182">
        <f t="shared" si="7"/>
        <v>423.12812166618176</v>
      </c>
      <c r="J28" s="182">
        <f t="shared" si="7"/>
        <v>1007.3804948598582</v>
      </c>
      <c r="K28" s="182">
        <f t="shared" si="7"/>
        <v>12719.473539666376</v>
      </c>
    </row>
    <row r="29" spans="1:24" ht="15" x14ac:dyDescent="0.25">
      <c r="A29" s="182" t="s">
        <v>76</v>
      </c>
      <c r="B29" s="214">
        <f t="shared" si="6"/>
        <v>16500</v>
      </c>
      <c r="C29" s="182">
        <f t="shared" si="7"/>
        <v>7031.7571830303041</v>
      </c>
      <c r="D29" s="182">
        <f t="shared" si="7"/>
        <v>1642.3178187878787</v>
      </c>
      <c r="E29" s="182">
        <f t="shared" si="7"/>
        <v>785.84827575757572</v>
      </c>
      <c r="F29" s="182">
        <f t="shared" si="7"/>
        <v>765.92382242424242</v>
      </c>
      <c r="G29" s="182">
        <f t="shared" si="7"/>
        <v>1272.2760460606059</v>
      </c>
      <c r="H29" s="182">
        <f t="shared" si="7"/>
        <v>712.7291375757577</v>
      </c>
      <c r="I29" s="182">
        <f t="shared" si="7"/>
        <v>736.46668424242421</v>
      </c>
      <c r="J29" s="182">
        <f t="shared" si="7"/>
        <v>1751.432535757576</v>
      </c>
      <c r="K29" s="182">
        <f t="shared" si="7"/>
        <v>14698.751503636364</v>
      </c>
      <c r="O29" s="247"/>
      <c r="P29" s="273"/>
      <c r="Q29" s="273"/>
      <c r="R29" s="273"/>
      <c r="S29" s="273"/>
      <c r="T29" s="273"/>
      <c r="U29" s="273"/>
    </row>
    <row r="30" spans="1:24" ht="15" x14ac:dyDescent="0.25">
      <c r="A30" s="182" t="s">
        <v>77</v>
      </c>
      <c r="B30" s="214">
        <f t="shared" si="6"/>
        <v>17268</v>
      </c>
      <c r="C30" s="182">
        <f t="shared" si="7"/>
        <v>7233.4422063933289</v>
      </c>
      <c r="D30" s="182">
        <f t="shared" si="7"/>
        <v>1061.4096826499886</v>
      </c>
      <c r="E30" s="182">
        <f t="shared" si="7"/>
        <v>789.75074241371306</v>
      </c>
      <c r="F30" s="182">
        <f t="shared" si="7"/>
        <v>699.83631746583262</v>
      </c>
      <c r="G30" s="182">
        <f t="shared" si="7"/>
        <v>1245.5556897150798</v>
      </c>
      <c r="H30" s="182">
        <f t="shared" si="7"/>
        <v>566.02406358582346</v>
      </c>
      <c r="I30" s="182">
        <f t="shared" si="7"/>
        <v>759.53433981931892</v>
      </c>
      <c r="J30" s="182">
        <f t="shared" si="7"/>
        <v>1455.1325266388696</v>
      </c>
      <c r="K30" s="182">
        <f t="shared" si="7"/>
        <v>13810.685568681954</v>
      </c>
      <c r="O30" s="247"/>
      <c r="P30" s="273"/>
      <c r="Q30" s="273"/>
      <c r="R30" s="273"/>
      <c r="S30" s="273"/>
      <c r="T30" s="273"/>
      <c r="U30" s="273"/>
    </row>
    <row r="31" spans="1:24" ht="15" x14ac:dyDescent="0.25">
      <c r="A31" s="182" t="s">
        <v>78</v>
      </c>
      <c r="B31" s="214">
        <f t="shared" si="6"/>
        <v>12117</v>
      </c>
      <c r="C31" s="182">
        <f t="shared" si="7"/>
        <v>7360.7385111826379</v>
      </c>
      <c r="D31" s="182">
        <f t="shared" si="7"/>
        <v>762.1845877692499</v>
      </c>
      <c r="E31" s="182">
        <f t="shared" si="7"/>
        <v>1085.1542205166297</v>
      </c>
      <c r="F31" s="182">
        <f t="shared" si="7"/>
        <v>597.13494346785501</v>
      </c>
      <c r="G31" s="182">
        <f t="shared" si="7"/>
        <v>1956.8176454567963</v>
      </c>
      <c r="H31" s="182">
        <f t="shared" si="7"/>
        <v>827.36729470991168</v>
      </c>
      <c r="I31" s="182">
        <f t="shared" si="7"/>
        <v>1132.2958331270117</v>
      </c>
      <c r="J31" s="182">
        <f t="shared" si="7"/>
        <v>603.16120987042984</v>
      </c>
      <c r="K31" s="182">
        <f t="shared" si="7"/>
        <v>14324.854246100524</v>
      </c>
      <c r="O31" s="247"/>
      <c r="P31" s="273"/>
      <c r="Q31" s="273"/>
      <c r="R31" s="273"/>
      <c r="S31" s="273"/>
      <c r="T31" s="273"/>
      <c r="U31" s="273"/>
    </row>
    <row r="32" spans="1:24" ht="15" x14ac:dyDescent="0.25">
      <c r="A32" s="182" t="s">
        <v>79</v>
      </c>
      <c r="B32" s="214">
        <f t="shared" si="6"/>
        <v>4860</v>
      </c>
      <c r="C32" s="182">
        <f t="shared" si="7"/>
        <v>9239.2615884773677</v>
      </c>
      <c r="D32" s="182">
        <f t="shared" si="7"/>
        <v>974.70274074074075</v>
      </c>
      <c r="E32" s="182">
        <f t="shared" si="7"/>
        <v>1898.9072736625517</v>
      </c>
      <c r="F32" s="182">
        <f t="shared" si="7"/>
        <v>588.50325720164597</v>
      </c>
      <c r="G32" s="182">
        <f t="shared" si="7"/>
        <v>2229.0929567901239</v>
      </c>
      <c r="H32" s="182">
        <f t="shared" si="7"/>
        <v>1102.5015740740741</v>
      </c>
      <c r="I32" s="182">
        <f t="shared" si="7"/>
        <v>1256.0191625514408</v>
      </c>
      <c r="J32" s="182">
        <f t="shared" si="7"/>
        <v>1532.4447777777775</v>
      </c>
      <c r="K32" s="182">
        <f t="shared" si="7"/>
        <v>18821.433331275723</v>
      </c>
      <c r="O32" s="247"/>
      <c r="P32" s="273"/>
      <c r="Q32" s="273"/>
      <c r="R32" s="273"/>
      <c r="S32" s="273"/>
      <c r="T32" s="273"/>
      <c r="U32" s="273"/>
    </row>
    <row r="33" spans="1:21" ht="15" x14ac:dyDescent="0.25">
      <c r="A33" s="182" t="s">
        <v>80</v>
      </c>
      <c r="B33" s="220">
        <f t="shared" si="6"/>
        <v>1438</v>
      </c>
      <c r="C33" s="183">
        <f t="shared" si="7"/>
        <v>10403.591550764953</v>
      </c>
      <c r="D33" s="183">
        <f t="shared" si="7"/>
        <v>343.23283031988871</v>
      </c>
      <c r="E33" s="183">
        <f t="shared" si="7"/>
        <v>2355.035396383867</v>
      </c>
      <c r="F33" s="183">
        <f t="shared" si="7"/>
        <v>118.81572322670377</v>
      </c>
      <c r="G33" s="183">
        <f t="shared" si="7"/>
        <v>2581.4349582753816</v>
      </c>
      <c r="H33" s="183">
        <f t="shared" si="7"/>
        <v>1217.2808275382472</v>
      </c>
      <c r="I33" s="183">
        <f t="shared" si="7"/>
        <v>790.00737830319883</v>
      </c>
      <c r="J33" s="183">
        <f t="shared" si="7"/>
        <v>1204.1374061196107</v>
      </c>
      <c r="K33" s="183">
        <f t="shared" si="7"/>
        <v>19013.536070931852</v>
      </c>
      <c r="O33" s="247"/>
      <c r="P33" s="273"/>
      <c r="Q33" s="273"/>
      <c r="R33" s="273"/>
      <c r="S33" s="273"/>
      <c r="T33" s="273"/>
      <c r="U33" s="273"/>
    </row>
    <row r="34" spans="1:21" ht="15" x14ac:dyDescent="0.25">
      <c r="A34" s="182" t="s">
        <v>219</v>
      </c>
      <c r="B34" s="214">
        <f>SUM(B28:B33)</f>
        <v>93427</v>
      </c>
      <c r="C34" s="182">
        <f t="shared" si="7"/>
        <v>7194.1774960129305</v>
      </c>
      <c r="D34" s="182">
        <f t="shared" si="7"/>
        <v>1339.9500667901143</v>
      </c>
      <c r="E34" s="182">
        <f t="shared" si="7"/>
        <v>780.59550493968561</v>
      </c>
      <c r="F34" s="182">
        <f t="shared" si="7"/>
        <v>679.99415918310547</v>
      </c>
      <c r="G34" s="182">
        <f t="shared" si="7"/>
        <v>1352.098313763687</v>
      </c>
      <c r="H34" s="182">
        <f t="shared" si="7"/>
        <v>665.35465357980024</v>
      </c>
      <c r="I34" s="182">
        <f t="shared" si="7"/>
        <v>681.59255750478985</v>
      </c>
      <c r="J34" s="182">
        <f t="shared" si="7"/>
        <v>1199.4605631134468</v>
      </c>
      <c r="K34" s="182">
        <f t="shared" si="7"/>
        <v>13893.223314887558</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22534</v>
      </c>
      <c r="C36" s="182">
        <f t="shared" ref="C36:K41" si="8">C12/$B36</f>
        <v>6553.8948815123813</v>
      </c>
      <c r="D36" s="182">
        <f t="shared" si="8"/>
        <v>1114.3107561906452</v>
      </c>
      <c r="E36" s="182">
        <f t="shared" si="8"/>
        <v>523.17312771811487</v>
      </c>
      <c r="F36" s="182">
        <f t="shared" si="8"/>
        <v>747.77520546729386</v>
      </c>
      <c r="G36" s="182">
        <f t="shared" si="8"/>
        <v>1246.0987325818764</v>
      </c>
      <c r="H36" s="182">
        <f t="shared" si="8"/>
        <v>568.43159447945334</v>
      </c>
      <c r="I36" s="182">
        <f t="shared" si="8"/>
        <v>1116.3079164817611</v>
      </c>
      <c r="J36" s="182">
        <f t="shared" si="8"/>
        <v>1654.5640063903438</v>
      </c>
      <c r="K36" s="182">
        <f t="shared" si="8"/>
        <v>13524.556220821869</v>
      </c>
      <c r="O36" s="247"/>
      <c r="P36" s="273"/>
      <c r="Q36" s="273"/>
      <c r="R36" s="273"/>
      <c r="S36" s="273"/>
      <c r="T36" s="273"/>
      <c r="U36" s="273"/>
    </row>
    <row r="37" spans="1:21" ht="15" x14ac:dyDescent="0.25">
      <c r="A37" s="182" t="s">
        <v>82</v>
      </c>
      <c r="B37" s="214">
        <f>B13</f>
        <v>6468</v>
      </c>
      <c r="C37" s="182">
        <f t="shared" si="8"/>
        <v>5676.4515166975889</v>
      </c>
      <c r="D37" s="182">
        <f t="shared" si="8"/>
        <v>1091.0735714285715</v>
      </c>
      <c r="E37" s="182">
        <f t="shared" si="8"/>
        <v>888.47679962894244</v>
      </c>
      <c r="F37" s="182">
        <f t="shared" si="8"/>
        <v>854.03666666666663</v>
      </c>
      <c r="G37" s="182">
        <f t="shared" si="8"/>
        <v>1577.1406756338897</v>
      </c>
      <c r="H37" s="182">
        <f t="shared" si="8"/>
        <v>926.56623531230673</v>
      </c>
      <c r="I37" s="182">
        <f t="shared" si="8"/>
        <v>1987.5257575757573</v>
      </c>
      <c r="J37" s="182">
        <f t="shared" si="8"/>
        <v>1342.5508967223254</v>
      </c>
      <c r="K37" s="182">
        <f t="shared" si="8"/>
        <v>14343.822119666049</v>
      </c>
      <c r="O37" s="247"/>
      <c r="P37" s="273"/>
      <c r="Q37" s="273"/>
      <c r="R37" s="273"/>
      <c r="S37" s="273"/>
      <c r="T37" s="273"/>
      <c r="U37" s="273"/>
    </row>
    <row r="38" spans="1:21" ht="15" x14ac:dyDescent="0.25">
      <c r="A38" s="182" t="s">
        <v>83</v>
      </c>
      <c r="B38" s="214">
        <f>B14</f>
        <v>5072</v>
      </c>
      <c r="C38" s="182">
        <f t="shared" si="8"/>
        <v>6453.6220228706625</v>
      </c>
      <c r="D38" s="182">
        <f t="shared" si="8"/>
        <v>937.88211159306002</v>
      </c>
      <c r="E38" s="182">
        <f t="shared" si="8"/>
        <v>1029.3501557570976</v>
      </c>
      <c r="F38" s="182">
        <f t="shared" si="8"/>
        <v>871.29761041009476</v>
      </c>
      <c r="G38" s="182">
        <f t="shared" si="8"/>
        <v>1633.8053253154574</v>
      </c>
      <c r="H38" s="182">
        <f t="shared" si="8"/>
        <v>1178.3459108832806</v>
      </c>
      <c r="I38" s="182">
        <f t="shared" si="8"/>
        <v>1691.0409148264982</v>
      </c>
      <c r="J38" s="182">
        <f t="shared" si="8"/>
        <v>1428.47152011041</v>
      </c>
      <c r="K38" s="182">
        <f t="shared" si="8"/>
        <v>15223.815571766561</v>
      </c>
      <c r="O38" s="247"/>
      <c r="P38" s="273"/>
      <c r="Q38" s="273"/>
      <c r="R38" s="273"/>
      <c r="S38" s="273"/>
      <c r="T38" s="273"/>
      <c r="U38" s="273"/>
    </row>
    <row r="39" spans="1:21" ht="15" x14ac:dyDescent="0.25">
      <c r="A39" s="182" t="s">
        <v>84</v>
      </c>
      <c r="B39" s="214">
        <f>B15</f>
        <v>3747</v>
      </c>
      <c r="C39" s="182">
        <f t="shared" si="8"/>
        <v>8010.0165439017874</v>
      </c>
      <c r="D39" s="182">
        <f t="shared" si="8"/>
        <v>1026.1975954096611</v>
      </c>
      <c r="E39" s="182">
        <f t="shared" si="8"/>
        <v>1967.35667200427</v>
      </c>
      <c r="F39" s="182">
        <f t="shared" si="8"/>
        <v>1025.5855324259408</v>
      </c>
      <c r="G39" s="182">
        <f t="shared" si="8"/>
        <v>2967.2633973845741</v>
      </c>
      <c r="H39" s="182">
        <f t="shared" si="8"/>
        <v>1667.1458500133442</v>
      </c>
      <c r="I39" s="182">
        <f t="shared" si="8"/>
        <v>2326.1976167600751</v>
      </c>
      <c r="J39" s="182">
        <f t="shared" si="8"/>
        <v>782.89131571924213</v>
      </c>
      <c r="K39" s="182">
        <f t="shared" si="8"/>
        <v>19772.654523618894</v>
      </c>
      <c r="O39" s="247"/>
      <c r="P39" s="273"/>
      <c r="Q39" s="273"/>
      <c r="R39" s="273"/>
      <c r="S39" s="273"/>
      <c r="T39" s="273"/>
      <c r="U39" s="273"/>
    </row>
    <row r="40" spans="1:21" ht="15" x14ac:dyDescent="0.25">
      <c r="A40" s="182" t="s">
        <v>85</v>
      </c>
      <c r="B40" s="220">
        <f>B16</f>
        <v>1464</v>
      </c>
      <c r="C40" s="183">
        <f t="shared" si="8"/>
        <v>10961.115450819672</v>
      </c>
      <c r="D40" s="183">
        <f t="shared" si="8"/>
        <v>922.08286202185798</v>
      </c>
      <c r="E40" s="183">
        <f t="shared" si="8"/>
        <v>3901.8384836065566</v>
      </c>
      <c r="F40" s="183">
        <f t="shared" si="8"/>
        <v>806.68831284152998</v>
      </c>
      <c r="G40" s="183">
        <f t="shared" si="8"/>
        <v>4763.1948907103824</v>
      </c>
      <c r="H40" s="183">
        <f t="shared" si="8"/>
        <v>2785.6625614754107</v>
      </c>
      <c r="I40" s="183">
        <f t="shared" si="8"/>
        <v>3033.4577663934424</v>
      </c>
      <c r="J40" s="183">
        <f t="shared" si="8"/>
        <v>811.03426229508204</v>
      </c>
      <c r="K40" s="183">
        <f t="shared" si="8"/>
        <v>27985.074590163935</v>
      </c>
      <c r="O40" s="247"/>
      <c r="P40" s="273"/>
      <c r="Q40" s="273"/>
      <c r="R40" s="273"/>
      <c r="S40" s="273"/>
      <c r="T40" s="273"/>
      <c r="U40" s="273"/>
    </row>
    <row r="41" spans="1:21" ht="15" x14ac:dyDescent="0.25">
      <c r="A41" s="182" t="s">
        <v>220</v>
      </c>
      <c r="B41" s="214">
        <f>SUM(B36:B40)</f>
        <v>39285</v>
      </c>
      <c r="C41" s="182">
        <f t="shared" si="8"/>
        <v>6699.6087967417589</v>
      </c>
      <c r="D41" s="182">
        <f t="shared" si="8"/>
        <v>1072.1387860506554</v>
      </c>
      <c r="E41" s="182">
        <f t="shared" si="8"/>
        <v>912.32511594756249</v>
      </c>
      <c r="F41" s="182">
        <f t="shared" si="8"/>
        <v>809.91110602010951</v>
      </c>
      <c r="G41" s="182">
        <f t="shared" si="8"/>
        <v>1645.8915262822961</v>
      </c>
      <c r="H41" s="182">
        <f t="shared" si="8"/>
        <v>893.56354613720259</v>
      </c>
      <c r="I41" s="182">
        <f t="shared" si="8"/>
        <v>1520.7942815323913</v>
      </c>
      <c r="J41" s="182">
        <f t="shared" si="8"/>
        <v>1459.4277711594759</v>
      </c>
      <c r="K41" s="182">
        <f t="shared" si="8"/>
        <v>15013.660929871456</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15444</v>
      </c>
      <c r="C43" s="182">
        <f t="shared" ref="C43:K45" si="9">C19/$B43</f>
        <v>6407.2110910385909</v>
      </c>
      <c r="D43" s="182">
        <f t="shared" si="9"/>
        <v>882.38525900025888</v>
      </c>
      <c r="E43" s="182">
        <f t="shared" si="9"/>
        <v>782.12744431494423</v>
      </c>
      <c r="F43" s="182">
        <f t="shared" si="9"/>
        <v>681.00556721056716</v>
      </c>
      <c r="G43" s="182">
        <f t="shared" si="9"/>
        <v>1383.3522435897437</v>
      </c>
      <c r="H43" s="182">
        <f t="shared" si="9"/>
        <v>759.6034887334888</v>
      </c>
      <c r="I43" s="182">
        <f t="shared" si="9"/>
        <v>995.42454480704487</v>
      </c>
      <c r="J43" s="182">
        <f t="shared" si="9"/>
        <v>1521.1518745143744</v>
      </c>
      <c r="K43" s="182">
        <f t="shared" si="9"/>
        <v>13412.261513209014</v>
      </c>
    </row>
    <row r="44" spans="1:21" x14ac:dyDescent="0.2">
      <c r="A44" s="182" t="s">
        <v>87</v>
      </c>
      <c r="B44" s="220">
        <f>B20</f>
        <v>7387</v>
      </c>
      <c r="C44" s="183">
        <f t="shared" si="9"/>
        <v>9475.042077974822</v>
      </c>
      <c r="D44" s="183">
        <f t="shared" si="9"/>
        <v>733.58524028699094</v>
      </c>
      <c r="E44" s="183">
        <f t="shared" si="9"/>
        <v>2139.5545647759582</v>
      </c>
      <c r="F44" s="183">
        <f t="shared" si="9"/>
        <v>709.56085555705954</v>
      </c>
      <c r="G44" s="183">
        <f t="shared" si="9"/>
        <v>3210.6916705022336</v>
      </c>
      <c r="H44" s="183">
        <f t="shared" si="9"/>
        <v>1572.4066698253687</v>
      </c>
      <c r="I44" s="183">
        <f t="shared" si="9"/>
        <v>1943.6225355354011</v>
      </c>
      <c r="J44" s="183">
        <f t="shared" si="9"/>
        <v>906.74333829700799</v>
      </c>
      <c r="K44" s="183">
        <f t="shared" si="9"/>
        <v>20691.206952754841</v>
      </c>
    </row>
    <row r="45" spans="1:21" x14ac:dyDescent="0.2">
      <c r="A45" s="182" t="s">
        <v>221</v>
      </c>
      <c r="B45" s="214">
        <f>SUM(B43:B44)</f>
        <v>22831</v>
      </c>
      <c r="C45" s="182">
        <f t="shared" si="9"/>
        <v>7399.8118312820297</v>
      </c>
      <c r="D45" s="182">
        <f t="shared" si="9"/>
        <v>834.24081774779904</v>
      </c>
      <c r="E45" s="182">
        <f t="shared" si="9"/>
        <v>1221.3247698304936</v>
      </c>
      <c r="F45" s="182">
        <f t="shared" si="9"/>
        <v>690.24466821426995</v>
      </c>
      <c r="G45" s="182">
        <f t="shared" si="9"/>
        <v>1974.5903122946872</v>
      </c>
      <c r="H45" s="182">
        <f t="shared" si="9"/>
        <v>1022.5870242214534</v>
      </c>
      <c r="I45" s="182">
        <f t="shared" si="9"/>
        <v>1302.2152485655474</v>
      </c>
      <c r="J45" s="182">
        <f t="shared" si="9"/>
        <v>1322.3591866322104</v>
      </c>
      <c r="K45" s="182">
        <f t="shared" si="9"/>
        <v>15767.373858788491</v>
      </c>
    </row>
    <row r="46" spans="1:21" x14ac:dyDescent="0.2">
      <c r="A46" s="182"/>
      <c r="B46" s="214"/>
      <c r="C46" s="182"/>
      <c r="D46" s="182"/>
      <c r="E46" s="182"/>
      <c r="F46" s="182"/>
      <c r="G46" s="182"/>
      <c r="H46" s="182"/>
      <c r="I46" s="182"/>
      <c r="J46" s="182"/>
      <c r="K46" s="182"/>
    </row>
    <row r="47" spans="1:21" ht="13.5" thickBot="1" x14ac:dyDescent="0.25">
      <c r="A47" s="182" t="s">
        <v>222</v>
      </c>
      <c r="B47" s="222">
        <f>B45+B41+B34</f>
        <v>155543</v>
      </c>
      <c r="C47" s="222">
        <f t="shared" ref="C47:K47" si="10">C23/$B47</f>
        <v>7099.4493896864542</v>
      </c>
      <c r="D47" s="222">
        <f t="shared" si="10"/>
        <v>1198.0805257067177</v>
      </c>
      <c r="E47" s="222">
        <f t="shared" si="10"/>
        <v>878.55740367615397</v>
      </c>
      <c r="F47" s="222">
        <f t="shared" si="10"/>
        <v>714.31146454678128</v>
      </c>
      <c r="G47" s="222">
        <f t="shared" si="10"/>
        <v>1517.6716997229062</v>
      </c>
      <c r="H47" s="222">
        <f t="shared" si="10"/>
        <v>775.42812907041787</v>
      </c>
      <c r="I47" s="222">
        <f t="shared" si="10"/>
        <v>984.64365198048131</v>
      </c>
      <c r="J47" s="222">
        <f t="shared" si="10"/>
        <v>1283.1590274715031</v>
      </c>
      <c r="K47" s="222">
        <f t="shared" si="10"/>
        <v>14451.301291861415</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FY2023</v>
      </c>
      <c r="D50" s="182"/>
      <c r="E50" s="182"/>
      <c r="F50" s="182"/>
      <c r="G50" s="182"/>
      <c r="H50" s="182"/>
      <c r="I50" s="182"/>
      <c r="J50" s="182"/>
      <c r="K50" s="182"/>
    </row>
    <row r="51" spans="1:11" ht="40.5" customHeight="1" x14ac:dyDescent="0.2">
      <c r="A51" s="21" t="s">
        <v>1207</v>
      </c>
      <c r="B51" s="21" t="str">
        <f>B3</f>
        <v>ANB23</v>
      </c>
      <c r="C51" s="21" t="str">
        <f t="shared" ref="C51:K51" si="11">C3</f>
        <v>23/Pupil Instruction</v>
      </c>
      <c r="D51" s="21" t="str">
        <f t="shared" si="11"/>
        <v>23/Pupil Student Services</v>
      </c>
      <c r="E51" s="21" t="str">
        <f t="shared" si="11"/>
        <v>23/Pupil General Admin</v>
      </c>
      <c r="F51" s="21" t="str">
        <f t="shared" si="11"/>
        <v>23/Pupil Bldg Admin</v>
      </c>
      <c r="G51" s="21" t="str">
        <f t="shared" si="11"/>
        <v>23/Pupil Bldg OM</v>
      </c>
      <c r="H51" s="21" t="str">
        <f t="shared" si="11"/>
        <v>23/Pupil Transport</v>
      </c>
      <c r="I51" s="21" t="str">
        <f t="shared" si="11"/>
        <v>23/Pupil Other</v>
      </c>
      <c r="J51" s="21" t="str">
        <f t="shared" si="11"/>
        <v>23/Pupil Bonds/ Facilities</v>
      </c>
      <c r="K51" s="21" t="str">
        <f t="shared" si="11"/>
        <v>23/Pupil Total</v>
      </c>
    </row>
    <row r="52" spans="1:11" x14ac:dyDescent="0.2">
      <c r="A52" s="182" t="s">
        <v>102</v>
      </c>
      <c r="B52" s="214">
        <f t="shared" ref="B52:B57" si="12">B4</f>
        <v>41244</v>
      </c>
      <c r="C52" s="191">
        <f t="shared" ref="C52:K58" si="13">C28/$K28</f>
        <v>0.53782890800232841</v>
      </c>
      <c r="D52" s="191">
        <f t="shared" si="13"/>
        <v>0.12446547639626675</v>
      </c>
      <c r="E52" s="191">
        <f t="shared" si="13"/>
        <v>3.9193028688994026E-2</v>
      </c>
      <c r="F52" s="191">
        <f t="shared" si="13"/>
        <v>5.4404734586047714E-2</v>
      </c>
      <c r="G52" s="191">
        <f t="shared" si="13"/>
        <v>8.6857135495000626E-2</v>
      </c>
      <c r="H52" s="191">
        <f t="shared" si="13"/>
        <v>4.4784692819840204E-2</v>
      </c>
      <c r="I52" s="191">
        <f t="shared" si="13"/>
        <v>3.3266166272262247E-2</v>
      </c>
      <c r="J52" s="191">
        <f t="shared" si="13"/>
        <v>7.9199857739259957E-2</v>
      </c>
      <c r="K52" s="191">
        <f t="shared" si="13"/>
        <v>1</v>
      </c>
    </row>
    <row r="53" spans="1:11" x14ac:dyDescent="0.2">
      <c r="A53" s="182" t="s">
        <v>76</v>
      </c>
      <c r="B53" s="214">
        <f t="shared" si="12"/>
        <v>16500</v>
      </c>
      <c r="C53" s="191">
        <f t="shared" si="13"/>
        <v>0.47839145938964261</v>
      </c>
      <c r="D53" s="191">
        <f t="shared" si="13"/>
        <v>0.11173179017153811</v>
      </c>
      <c r="E53" s="191">
        <f t="shared" si="13"/>
        <v>5.3463607134467343E-2</v>
      </c>
      <c r="F53" s="191">
        <f t="shared" si="13"/>
        <v>5.2108087019142983E-2</v>
      </c>
      <c r="G53" s="191">
        <f t="shared" si="13"/>
        <v>8.6556742301946807E-2</v>
      </c>
      <c r="H53" s="191">
        <f t="shared" si="13"/>
        <v>4.8489093607673665E-2</v>
      </c>
      <c r="I53" s="191">
        <f t="shared" si="13"/>
        <v>5.0104029859966523E-2</v>
      </c>
      <c r="J53" s="191">
        <f t="shared" si="13"/>
        <v>0.11915519051562198</v>
      </c>
      <c r="K53" s="191">
        <f t="shared" si="13"/>
        <v>1</v>
      </c>
    </row>
    <row r="54" spans="1:11" x14ac:dyDescent="0.2">
      <c r="A54" s="182" t="s">
        <v>77</v>
      </c>
      <c r="B54" s="214">
        <f t="shared" si="12"/>
        <v>17268</v>
      </c>
      <c r="C54" s="191">
        <f t="shared" si="13"/>
        <v>0.52375692505782423</v>
      </c>
      <c r="D54" s="191">
        <f t="shared" si="13"/>
        <v>7.6854235611366964E-2</v>
      </c>
      <c r="E54" s="191">
        <f t="shared" si="13"/>
        <v>5.7184036120886371E-2</v>
      </c>
      <c r="F54" s="191">
        <f t="shared" si="13"/>
        <v>5.0673539266785486E-2</v>
      </c>
      <c r="G54" s="191">
        <f t="shared" si="13"/>
        <v>9.018782474778704E-2</v>
      </c>
      <c r="H54" s="191">
        <f t="shared" si="13"/>
        <v>4.0984501513044211E-2</v>
      </c>
      <c r="I54" s="191">
        <f t="shared" si="13"/>
        <v>5.4996135857418291E-2</v>
      </c>
      <c r="J54" s="191">
        <f t="shared" si="13"/>
        <v>0.10536280182488744</v>
      </c>
      <c r="K54" s="191">
        <f t="shared" si="13"/>
        <v>1</v>
      </c>
    </row>
    <row r="55" spans="1:11" x14ac:dyDescent="0.2">
      <c r="A55" s="182" t="s">
        <v>78</v>
      </c>
      <c r="B55" s="214">
        <f t="shared" si="12"/>
        <v>12117</v>
      </c>
      <c r="C55" s="191">
        <f t="shared" si="13"/>
        <v>0.51384386777871471</v>
      </c>
      <c r="D55" s="191">
        <f t="shared" si="13"/>
        <v>5.3207144357278885E-2</v>
      </c>
      <c r="E55" s="191">
        <f t="shared" si="13"/>
        <v>7.575324690036743E-2</v>
      </c>
      <c r="F55" s="191">
        <f t="shared" si="13"/>
        <v>4.1685236946156404E-2</v>
      </c>
      <c r="G55" s="191">
        <f t="shared" si="13"/>
        <v>0.13660297074153313</v>
      </c>
      <c r="H55" s="191">
        <f t="shared" si="13"/>
        <v>5.775746688208961E-2</v>
      </c>
      <c r="I55" s="191">
        <f t="shared" si="13"/>
        <v>7.9044143394006436E-2</v>
      </c>
      <c r="J55" s="191">
        <f t="shared" si="13"/>
        <v>4.2105922999853274E-2</v>
      </c>
      <c r="K55" s="191">
        <f t="shared" si="13"/>
        <v>1</v>
      </c>
    </row>
    <row r="56" spans="1:11" x14ac:dyDescent="0.2">
      <c r="A56" s="182" t="s">
        <v>79</v>
      </c>
      <c r="B56" s="214">
        <f t="shared" si="12"/>
        <v>4860</v>
      </c>
      <c r="C56" s="191">
        <f t="shared" si="13"/>
        <v>0.49089043463679327</v>
      </c>
      <c r="D56" s="191">
        <f t="shared" si="13"/>
        <v>5.1786849789015252E-2</v>
      </c>
      <c r="E56" s="191">
        <f t="shared" si="13"/>
        <v>0.10089068352233954</v>
      </c>
      <c r="F56" s="191">
        <f t="shared" si="13"/>
        <v>3.1267717332862502E-2</v>
      </c>
      <c r="G56" s="191">
        <f t="shared" si="13"/>
        <v>0.11843375143411755</v>
      </c>
      <c r="H56" s="191">
        <f t="shared" si="13"/>
        <v>5.8576918913079735E-2</v>
      </c>
      <c r="I56" s="191">
        <f t="shared" si="13"/>
        <v>6.6733449065449438E-2</v>
      </c>
      <c r="J56" s="191">
        <f t="shared" si="13"/>
        <v>8.1420195306342688E-2</v>
      </c>
      <c r="K56" s="191">
        <f t="shared" si="13"/>
        <v>1</v>
      </c>
    </row>
    <row r="57" spans="1:11" x14ac:dyDescent="0.2">
      <c r="A57" s="182" t="s">
        <v>80</v>
      </c>
      <c r="B57" s="220">
        <f t="shared" si="12"/>
        <v>1438</v>
      </c>
      <c r="C57" s="193">
        <f t="shared" si="13"/>
        <v>0.5471676342555819</v>
      </c>
      <c r="D57" s="193">
        <f t="shared" si="13"/>
        <v>1.805202509619595E-2</v>
      </c>
      <c r="E57" s="193">
        <f t="shared" si="13"/>
        <v>0.12386098974952253</v>
      </c>
      <c r="F57" s="193">
        <f t="shared" si="13"/>
        <v>6.2490071696001265E-3</v>
      </c>
      <c r="G57" s="193">
        <f t="shared" si="13"/>
        <v>0.13576827312105894</v>
      </c>
      <c r="H57" s="193">
        <f t="shared" si="13"/>
        <v>6.4021801257644145E-2</v>
      </c>
      <c r="I57" s="193">
        <f t="shared" si="13"/>
        <v>4.1549734639364254E-2</v>
      </c>
      <c r="J57" s="193">
        <f t="shared" si="13"/>
        <v>6.3330534711032102E-2</v>
      </c>
      <c r="K57" s="193">
        <f t="shared" si="13"/>
        <v>1</v>
      </c>
    </row>
    <row r="58" spans="1:11" x14ac:dyDescent="0.2">
      <c r="A58" s="182" t="s">
        <v>219</v>
      </c>
      <c r="B58" s="214">
        <f>SUM(B52:B57)</f>
        <v>93427</v>
      </c>
      <c r="C58" s="191">
        <f t="shared" si="13"/>
        <v>0.51781917939114008</v>
      </c>
      <c r="D58" s="191">
        <f t="shared" si="13"/>
        <v>9.6446305973809862E-2</v>
      </c>
      <c r="E58" s="191">
        <f t="shared" si="13"/>
        <v>5.6185342108711595E-2</v>
      </c>
      <c r="F58" s="191">
        <f t="shared" si="13"/>
        <v>4.8944304987485823E-2</v>
      </c>
      <c r="G58" s="191">
        <f t="shared" si="13"/>
        <v>9.7320706874035434E-2</v>
      </c>
      <c r="H58" s="191">
        <f t="shared" si="13"/>
        <v>4.789058942620078E-2</v>
      </c>
      <c r="I58" s="191">
        <f t="shared" si="13"/>
        <v>4.905935376237823E-2</v>
      </c>
      <c r="J58" s="191">
        <f t="shared" si="13"/>
        <v>8.6334217476238304E-2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22534</v>
      </c>
      <c r="C60" s="191">
        <f t="shared" ref="C60:K65" si="14">C36/$K36</f>
        <v>0.48459223167871973</v>
      </c>
      <c r="D60" s="191">
        <f t="shared" si="14"/>
        <v>8.2391668753988151E-2</v>
      </c>
      <c r="E60" s="191">
        <f t="shared" si="14"/>
        <v>3.8683201073367444E-2</v>
      </c>
      <c r="F60" s="191">
        <f t="shared" si="14"/>
        <v>5.5290184258766945E-2</v>
      </c>
      <c r="G60" s="191">
        <f t="shared" si="14"/>
        <v>9.2136016312567237E-2</v>
      </c>
      <c r="H60" s="191">
        <f t="shared" si="14"/>
        <v>4.2029593074878024E-2</v>
      </c>
      <c r="I60" s="191">
        <f t="shared" si="14"/>
        <v>8.2539337946123351E-2</v>
      </c>
      <c r="J60" s="191">
        <f t="shared" si="14"/>
        <v>0.12233776690158919</v>
      </c>
      <c r="K60" s="191">
        <f t="shared" si="14"/>
        <v>1</v>
      </c>
    </row>
    <row r="61" spans="1:11" x14ac:dyDescent="0.2">
      <c r="A61" s="182" t="s">
        <v>82</v>
      </c>
      <c r="B61" s="214">
        <f>B37</f>
        <v>6468</v>
      </c>
      <c r="C61" s="191">
        <f t="shared" si="14"/>
        <v>0.39574190681819105</v>
      </c>
      <c r="D61" s="191">
        <f t="shared" si="14"/>
        <v>7.6065748886599671E-2</v>
      </c>
      <c r="E61" s="191">
        <f t="shared" si="14"/>
        <v>6.1941426226333307E-2</v>
      </c>
      <c r="F61" s="191">
        <f t="shared" si="14"/>
        <v>5.9540383277323451E-2</v>
      </c>
      <c r="G61" s="191">
        <f t="shared" si="14"/>
        <v>0.10995260973513861</v>
      </c>
      <c r="H61" s="191">
        <f t="shared" si="14"/>
        <v>6.4596885515049801E-2</v>
      </c>
      <c r="I61" s="191">
        <f t="shared" si="14"/>
        <v>0.13856319054952354</v>
      </c>
      <c r="J61" s="191">
        <f t="shared" si="14"/>
        <v>9.3597848991840579E-2</v>
      </c>
      <c r="K61" s="191">
        <f t="shared" si="14"/>
        <v>1</v>
      </c>
    </row>
    <row r="62" spans="1:11" x14ac:dyDescent="0.2">
      <c r="A62" s="182" t="s">
        <v>83</v>
      </c>
      <c r="B62" s="214">
        <f>B38</f>
        <v>5072</v>
      </c>
      <c r="C62" s="191">
        <f t="shared" si="14"/>
        <v>0.42391619843577683</v>
      </c>
      <c r="D62" s="191">
        <f t="shared" si="14"/>
        <v>6.1606244976615203E-2</v>
      </c>
      <c r="E62" s="191">
        <f t="shared" si="14"/>
        <v>6.7614465697159815E-2</v>
      </c>
      <c r="F62" s="191">
        <f t="shared" si="14"/>
        <v>5.7232538472547327E-2</v>
      </c>
      <c r="G62" s="191">
        <f t="shared" si="14"/>
        <v>0.10731904348246592</v>
      </c>
      <c r="H62" s="191">
        <f t="shared" si="14"/>
        <v>7.7401483572133556E-2</v>
      </c>
      <c r="I62" s="191">
        <f t="shared" si="14"/>
        <v>0.11107865218510861</v>
      </c>
      <c r="J62" s="191">
        <f t="shared" si="14"/>
        <v>9.3831373178192748E-2</v>
      </c>
      <c r="K62" s="191">
        <f t="shared" si="14"/>
        <v>1</v>
      </c>
    </row>
    <row r="63" spans="1:11" x14ac:dyDescent="0.2">
      <c r="A63" s="182" t="s">
        <v>84</v>
      </c>
      <c r="B63" s="214">
        <f>B39</f>
        <v>3747</v>
      </c>
      <c r="C63" s="191">
        <f t="shared" si="14"/>
        <v>0.40510577547054377</v>
      </c>
      <c r="D63" s="191">
        <f t="shared" si="14"/>
        <v>5.1899839456752972E-2</v>
      </c>
      <c r="E63" s="191">
        <f t="shared" si="14"/>
        <v>9.949886443695341E-2</v>
      </c>
      <c r="F63" s="191">
        <f t="shared" si="14"/>
        <v>5.1868884433339743E-2</v>
      </c>
      <c r="G63" s="191">
        <f t="shared" si="14"/>
        <v>0.15006904580465458</v>
      </c>
      <c r="H63" s="191">
        <f t="shared" si="14"/>
        <v>8.4315732519470249E-2</v>
      </c>
      <c r="I63" s="191">
        <f t="shared" si="14"/>
        <v>0.11764720887533731</v>
      </c>
      <c r="J63" s="191">
        <f t="shared" si="14"/>
        <v>3.9594649002947999E-2</v>
      </c>
      <c r="K63" s="191">
        <f t="shared" si="14"/>
        <v>1</v>
      </c>
    </row>
    <row r="64" spans="1:11" x14ac:dyDescent="0.2">
      <c r="A64" s="182" t="s">
        <v>85</v>
      </c>
      <c r="B64" s="220">
        <f>B40</f>
        <v>1464</v>
      </c>
      <c r="C64" s="193">
        <f t="shared" si="14"/>
        <v>0.39167719262296463</v>
      </c>
      <c r="D64" s="193">
        <f t="shared" si="14"/>
        <v>3.2949094312792984E-2</v>
      </c>
      <c r="E64" s="193">
        <f t="shared" si="14"/>
        <v>0.13942569533039431</v>
      </c>
      <c r="F64" s="193">
        <f t="shared" si="14"/>
        <v>2.8825662416674818E-2</v>
      </c>
      <c r="G64" s="193">
        <f t="shared" si="14"/>
        <v>0.17020483098460379</v>
      </c>
      <c r="H64" s="193">
        <f t="shared" si="14"/>
        <v>9.9541008993933588E-2</v>
      </c>
      <c r="I64" s="193">
        <f t="shared" si="14"/>
        <v>0.10839555766128378</v>
      </c>
      <c r="J64" s="193">
        <f t="shared" si="14"/>
        <v>2.8980957677352079E-2</v>
      </c>
      <c r="K64" s="193">
        <f t="shared" si="14"/>
        <v>1</v>
      </c>
    </row>
    <row r="65" spans="1:11" x14ac:dyDescent="0.2">
      <c r="A65" s="182" t="s">
        <v>220</v>
      </c>
      <c r="B65" s="214">
        <f>SUM(B60:B64)</f>
        <v>39285</v>
      </c>
      <c r="C65" s="191">
        <f t="shared" si="14"/>
        <v>0.44623418818604688</v>
      </c>
      <c r="D65" s="191">
        <f t="shared" si="14"/>
        <v>7.1410883132275116E-2</v>
      </c>
      <c r="E65" s="191">
        <f t="shared" si="14"/>
        <v>6.0766332755815985E-2</v>
      </c>
      <c r="F65" s="191">
        <f t="shared" si="14"/>
        <v>5.3944944527733109E-2</v>
      </c>
      <c r="G65" s="191">
        <f t="shared" si="14"/>
        <v>0.10962626197369357</v>
      </c>
      <c r="H65" s="191">
        <f t="shared" si="14"/>
        <v>5.9516699511932641E-2</v>
      </c>
      <c r="I65" s="191">
        <f t="shared" si="14"/>
        <v>0.1012940340557839</v>
      </c>
      <c r="J65" s="191">
        <f t="shared" si="14"/>
        <v>9.7206655856718574E-2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15444</v>
      </c>
      <c r="C67" s="191">
        <f t="shared" ref="C67:K69" si="15">C43/$K43</f>
        <v>0.47771295577024603</v>
      </c>
      <c r="D67" s="191">
        <f t="shared" si="15"/>
        <v>6.5789446330974471E-2</v>
      </c>
      <c r="E67" s="191">
        <f t="shared" si="15"/>
        <v>5.8314359852338772E-2</v>
      </c>
      <c r="F67" s="191">
        <f t="shared" si="15"/>
        <v>5.0774850053429202E-2</v>
      </c>
      <c r="G67" s="191">
        <f t="shared" si="15"/>
        <v>0.10314086421796612</v>
      </c>
      <c r="H67" s="191">
        <f t="shared" si="15"/>
        <v>5.6635004319398052E-2</v>
      </c>
      <c r="I67" s="191">
        <f t="shared" si="15"/>
        <v>7.4217501934830662E-2</v>
      </c>
      <c r="J67" s="191">
        <f t="shared" si="15"/>
        <v>0.11341501752081659</v>
      </c>
      <c r="K67" s="191">
        <f t="shared" si="15"/>
        <v>1</v>
      </c>
    </row>
    <row r="68" spans="1:11" x14ac:dyDescent="0.2">
      <c r="A68" s="182" t="s">
        <v>87</v>
      </c>
      <c r="B68" s="220">
        <f>B44</f>
        <v>7387</v>
      </c>
      <c r="C68" s="193">
        <f t="shared" si="15"/>
        <v>0.45792602140656219</v>
      </c>
      <c r="D68" s="193">
        <f t="shared" si="15"/>
        <v>3.5453960803834159E-2</v>
      </c>
      <c r="E68" s="193">
        <f t="shared" si="15"/>
        <v>0.1034040483796474</v>
      </c>
      <c r="F68" s="193">
        <f t="shared" si="15"/>
        <v>3.4292869293571497E-2</v>
      </c>
      <c r="G68" s="193">
        <f t="shared" si="15"/>
        <v>0.15517179243498697</v>
      </c>
      <c r="H68" s="193">
        <f t="shared" si="15"/>
        <v>7.5993955955093159E-2</v>
      </c>
      <c r="I68" s="193">
        <f t="shared" si="15"/>
        <v>9.393471052574949E-2</v>
      </c>
      <c r="J68" s="193">
        <f t="shared" si="15"/>
        <v>4.3822641200555172E-2</v>
      </c>
      <c r="K68" s="193">
        <f t="shared" si="15"/>
        <v>1</v>
      </c>
    </row>
    <row r="69" spans="1:11" x14ac:dyDescent="0.2">
      <c r="A69" s="182" t="s">
        <v>221</v>
      </c>
      <c r="B69" s="214">
        <f>SUM(B67:B68)</f>
        <v>22831</v>
      </c>
      <c r="C69" s="191">
        <f t="shared" si="15"/>
        <v>0.4693116239618742</v>
      </c>
      <c r="D69" s="191">
        <f t="shared" si="15"/>
        <v>5.2909306598499031E-2</v>
      </c>
      <c r="E69" s="191">
        <f t="shared" si="15"/>
        <v>7.7458984658358057E-2</v>
      </c>
      <c r="F69" s="191">
        <f t="shared" si="15"/>
        <v>4.3776768052565598E-2</v>
      </c>
      <c r="G69" s="191">
        <f t="shared" si="15"/>
        <v>0.12523266905313349</v>
      </c>
      <c r="H69" s="191">
        <f t="shared" si="15"/>
        <v>6.4854618998678656E-2</v>
      </c>
      <c r="I69" s="191">
        <f t="shared" si="15"/>
        <v>8.2589228886693317E-2</v>
      </c>
      <c r="J69" s="191">
        <f t="shared" si="15"/>
        <v>8.3866799790197635E-2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155543</v>
      </c>
      <c r="C71" s="195">
        <f t="shared" ref="C71:K71" si="16">C47/$K47</f>
        <v>0.49126713548520878</v>
      </c>
      <c r="D71" s="195">
        <f t="shared" si="16"/>
        <v>8.2904681143243786E-2</v>
      </c>
      <c r="E71" s="195">
        <f t="shared" si="16"/>
        <v>6.0794345500978099E-2</v>
      </c>
      <c r="F71" s="195">
        <f t="shared" si="16"/>
        <v>4.9428868038967698E-2</v>
      </c>
      <c r="G71" s="195">
        <f t="shared" si="16"/>
        <v>0.10501972584141044</v>
      </c>
      <c r="H71" s="195">
        <f t="shared" si="16"/>
        <v>5.3658014140713972E-2</v>
      </c>
      <c r="I71" s="195">
        <f t="shared" si="16"/>
        <v>6.8135293292584401E-2</v>
      </c>
      <c r="J71" s="195">
        <f t="shared" si="16"/>
        <v>8.8791936556892895E-2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75BB2-8CA6-4E52-85E2-8EDEDFC31E9F}">
  <dimension ref="A1:X75"/>
  <sheetViews>
    <sheetView zoomScaleNormal="100" workbookViewId="0">
      <selection activeCell="D1" sqref="D1"/>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1410</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ANB22</v>
      </c>
      <c r="C3" s="12" t="str">
        <f>RIGHT(D1,2)&amp;"/Pupil Instruction"</f>
        <v>22/Pupil Instruction</v>
      </c>
      <c r="D3" s="12" t="str">
        <f>RIGHT(D1,2)&amp;"/Pupil Student Services"</f>
        <v>22/Pupil Student Services</v>
      </c>
      <c r="E3" s="12" t="str">
        <f>RIGHT(D1,2)&amp;"/Pupil General Admin"</f>
        <v>22/Pupil General Admin</v>
      </c>
      <c r="F3" s="12" t="str">
        <f>RIGHT(D1,2)&amp;"/Pupil Bldg Admin"</f>
        <v>22/Pupil Bldg Admin</v>
      </c>
      <c r="G3" s="12" t="str">
        <f>RIGHT(D1,2)&amp;"/Pupil Bldg OM"</f>
        <v>22/Pupil Bldg OM</v>
      </c>
      <c r="H3" s="12" t="str">
        <f>RIGHT(D1,2)&amp;"/Pupil Transport"</f>
        <v>22/Pupil Transport</v>
      </c>
      <c r="I3" s="12" t="str">
        <f>RIGHT(D1,2)&amp;"/Pupil Other"</f>
        <v>22/Pupil Other</v>
      </c>
      <c r="J3" s="12" t="str">
        <f>RIGHT(D1,2)&amp;"/Pupil Bonds/ Facilities"</f>
        <v>22/Pupil Bonds/ Facilities</v>
      </c>
      <c r="K3" s="12" t="str">
        <f>RIGHT(D1,2)&amp;"/Pupil Total"</f>
        <v>22/Pupil Total</v>
      </c>
    </row>
    <row r="4" spans="1:24" ht="15" x14ac:dyDescent="0.25">
      <c r="A4" s="33" t="s">
        <v>102</v>
      </c>
      <c r="B4" s="214">
        <v>41340</v>
      </c>
      <c r="C4" s="214">
        <v>290919958.57999992</v>
      </c>
      <c r="D4" s="214">
        <v>65842135.93</v>
      </c>
      <c r="E4" s="214">
        <v>22389957.59</v>
      </c>
      <c r="F4" s="214">
        <v>28677204.959999997</v>
      </c>
      <c r="G4" s="214">
        <v>39351753.329999998</v>
      </c>
      <c r="H4" s="214">
        <v>21789831.079999998</v>
      </c>
      <c r="I4" s="214">
        <v>17149206.300000001</v>
      </c>
      <c r="J4" s="214">
        <v>45252249.729999997</v>
      </c>
      <c r="K4" s="214">
        <f t="shared" ref="K4:K9" si="0">SUM(C4:J4)</f>
        <v>531372297.49999988</v>
      </c>
      <c r="N4" s="214"/>
      <c r="O4" s="294"/>
      <c r="P4" s="293"/>
      <c r="Q4" s="293"/>
      <c r="R4" s="293"/>
      <c r="S4" s="293"/>
      <c r="T4" s="293"/>
      <c r="U4" s="293"/>
      <c r="V4" s="293"/>
      <c r="W4" s="293"/>
      <c r="X4" s="293"/>
    </row>
    <row r="5" spans="1:24" ht="15" x14ac:dyDescent="0.25">
      <c r="A5" s="33" t="s">
        <v>76</v>
      </c>
      <c r="B5" s="214">
        <v>17505</v>
      </c>
      <c r="C5" s="214">
        <v>121367311.86999997</v>
      </c>
      <c r="D5" s="214">
        <v>28018175.760000002</v>
      </c>
      <c r="E5" s="214">
        <v>13472367.490000002</v>
      </c>
      <c r="F5" s="214">
        <v>12813712.769999998</v>
      </c>
      <c r="G5" s="214">
        <v>21050762.990000002</v>
      </c>
      <c r="H5" s="214">
        <v>10556284.92</v>
      </c>
      <c r="I5" s="214">
        <v>12458942.270000001</v>
      </c>
      <c r="J5" s="214">
        <v>20285859.879999999</v>
      </c>
      <c r="K5" s="214">
        <f t="shared" si="0"/>
        <v>240023417.94999999</v>
      </c>
      <c r="N5" s="214"/>
      <c r="O5" s="294"/>
      <c r="P5" s="293"/>
      <c r="Q5" s="293"/>
      <c r="R5" s="293"/>
      <c r="S5" s="293"/>
      <c r="T5" s="293"/>
      <c r="U5" s="293"/>
      <c r="V5" s="293"/>
      <c r="W5" s="293"/>
      <c r="X5" s="293"/>
    </row>
    <row r="6" spans="1:24" ht="15" x14ac:dyDescent="0.25">
      <c r="A6" s="33" t="s">
        <v>77</v>
      </c>
      <c r="B6" s="214">
        <v>14921</v>
      </c>
      <c r="C6" s="214">
        <v>109565718.13000001</v>
      </c>
      <c r="D6" s="214">
        <v>17952379.009999998</v>
      </c>
      <c r="E6" s="214">
        <v>11372841.779999999</v>
      </c>
      <c r="F6" s="214">
        <v>10290659.110000003</v>
      </c>
      <c r="G6" s="214">
        <v>17916442.810000002</v>
      </c>
      <c r="H6" s="214">
        <v>7793296.4900000002</v>
      </c>
      <c r="I6" s="214">
        <v>11096356.16</v>
      </c>
      <c r="J6" s="214">
        <v>16318014.279999999</v>
      </c>
      <c r="K6" s="214">
        <f t="shared" si="0"/>
        <v>202305707.77000004</v>
      </c>
      <c r="N6" s="214"/>
      <c r="O6" s="294"/>
      <c r="P6" s="293"/>
      <c r="Q6" s="293"/>
      <c r="R6" s="293"/>
      <c r="S6" s="293"/>
      <c r="T6" s="293"/>
      <c r="U6" s="293"/>
      <c r="V6" s="293"/>
      <c r="W6" s="293"/>
      <c r="X6" s="293"/>
    </row>
    <row r="7" spans="1:24" ht="15" x14ac:dyDescent="0.25">
      <c r="A7" s="33" t="s">
        <v>78</v>
      </c>
      <c r="B7" s="214">
        <v>12983</v>
      </c>
      <c r="C7" s="214">
        <v>96463233.710000008</v>
      </c>
      <c r="D7" s="214">
        <v>10208556.629999997</v>
      </c>
      <c r="E7" s="214">
        <v>13144292.319999998</v>
      </c>
      <c r="F7" s="214">
        <v>7299921.2999999989</v>
      </c>
      <c r="G7" s="214">
        <v>20504278.789999995</v>
      </c>
      <c r="H7" s="214">
        <v>8828726.7599999998</v>
      </c>
      <c r="I7" s="214">
        <v>13225224.590000004</v>
      </c>
      <c r="J7" s="214">
        <v>8250319.3099999996</v>
      </c>
      <c r="K7" s="214">
        <f t="shared" si="0"/>
        <v>177924553.41</v>
      </c>
      <c r="N7" s="214"/>
      <c r="O7" s="294"/>
      <c r="P7" s="293"/>
      <c r="Q7" s="293"/>
      <c r="R7" s="293"/>
      <c r="S7" s="293"/>
      <c r="T7" s="293"/>
      <c r="U7" s="293"/>
      <c r="V7" s="293"/>
      <c r="W7" s="293"/>
      <c r="X7" s="293"/>
    </row>
    <row r="8" spans="1:24" ht="15" x14ac:dyDescent="0.25">
      <c r="A8" s="33" t="s">
        <v>79</v>
      </c>
      <c r="B8" s="214">
        <v>4802</v>
      </c>
      <c r="C8" s="214">
        <v>44516921.940000005</v>
      </c>
      <c r="D8" s="214">
        <v>4186524.0900000003</v>
      </c>
      <c r="E8" s="214">
        <v>8674558.1999999993</v>
      </c>
      <c r="F8" s="214">
        <v>3131407.0199999996</v>
      </c>
      <c r="G8" s="214">
        <v>10030612.699999997</v>
      </c>
      <c r="H8" s="214">
        <v>4957822.42</v>
      </c>
      <c r="I8" s="214">
        <v>6297301.2299999977</v>
      </c>
      <c r="J8" s="214">
        <v>9652607.7999999989</v>
      </c>
      <c r="K8" s="214">
        <f t="shared" si="0"/>
        <v>91447755.400000006</v>
      </c>
      <c r="N8" s="214"/>
      <c r="O8" s="294"/>
      <c r="P8" s="293"/>
      <c r="Q8" s="293"/>
      <c r="R8" s="293"/>
      <c r="S8" s="293"/>
      <c r="T8" s="293"/>
      <c r="U8" s="293"/>
      <c r="V8" s="293"/>
      <c r="W8" s="293"/>
      <c r="X8" s="293"/>
    </row>
    <row r="9" spans="1:24" ht="15" x14ac:dyDescent="0.25">
      <c r="A9" s="33" t="s">
        <v>80</v>
      </c>
      <c r="B9" s="220">
        <v>1384</v>
      </c>
      <c r="C9" s="220">
        <v>14220108.16</v>
      </c>
      <c r="D9" s="220">
        <v>549340.98</v>
      </c>
      <c r="E9" s="220">
        <v>2865484.88</v>
      </c>
      <c r="F9" s="220">
        <v>122509.16</v>
      </c>
      <c r="G9" s="220">
        <v>3348058.7499999995</v>
      </c>
      <c r="H9" s="220">
        <v>1618118.5400000003</v>
      </c>
      <c r="I9" s="220">
        <v>1089452.5400000003</v>
      </c>
      <c r="J9" s="220">
        <v>1090694.23</v>
      </c>
      <c r="K9" s="220">
        <f t="shared" si="0"/>
        <v>24903767.239999998</v>
      </c>
      <c r="N9" s="214"/>
      <c r="O9" s="294"/>
      <c r="P9" s="293"/>
      <c r="Q9" s="293"/>
      <c r="R9" s="293"/>
      <c r="S9" s="293"/>
      <c r="T9" s="293"/>
      <c r="U9" s="293"/>
      <c r="V9" s="293"/>
      <c r="W9" s="293"/>
      <c r="X9" s="293"/>
    </row>
    <row r="10" spans="1:24" x14ac:dyDescent="0.2">
      <c r="A10" s="182" t="s">
        <v>103</v>
      </c>
      <c r="B10" s="214">
        <f t="shared" ref="B10:K10" si="1">SUM(B4:B9)</f>
        <v>92935</v>
      </c>
      <c r="C10" s="214">
        <f t="shared" si="1"/>
        <v>677053252.38999999</v>
      </c>
      <c r="D10" s="214">
        <f t="shared" si="1"/>
        <v>126757112.39999999</v>
      </c>
      <c r="E10" s="214">
        <f t="shared" si="1"/>
        <v>71919502.25999999</v>
      </c>
      <c r="F10" s="214">
        <f t="shared" si="1"/>
        <v>62335414.319999993</v>
      </c>
      <c r="G10" s="214">
        <f t="shared" si="1"/>
        <v>112201909.36999999</v>
      </c>
      <c r="H10" s="214">
        <f t="shared" si="1"/>
        <v>55544080.210000001</v>
      </c>
      <c r="I10" s="214">
        <f t="shared" si="1"/>
        <v>61316483.090000004</v>
      </c>
      <c r="J10" s="214">
        <f t="shared" si="1"/>
        <v>100849745.23</v>
      </c>
      <c r="K10" s="214">
        <f t="shared" si="1"/>
        <v>1267977499.27</v>
      </c>
      <c r="N10" s="214"/>
    </row>
    <row r="11" spans="1:24" x14ac:dyDescent="0.2">
      <c r="A11" s="33"/>
      <c r="B11" s="214"/>
      <c r="C11" s="214"/>
      <c r="D11" s="214"/>
      <c r="E11" s="214"/>
      <c r="F11" s="214"/>
      <c r="G11" s="214"/>
      <c r="H11" s="214"/>
      <c r="I11" s="214"/>
      <c r="J11" s="214"/>
      <c r="K11" s="182"/>
      <c r="N11" s="214"/>
    </row>
    <row r="12" spans="1:24" ht="15" x14ac:dyDescent="0.25">
      <c r="A12" s="33" t="s">
        <v>81</v>
      </c>
      <c r="B12" s="214">
        <v>22026</v>
      </c>
      <c r="C12" s="214">
        <v>142241157.46000001</v>
      </c>
      <c r="D12" s="214">
        <v>23279749.449999999</v>
      </c>
      <c r="E12" s="214">
        <v>11315268.369999999</v>
      </c>
      <c r="F12" s="214">
        <v>16235845.5</v>
      </c>
      <c r="G12" s="214">
        <v>28027513.990000002</v>
      </c>
      <c r="H12" s="214">
        <v>11557361.569999998</v>
      </c>
      <c r="I12" s="214">
        <v>24522680.949999999</v>
      </c>
      <c r="J12" s="214">
        <v>32606038.999999996</v>
      </c>
      <c r="K12" s="214">
        <f>SUM(C12:J12)</f>
        <v>289785616.28999996</v>
      </c>
      <c r="N12" s="214"/>
      <c r="O12" s="294"/>
      <c r="P12" s="293"/>
      <c r="Q12" s="293"/>
      <c r="R12" s="293"/>
      <c r="S12" s="293"/>
      <c r="T12" s="293"/>
      <c r="U12" s="293"/>
      <c r="V12" s="293"/>
      <c r="W12" s="293"/>
      <c r="X12" s="293"/>
    </row>
    <row r="13" spans="1:24" ht="15" x14ac:dyDescent="0.25">
      <c r="A13" s="33" t="s">
        <v>82</v>
      </c>
      <c r="B13" s="214">
        <v>6094</v>
      </c>
      <c r="C13" s="214">
        <v>34310193.25</v>
      </c>
      <c r="D13" s="214">
        <v>6599485.2599999998</v>
      </c>
      <c r="E13" s="214">
        <v>4364000.66</v>
      </c>
      <c r="F13" s="214">
        <v>4892263.5599999996</v>
      </c>
      <c r="G13" s="214">
        <v>8356140.6500000004</v>
      </c>
      <c r="H13" s="214">
        <v>4664583.76</v>
      </c>
      <c r="I13" s="214">
        <v>10217020.59</v>
      </c>
      <c r="J13" s="214">
        <v>8084285.9999999991</v>
      </c>
      <c r="K13" s="214">
        <f>SUM(C13:J13)</f>
        <v>81487973.730000004</v>
      </c>
      <c r="N13" s="214"/>
      <c r="O13" s="294"/>
      <c r="P13" s="293"/>
      <c r="Q13" s="293"/>
      <c r="R13" s="293"/>
      <c r="S13" s="293"/>
      <c r="T13" s="293"/>
      <c r="U13" s="293"/>
      <c r="V13" s="293"/>
      <c r="W13" s="293"/>
      <c r="X13" s="293"/>
    </row>
    <row r="14" spans="1:24" ht="15" x14ac:dyDescent="0.25">
      <c r="A14" s="33" t="s">
        <v>83</v>
      </c>
      <c r="B14" s="214">
        <v>5366</v>
      </c>
      <c r="C14" s="214">
        <v>33676244.579999991</v>
      </c>
      <c r="D14" s="214">
        <v>4604794.49</v>
      </c>
      <c r="E14" s="214">
        <v>5666953.7000000002</v>
      </c>
      <c r="F14" s="214">
        <v>4972614.7599999988</v>
      </c>
      <c r="G14" s="214">
        <v>8859208.7400000002</v>
      </c>
      <c r="H14" s="214">
        <v>5289604.8599999994</v>
      </c>
      <c r="I14" s="214">
        <v>9563070.4000000022</v>
      </c>
      <c r="J14" s="214">
        <v>8130092.8300000001</v>
      </c>
      <c r="K14" s="214">
        <f>SUM(C14:J14)</f>
        <v>80762584.359999999</v>
      </c>
      <c r="N14" s="214"/>
      <c r="O14" s="294"/>
      <c r="P14" s="293"/>
      <c r="Q14" s="293"/>
      <c r="R14" s="293"/>
      <c r="S14" s="293"/>
      <c r="T14" s="293"/>
      <c r="U14" s="293"/>
      <c r="V14" s="293"/>
      <c r="W14" s="293"/>
      <c r="X14" s="293"/>
    </row>
    <row r="15" spans="1:24" ht="15" x14ac:dyDescent="0.25">
      <c r="A15" s="33" t="s">
        <v>84</v>
      </c>
      <c r="B15" s="214">
        <v>3820</v>
      </c>
      <c r="C15" s="214">
        <v>29220695.259999994</v>
      </c>
      <c r="D15" s="214">
        <v>4172488.4899999998</v>
      </c>
      <c r="E15" s="214">
        <v>6594688.0300000012</v>
      </c>
      <c r="F15" s="214">
        <v>3875386.9699999997</v>
      </c>
      <c r="G15" s="214">
        <v>10246516.169999998</v>
      </c>
      <c r="H15" s="214">
        <v>6328231.6100000022</v>
      </c>
      <c r="I15" s="214">
        <v>7351384.2500000019</v>
      </c>
      <c r="J15" s="214">
        <v>3548011.6599999997</v>
      </c>
      <c r="K15" s="214">
        <f>SUM(C15:J15)</f>
        <v>71337402.439999983</v>
      </c>
      <c r="N15" s="214"/>
      <c r="O15" s="294"/>
      <c r="P15" s="293"/>
      <c r="Q15" s="293"/>
      <c r="R15" s="293"/>
      <c r="S15" s="293"/>
      <c r="T15" s="293"/>
      <c r="U15" s="293"/>
      <c r="V15" s="293"/>
      <c r="W15" s="293"/>
      <c r="X15" s="293"/>
    </row>
    <row r="16" spans="1:24" ht="15" x14ac:dyDescent="0.25">
      <c r="A16" s="33" t="s">
        <v>85</v>
      </c>
      <c r="B16" s="220">
        <v>1372</v>
      </c>
      <c r="C16" s="220">
        <v>15515513</v>
      </c>
      <c r="D16" s="220">
        <v>1075827.23</v>
      </c>
      <c r="E16" s="220">
        <v>5581158.79</v>
      </c>
      <c r="F16" s="220">
        <v>1214191.76</v>
      </c>
      <c r="G16" s="220">
        <v>5919502.6900000013</v>
      </c>
      <c r="H16" s="220">
        <v>3500343.3999999994</v>
      </c>
      <c r="I16" s="220">
        <v>4259894.6100000003</v>
      </c>
      <c r="J16" s="220">
        <v>1973884.8399999999</v>
      </c>
      <c r="K16" s="220">
        <f>SUM(C16:J16)</f>
        <v>39040316.320000008</v>
      </c>
      <c r="N16" s="214"/>
      <c r="O16" s="294"/>
      <c r="P16" s="293"/>
      <c r="Q16" s="293"/>
      <c r="R16" s="293"/>
      <c r="S16" s="293"/>
      <c r="T16" s="293"/>
      <c r="U16" s="293"/>
      <c r="V16" s="293"/>
      <c r="W16" s="293"/>
      <c r="X16" s="293"/>
    </row>
    <row r="17" spans="1:24" x14ac:dyDescent="0.2">
      <c r="A17" s="182" t="s">
        <v>104</v>
      </c>
      <c r="B17" s="214">
        <f t="shared" ref="B17:K17" si="2">SUM(B12:B16)</f>
        <v>38678</v>
      </c>
      <c r="C17" s="214">
        <f t="shared" si="2"/>
        <v>254963803.54999998</v>
      </c>
      <c r="D17" s="214">
        <f t="shared" si="2"/>
        <v>39732344.920000002</v>
      </c>
      <c r="E17" s="214">
        <f t="shared" si="2"/>
        <v>33522069.550000001</v>
      </c>
      <c r="F17" s="214">
        <f t="shared" si="2"/>
        <v>31190302.549999997</v>
      </c>
      <c r="G17" s="214">
        <f t="shared" si="2"/>
        <v>61408882.239999995</v>
      </c>
      <c r="H17" s="214">
        <f t="shared" si="2"/>
        <v>31340125.199999999</v>
      </c>
      <c r="I17" s="214">
        <f t="shared" si="2"/>
        <v>55914050.799999997</v>
      </c>
      <c r="J17" s="214">
        <f t="shared" si="2"/>
        <v>54342314.329999983</v>
      </c>
      <c r="K17" s="214">
        <f t="shared" si="2"/>
        <v>562413893.13999999</v>
      </c>
    </row>
    <row r="18" spans="1:24" x14ac:dyDescent="0.2">
      <c r="A18" s="33"/>
      <c r="B18" s="214"/>
      <c r="C18" s="214"/>
      <c r="D18" s="214"/>
      <c r="E18" s="214"/>
      <c r="F18" s="214"/>
      <c r="G18" s="214"/>
      <c r="H18" s="214"/>
      <c r="I18" s="214"/>
      <c r="J18" s="214"/>
      <c r="K18" s="182"/>
    </row>
    <row r="19" spans="1:24" ht="15" x14ac:dyDescent="0.25">
      <c r="A19" s="33" t="s">
        <v>86</v>
      </c>
      <c r="B19" s="214">
        <v>14822</v>
      </c>
      <c r="C19" s="214">
        <v>99411067.939999998</v>
      </c>
      <c r="D19" s="214">
        <v>13113152.27</v>
      </c>
      <c r="E19" s="214">
        <v>10739538.000000002</v>
      </c>
      <c r="F19" s="214">
        <v>10185772.51</v>
      </c>
      <c r="G19" s="214">
        <v>19294261.909999996</v>
      </c>
      <c r="H19" s="214">
        <v>10991929.200000001</v>
      </c>
      <c r="I19" s="214">
        <v>15309176.960000001</v>
      </c>
      <c r="J19" s="214">
        <v>23435030.119999997</v>
      </c>
      <c r="K19" s="214">
        <f>SUM(C19:J19)</f>
        <v>202479928.91</v>
      </c>
      <c r="O19" s="294"/>
      <c r="P19" s="293"/>
      <c r="Q19" s="293"/>
      <c r="R19" s="293"/>
      <c r="S19" s="293"/>
      <c r="T19" s="293"/>
      <c r="U19" s="293"/>
      <c r="V19" s="293"/>
      <c r="W19" s="293"/>
      <c r="X19" s="293"/>
    </row>
    <row r="20" spans="1:24" ht="15" x14ac:dyDescent="0.25">
      <c r="A20" s="33" t="s">
        <v>87</v>
      </c>
      <c r="B20" s="233">
        <v>7280</v>
      </c>
      <c r="C20" s="234">
        <v>69274899.310000002</v>
      </c>
      <c r="D20" s="234">
        <v>4602272.7100000018</v>
      </c>
      <c r="E20" s="234">
        <v>14616250.389999995</v>
      </c>
      <c r="F20" s="234">
        <v>4929258.3599999994</v>
      </c>
      <c r="G20" s="234">
        <v>19939730.98</v>
      </c>
      <c r="H20" s="234">
        <v>8575308.4499999993</v>
      </c>
      <c r="I20" s="234">
        <v>13864373.859999998</v>
      </c>
      <c r="J20" s="220">
        <v>6030551.5199999986</v>
      </c>
      <c r="K20" s="220">
        <f>SUM(C20:J20)</f>
        <v>141832645.58000001</v>
      </c>
      <c r="O20" s="294"/>
      <c r="P20" s="293"/>
      <c r="Q20" s="293"/>
      <c r="R20" s="293"/>
      <c r="S20" s="293"/>
      <c r="T20" s="293"/>
      <c r="U20" s="293"/>
      <c r="V20" s="293"/>
      <c r="W20" s="293"/>
      <c r="X20" s="293"/>
    </row>
    <row r="21" spans="1:24" x14ac:dyDescent="0.2">
      <c r="A21" s="182" t="s">
        <v>105</v>
      </c>
      <c r="B21" s="214">
        <f t="shared" ref="B21:K21" si="3">SUM(B19:B20)</f>
        <v>22102</v>
      </c>
      <c r="C21" s="214">
        <f t="shared" si="3"/>
        <v>168685967.25</v>
      </c>
      <c r="D21" s="214">
        <f t="shared" si="3"/>
        <v>17715424.98</v>
      </c>
      <c r="E21" s="214">
        <f t="shared" si="3"/>
        <v>25355788.389999997</v>
      </c>
      <c r="F21" s="214">
        <f t="shared" si="3"/>
        <v>15115030.869999999</v>
      </c>
      <c r="G21" s="214">
        <f t="shared" si="3"/>
        <v>39233992.890000001</v>
      </c>
      <c r="H21" s="214">
        <f t="shared" si="3"/>
        <v>19567237.649999999</v>
      </c>
      <c r="I21" s="214">
        <f t="shared" si="3"/>
        <v>29173550.82</v>
      </c>
      <c r="J21" s="214">
        <f t="shared" si="3"/>
        <v>29465581.639999997</v>
      </c>
      <c r="K21" s="214">
        <f t="shared" si="3"/>
        <v>344312574.49000001</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153715</v>
      </c>
      <c r="C23" s="222">
        <f t="shared" si="4"/>
        <v>1100703023.1900001</v>
      </c>
      <c r="D23" s="222">
        <f t="shared" si="4"/>
        <v>184204882.30000001</v>
      </c>
      <c r="E23" s="222">
        <f t="shared" si="4"/>
        <v>130797360.19999999</v>
      </c>
      <c r="F23" s="222">
        <f t="shared" si="4"/>
        <v>108640747.73999998</v>
      </c>
      <c r="G23" s="222">
        <f t="shared" si="4"/>
        <v>212844784.5</v>
      </c>
      <c r="H23" s="222">
        <f t="shared" si="4"/>
        <v>106451443.06</v>
      </c>
      <c r="I23" s="222">
        <f t="shared" si="4"/>
        <v>146404084.71000001</v>
      </c>
      <c r="J23" s="222">
        <f t="shared" si="4"/>
        <v>184657641.19999999</v>
      </c>
      <c r="K23" s="222">
        <f t="shared" si="4"/>
        <v>2174703966.9000001</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FY2022</v>
      </c>
      <c r="C26" s="22"/>
      <c r="D26" s="22"/>
      <c r="E26" s="22"/>
      <c r="F26" s="22"/>
      <c r="G26" s="22"/>
      <c r="H26" s="22"/>
      <c r="I26" s="22"/>
      <c r="J26" s="22"/>
      <c r="K26" s="22"/>
    </row>
    <row r="27" spans="1:24" ht="39" customHeight="1" x14ac:dyDescent="0.2">
      <c r="A27" s="21" t="s">
        <v>245</v>
      </c>
      <c r="B27" s="21" t="str">
        <f>B3</f>
        <v>ANB22</v>
      </c>
      <c r="C27" s="21" t="str">
        <f t="shared" ref="C27:K27" si="5">C3</f>
        <v>22/Pupil Instruction</v>
      </c>
      <c r="D27" s="21" t="str">
        <f t="shared" si="5"/>
        <v>22/Pupil Student Services</v>
      </c>
      <c r="E27" s="21" t="str">
        <f t="shared" si="5"/>
        <v>22/Pupil General Admin</v>
      </c>
      <c r="F27" s="21" t="str">
        <f t="shared" si="5"/>
        <v>22/Pupil Bldg Admin</v>
      </c>
      <c r="G27" s="21" t="str">
        <f t="shared" si="5"/>
        <v>22/Pupil Bldg OM</v>
      </c>
      <c r="H27" s="21" t="str">
        <f t="shared" si="5"/>
        <v>22/Pupil Transport</v>
      </c>
      <c r="I27" s="21" t="str">
        <f t="shared" si="5"/>
        <v>22/Pupil Other</v>
      </c>
      <c r="J27" s="21" t="str">
        <f t="shared" si="5"/>
        <v>22/Pupil Bonds/ Facilities</v>
      </c>
      <c r="K27" s="21" t="str">
        <f t="shared" si="5"/>
        <v>22/Pupil Total</v>
      </c>
    </row>
    <row r="28" spans="1:24" x14ac:dyDescent="0.2">
      <c r="A28" s="182" t="s">
        <v>102</v>
      </c>
      <c r="B28" s="214">
        <f t="shared" ref="B28:B33" si="6">B4</f>
        <v>41340</v>
      </c>
      <c r="C28" s="182">
        <f t="shared" ref="C28:K34" si="7">C4/$B28</f>
        <v>7037.2510541848069</v>
      </c>
      <c r="D28" s="182">
        <f t="shared" si="7"/>
        <v>1592.6980147556847</v>
      </c>
      <c r="E28" s="182">
        <f t="shared" si="7"/>
        <v>541.60516666666672</v>
      </c>
      <c r="F28" s="182">
        <f t="shared" si="7"/>
        <v>693.69146008708265</v>
      </c>
      <c r="G28" s="182">
        <f t="shared" si="7"/>
        <v>951.90501523947751</v>
      </c>
      <c r="H28" s="182">
        <f t="shared" si="7"/>
        <v>527.08831833575221</v>
      </c>
      <c r="I28" s="182">
        <f t="shared" si="7"/>
        <v>414.83324383164006</v>
      </c>
      <c r="J28" s="182">
        <f t="shared" si="7"/>
        <v>1094.6359392839863</v>
      </c>
      <c r="K28" s="182">
        <f t="shared" si="7"/>
        <v>12853.708212385096</v>
      </c>
    </row>
    <row r="29" spans="1:24" ht="15" x14ac:dyDescent="0.25">
      <c r="A29" s="182" t="s">
        <v>76</v>
      </c>
      <c r="B29" s="214">
        <f t="shared" si="6"/>
        <v>17505</v>
      </c>
      <c r="C29" s="182">
        <f t="shared" si="7"/>
        <v>6933.2940228506122</v>
      </c>
      <c r="D29" s="182">
        <f t="shared" si="7"/>
        <v>1600.5813059125965</v>
      </c>
      <c r="E29" s="182">
        <f t="shared" si="7"/>
        <v>769.62967666381041</v>
      </c>
      <c r="F29" s="182">
        <f t="shared" si="7"/>
        <v>732.0030145672664</v>
      </c>
      <c r="G29" s="182">
        <f t="shared" si="7"/>
        <v>1202.557154527278</v>
      </c>
      <c r="H29" s="182">
        <f t="shared" si="7"/>
        <v>603.04398286203946</v>
      </c>
      <c r="I29" s="182">
        <f t="shared" si="7"/>
        <v>711.73620508426177</v>
      </c>
      <c r="J29" s="182">
        <f t="shared" si="7"/>
        <v>1158.8608900314196</v>
      </c>
      <c r="K29" s="182">
        <f t="shared" si="7"/>
        <v>13711.706252499285</v>
      </c>
      <c r="O29" s="247"/>
      <c r="P29" s="273"/>
      <c r="Q29" s="273"/>
      <c r="R29" s="273"/>
      <c r="S29" s="273"/>
      <c r="T29" s="273"/>
      <c r="U29" s="273"/>
    </row>
    <row r="30" spans="1:24" ht="15" x14ac:dyDescent="0.25">
      <c r="A30" s="182" t="s">
        <v>77</v>
      </c>
      <c r="B30" s="214">
        <f t="shared" si="6"/>
        <v>14921</v>
      </c>
      <c r="C30" s="182">
        <f t="shared" si="7"/>
        <v>7343.0546297165074</v>
      </c>
      <c r="D30" s="182">
        <f t="shared" si="7"/>
        <v>1203.161920112593</v>
      </c>
      <c r="E30" s="182">
        <f t="shared" si="7"/>
        <v>762.20372495141066</v>
      </c>
      <c r="F30" s="182">
        <f t="shared" si="7"/>
        <v>689.67623550700375</v>
      </c>
      <c r="G30" s="182">
        <f t="shared" si="7"/>
        <v>1200.7534890422896</v>
      </c>
      <c r="H30" s="182">
        <f t="shared" si="7"/>
        <v>522.30389987266267</v>
      </c>
      <c r="I30" s="182">
        <f t="shared" si="7"/>
        <v>743.67375913142553</v>
      </c>
      <c r="J30" s="182">
        <f t="shared" si="7"/>
        <v>1093.6273895851484</v>
      </c>
      <c r="K30" s="182">
        <f t="shared" si="7"/>
        <v>13558.455047919044</v>
      </c>
      <c r="O30" s="247"/>
      <c r="P30" s="273"/>
      <c r="Q30" s="273"/>
      <c r="R30" s="273"/>
      <c r="S30" s="273"/>
      <c r="T30" s="273"/>
      <c r="U30" s="273"/>
    </row>
    <row r="31" spans="1:24" ht="15" x14ac:dyDescent="0.25">
      <c r="A31" s="182" t="s">
        <v>78</v>
      </c>
      <c r="B31" s="214">
        <f t="shared" si="6"/>
        <v>12983</v>
      </c>
      <c r="C31" s="182">
        <f t="shared" si="7"/>
        <v>7429.9648548101368</v>
      </c>
      <c r="D31" s="182">
        <f t="shared" si="7"/>
        <v>786.30182777478217</v>
      </c>
      <c r="E31" s="182">
        <f t="shared" si="7"/>
        <v>1012.4233474543632</v>
      </c>
      <c r="F31" s="182">
        <f t="shared" si="7"/>
        <v>562.26768081337127</v>
      </c>
      <c r="G31" s="182">
        <f t="shared" si="7"/>
        <v>1579.3174759300621</v>
      </c>
      <c r="H31" s="182">
        <f t="shared" si="7"/>
        <v>680.02208734498959</v>
      </c>
      <c r="I31" s="182">
        <f t="shared" si="7"/>
        <v>1018.6570584610647</v>
      </c>
      <c r="J31" s="182">
        <f t="shared" si="7"/>
        <v>635.47094739274428</v>
      </c>
      <c r="K31" s="182">
        <f t="shared" si="7"/>
        <v>13704.425279981515</v>
      </c>
      <c r="O31" s="247"/>
      <c r="P31" s="273"/>
      <c r="Q31" s="273"/>
      <c r="R31" s="273"/>
      <c r="S31" s="273"/>
      <c r="T31" s="273"/>
      <c r="U31" s="273"/>
    </row>
    <row r="32" spans="1:24" ht="15" x14ac:dyDescent="0.25">
      <c r="A32" s="182" t="s">
        <v>79</v>
      </c>
      <c r="B32" s="214">
        <f t="shared" si="6"/>
        <v>4802</v>
      </c>
      <c r="C32" s="182">
        <f t="shared" si="7"/>
        <v>9270.4960308204918</v>
      </c>
      <c r="D32" s="182">
        <f t="shared" si="7"/>
        <v>871.8292565597668</v>
      </c>
      <c r="E32" s="182">
        <f t="shared" si="7"/>
        <v>1806.44693877551</v>
      </c>
      <c r="F32" s="182">
        <f t="shared" si="7"/>
        <v>652.10475218658883</v>
      </c>
      <c r="G32" s="182">
        <f t="shared" si="7"/>
        <v>2088.8406289046225</v>
      </c>
      <c r="H32" s="182">
        <f t="shared" si="7"/>
        <v>1032.4494835485214</v>
      </c>
      <c r="I32" s="182">
        <f t="shared" si="7"/>
        <v>1311.3913431903368</v>
      </c>
      <c r="J32" s="182">
        <f t="shared" si="7"/>
        <v>2010.1224073302787</v>
      </c>
      <c r="K32" s="182">
        <f t="shared" si="7"/>
        <v>19043.68084131612</v>
      </c>
      <c r="O32" s="247"/>
      <c r="P32" s="273"/>
      <c r="Q32" s="273"/>
      <c r="R32" s="273"/>
      <c r="S32" s="273"/>
      <c r="T32" s="273"/>
      <c r="U32" s="273"/>
    </row>
    <row r="33" spans="1:21" ht="15" x14ac:dyDescent="0.25">
      <c r="A33" s="182" t="s">
        <v>80</v>
      </c>
      <c r="B33" s="220">
        <f t="shared" si="6"/>
        <v>1384</v>
      </c>
      <c r="C33" s="183">
        <f t="shared" si="7"/>
        <v>10274.644624277456</v>
      </c>
      <c r="D33" s="183">
        <f t="shared" si="7"/>
        <v>396.92267341040463</v>
      </c>
      <c r="E33" s="183">
        <f t="shared" si="7"/>
        <v>2070.4370520231214</v>
      </c>
      <c r="F33" s="183">
        <f t="shared" si="7"/>
        <v>88.518179190751454</v>
      </c>
      <c r="G33" s="183">
        <f t="shared" si="7"/>
        <v>2419.1175939306354</v>
      </c>
      <c r="H33" s="183">
        <f t="shared" si="7"/>
        <v>1169.1607947976881</v>
      </c>
      <c r="I33" s="183">
        <f t="shared" si="7"/>
        <v>787.17669075144534</v>
      </c>
      <c r="J33" s="183">
        <f t="shared" si="7"/>
        <v>788.07386560693635</v>
      </c>
      <c r="K33" s="183">
        <f t="shared" si="7"/>
        <v>17994.051473988438</v>
      </c>
      <c r="O33" s="247"/>
      <c r="P33" s="273"/>
      <c r="Q33" s="273"/>
      <c r="R33" s="273"/>
      <c r="S33" s="273"/>
      <c r="T33" s="273"/>
      <c r="U33" s="273"/>
    </row>
    <row r="34" spans="1:21" ht="15" x14ac:dyDescent="0.25">
      <c r="A34" s="182" t="s">
        <v>219</v>
      </c>
      <c r="B34" s="214">
        <f>SUM(B28:B33)</f>
        <v>92935</v>
      </c>
      <c r="C34" s="182">
        <f t="shared" si="7"/>
        <v>7285.2343292623873</v>
      </c>
      <c r="D34" s="182">
        <f t="shared" si="7"/>
        <v>1363.9329897240004</v>
      </c>
      <c r="E34" s="182">
        <f t="shared" si="7"/>
        <v>773.86885737343289</v>
      </c>
      <c r="F34" s="182">
        <f t="shared" si="7"/>
        <v>670.74207047936727</v>
      </c>
      <c r="G34" s="182">
        <f t="shared" si="7"/>
        <v>1207.3159667509549</v>
      </c>
      <c r="H34" s="182">
        <f t="shared" si="7"/>
        <v>597.66589777801687</v>
      </c>
      <c r="I34" s="182">
        <f t="shared" si="7"/>
        <v>659.77815774466023</v>
      </c>
      <c r="J34" s="182">
        <f t="shared" si="7"/>
        <v>1085.1643108624307</v>
      </c>
      <c r="K34" s="182">
        <f t="shared" si="7"/>
        <v>13643.702579975252</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22026</v>
      </c>
      <c r="C36" s="182">
        <f t="shared" ref="C36:K41" si="8">C12/$B36</f>
        <v>6457.8751230364123</v>
      </c>
      <c r="D36" s="182">
        <f t="shared" si="8"/>
        <v>1056.9213406882775</v>
      </c>
      <c r="E36" s="182">
        <f t="shared" si="8"/>
        <v>513.72325297375824</v>
      </c>
      <c r="F36" s="182">
        <f t="shared" si="8"/>
        <v>737.12183328793242</v>
      </c>
      <c r="G36" s="182">
        <f t="shared" si="8"/>
        <v>1272.4740756378826</v>
      </c>
      <c r="H36" s="182">
        <f t="shared" si="8"/>
        <v>524.71449968219372</v>
      </c>
      <c r="I36" s="182">
        <f t="shared" si="8"/>
        <v>1113.3515368201217</v>
      </c>
      <c r="J36" s="182">
        <f t="shared" si="8"/>
        <v>1480.3431853264321</v>
      </c>
      <c r="K36" s="182">
        <f t="shared" si="8"/>
        <v>13156.524847453009</v>
      </c>
      <c r="O36" s="247"/>
      <c r="P36" s="273"/>
      <c r="Q36" s="273"/>
      <c r="R36" s="273"/>
      <c r="S36" s="273"/>
      <c r="T36" s="273"/>
      <c r="U36" s="273"/>
    </row>
    <row r="37" spans="1:21" ht="15" x14ac:dyDescent="0.25">
      <c r="A37" s="182" t="s">
        <v>82</v>
      </c>
      <c r="B37" s="214">
        <f>B13</f>
        <v>6094</v>
      </c>
      <c r="C37" s="182">
        <f t="shared" si="8"/>
        <v>5630.1597062684605</v>
      </c>
      <c r="D37" s="182">
        <f t="shared" si="8"/>
        <v>1082.948024286183</v>
      </c>
      <c r="E37" s="182">
        <f t="shared" si="8"/>
        <v>716.11431900229741</v>
      </c>
      <c r="F37" s="182">
        <f t="shared" si="8"/>
        <v>802.80005907449947</v>
      </c>
      <c r="G37" s="182">
        <f t="shared" si="8"/>
        <v>1371.2078519855597</v>
      </c>
      <c r="H37" s="182">
        <f t="shared" si="8"/>
        <v>765.43875287167702</v>
      </c>
      <c r="I37" s="182">
        <f t="shared" si="8"/>
        <v>1676.5704939284542</v>
      </c>
      <c r="J37" s="182">
        <f t="shared" si="8"/>
        <v>1326.5976370200196</v>
      </c>
      <c r="K37" s="182">
        <f t="shared" si="8"/>
        <v>13371.836844437152</v>
      </c>
      <c r="O37" s="247"/>
      <c r="P37" s="273"/>
      <c r="Q37" s="273"/>
      <c r="R37" s="273"/>
      <c r="S37" s="273"/>
      <c r="T37" s="273"/>
      <c r="U37" s="273"/>
    </row>
    <row r="38" spans="1:21" ht="15" x14ac:dyDescent="0.25">
      <c r="A38" s="182" t="s">
        <v>83</v>
      </c>
      <c r="B38" s="214">
        <f>B14</f>
        <v>5366</v>
      </c>
      <c r="C38" s="182">
        <f t="shared" si="8"/>
        <v>6275.8562392843814</v>
      </c>
      <c r="D38" s="182">
        <f t="shared" si="8"/>
        <v>858.14284196794642</v>
      </c>
      <c r="E38" s="182">
        <f t="shared" si="8"/>
        <v>1056.0852963101006</v>
      </c>
      <c r="F38" s="182">
        <f t="shared" si="8"/>
        <v>926.68929556466617</v>
      </c>
      <c r="G38" s="182">
        <f t="shared" si="8"/>
        <v>1650.9893291092062</v>
      </c>
      <c r="H38" s="182">
        <f t="shared" si="8"/>
        <v>985.76311218784929</v>
      </c>
      <c r="I38" s="182">
        <f t="shared" si="8"/>
        <v>1782.1599701826317</v>
      </c>
      <c r="J38" s="182">
        <f t="shared" si="8"/>
        <v>1515.1123425270221</v>
      </c>
      <c r="K38" s="182">
        <f t="shared" si="8"/>
        <v>15050.798427133805</v>
      </c>
      <c r="O38" s="247"/>
      <c r="P38" s="273"/>
      <c r="Q38" s="273"/>
      <c r="R38" s="273"/>
      <c r="S38" s="273"/>
      <c r="T38" s="273"/>
      <c r="U38" s="273"/>
    </row>
    <row r="39" spans="1:21" ht="15" x14ac:dyDescent="0.25">
      <c r="A39" s="182" t="s">
        <v>84</v>
      </c>
      <c r="B39" s="214">
        <f>B15</f>
        <v>3820</v>
      </c>
      <c r="C39" s="182">
        <f t="shared" si="8"/>
        <v>7649.3966649214644</v>
      </c>
      <c r="D39" s="182">
        <f t="shared" si="8"/>
        <v>1092.2744738219894</v>
      </c>
      <c r="E39" s="182">
        <f t="shared" si="8"/>
        <v>1726.3581230366494</v>
      </c>
      <c r="F39" s="182">
        <f t="shared" si="8"/>
        <v>1014.4992068062827</v>
      </c>
      <c r="G39" s="182">
        <f t="shared" si="8"/>
        <v>2682.3340759162297</v>
      </c>
      <c r="H39" s="182">
        <f t="shared" si="8"/>
        <v>1656.6051335078539</v>
      </c>
      <c r="I39" s="182">
        <f t="shared" si="8"/>
        <v>1924.446138743456</v>
      </c>
      <c r="J39" s="182">
        <f t="shared" si="8"/>
        <v>928.79886387434544</v>
      </c>
      <c r="K39" s="182">
        <f t="shared" si="8"/>
        <v>18674.712680628269</v>
      </c>
      <c r="O39" s="247"/>
      <c r="P39" s="273"/>
      <c r="Q39" s="273"/>
      <c r="R39" s="273"/>
      <c r="S39" s="273"/>
      <c r="T39" s="273"/>
      <c r="U39" s="273"/>
    </row>
    <row r="40" spans="1:21" ht="15" x14ac:dyDescent="0.25">
      <c r="A40" s="182" t="s">
        <v>85</v>
      </c>
      <c r="B40" s="220">
        <f>B16</f>
        <v>1372</v>
      </c>
      <c r="C40" s="183">
        <f t="shared" si="8"/>
        <v>11308.682944606415</v>
      </c>
      <c r="D40" s="183">
        <f t="shared" si="8"/>
        <v>784.13063411078713</v>
      </c>
      <c r="E40" s="183">
        <f t="shared" si="8"/>
        <v>4067.8999927113705</v>
      </c>
      <c r="F40" s="183">
        <f t="shared" si="8"/>
        <v>884.97941690962102</v>
      </c>
      <c r="G40" s="183">
        <f t="shared" si="8"/>
        <v>4314.5063338192431</v>
      </c>
      <c r="H40" s="183">
        <f t="shared" si="8"/>
        <v>2551.2706997084542</v>
      </c>
      <c r="I40" s="183">
        <f t="shared" si="8"/>
        <v>3104.8794533527698</v>
      </c>
      <c r="J40" s="183">
        <f t="shared" si="8"/>
        <v>1438.6915743440231</v>
      </c>
      <c r="K40" s="183">
        <f t="shared" si="8"/>
        <v>28455.041049562689</v>
      </c>
      <c r="O40" s="247"/>
      <c r="P40" s="273"/>
      <c r="Q40" s="273"/>
      <c r="R40" s="273"/>
      <c r="S40" s="273"/>
      <c r="T40" s="273"/>
      <c r="U40" s="273"/>
    </row>
    <row r="41" spans="1:21" ht="15" x14ac:dyDescent="0.25">
      <c r="A41" s="182" t="s">
        <v>220</v>
      </c>
      <c r="B41" s="214">
        <f>SUM(B36:B40)</f>
        <v>38678</v>
      </c>
      <c r="C41" s="182">
        <f t="shared" si="8"/>
        <v>6591.9593451057444</v>
      </c>
      <c r="D41" s="182">
        <f t="shared" si="8"/>
        <v>1027.2595511660377</v>
      </c>
      <c r="E41" s="182">
        <f t="shared" si="8"/>
        <v>866.69604297016394</v>
      </c>
      <c r="F41" s="182">
        <f t="shared" si="8"/>
        <v>806.4093942292775</v>
      </c>
      <c r="G41" s="182">
        <f t="shared" si="8"/>
        <v>1587.6953885929984</v>
      </c>
      <c r="H41" s="182">
        <f t="shared" si="8"/>
        <v>810.28298257407312</v>
      </c>
      <c r="I41" s="182">
        <f t="shared" si="8"/>
        <v>1445.6293189927089</v>
      </c>
      <c r="J41" s="182">
        <f t="shared" si="8"/>
        <v>1404.9928726924863</v>
      </c>
      <c r="K41" s="182">
        <f t="shared" si="8"/>
        <v>14540.924896323491</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14822</v>
      </c>
      <c r="C43" s="182">
        <f t="shared" ref="C43:K45" si="9">C19/$B43</f>
        <v>6706.9941937660233</v>
      </c>
      <c r="D43" s="182">
        <f t="shared" si="9"/>
        <v>884.70869450816349</v>
      </c>
      <c r="E43" s="182">
        <f t="shared" si="9"/>
        <v>724.56739981109172</v>
      </c>
      <c r="F43" s="182">
        <f t="shared" si="9"/>
        <v>687.20634934556733</v>
      </c>
      <c r="G43" s="182">
        <f t="shared" si="9"/>
        <v>1301.7313392254755</v>
      </c>
      <c r="H43" s="182">
        <f t="shared" si="9"/>
        <v>741.5955471596277</v>
      </c>
      <c r="I43" s="182">
        <f t="shared" si="9"/>
        <v>1032.8685035757658</v>
      </c>
      <c r="J43" s="182">
        <f t="shared" si="9"/>
        <v>1581.097700715153</v>
      </c>
      <c r="K43" s="182">
        <f t="shared" si="9"/>
        <v>13660.769728106869</v>
      </c>
    </row>
    <row r="44" spans="1:21" x14ac:dyDescent="0.2">
      <c r="A44" s="182" t="s">
        <v>87</v>
      </c>
      <c r="B44" s="220">
        <f>B20</f>
        <v>7280</v>
      </c>
      <c r="C44" s="183">
        <f t="shared" si="9"/>
        <v>9515.7828722527483</v>
      </c>
      <c r="D44" s="183">
        <f t="shared" si="9"/>
        <v>632.18031730769258</v>
      </c>
      <c r="E44" s="183">
        <f t="shared" si="9"/>
        <v>2007.7267019230762</v>
      </c>
      <c r="F44" s="183">
        <f t="shared" si="9"/>
        <v>677.09592857142854</v>
      </c>
      <c r="G44" s="183">
        <f t="shared" si="9"/>
        <v>2738.9740357142859</v>
      </c>
      <c r="H44" s="183">
        <f t="shared" si="9"/>
        <v>1177.9269848901097</v>
      </c>
      <c r="I44" s="183">
        <f t="shared" si="9"/>
        <v>1904.4469587912085</v>
      </c>
      <c r="J44" s="183">
        <f t="shared" si="9"/>
        <v>828.37246153846138</v>
      </c>
      <c r="K44" s="183">
        <f t="shared" si="9"/>
        <v>19482.506260989012</v>
      </c>
    </row>
    <row r="45" spans="1:21" x14ac:dyDescent="0.2">
      <c r="A45" s="182" t="s">
        <v>221</v>
      </c>
      <c r="B45" s="214">
        <f>SUM(B43:B44)</f>
        <v>22102</v>
      </c>
      <c r="C45" s="182">
        <f t="shared" si="9"/>
        <v>7632.1585037553159</v>
      </c>
      <c r="D45" s="182">
        <f t="shared" si="9"/>
        <v>801.53040358338615</v>
      </c>
      <c r="E45" s="182">
        <f t="shared" si="9"/>
        <v>1147.2169210931136</v>
      </c>
      <c r="F45" s="182">
        <f t="shared" si="9"/>
        <v>683.87615917111566</v>
      </c>
      <c r="G45" s="182">
        <f t="shared" si="9"/>
        <v>1775.1331503936296</v>
      </c>
      <c r="H45" s="182">
        <f t="shared" si="9"/>
        <v>885.31524975115371</v>
      </c>
      <c r="I45" s="182">
        <f t="shared" si="9"/>
        <v>1319.9507202968057</v>
      </c>
      <c r="J45" s="182">
        <f t="shared" si="9"/>
        <v>1333.1635888154917</v>
      </c>
      <c r="K45" s="182">
        <f t="shared" si="9"/>
        <v>15578.344696860013</v>
      </c>
    </row>
    <row r="46" spans="1:21" x14ac:dyDescent="0.2">
      <c r="A46" s="182"/>
      <c r="B46" s="214"/>
      <c r="C46" s="182"/>
      <c r="D46" s="182"/>
      <c r="E46" s="182"/>
      <c r="F46" s="182"/>
      <c r="G46" s="182"/>
      <c r="H46" s="182"/>
      <c r="I46" s="182"/>
      <c r="J46" s="182"/>
      <c r="K46" s="182"/>
    </row>
    <row r="47" spans="1:21" ht="13.5" thickBot="1" x14ac:dyDescent="0.25">
      <c r="A47" s="182" t="s">
        <v>222</v>
      </c>
      <c r="B47" s="222">
        <f>B45+B41+B34</f>
        <v>153715</v>
      </c>
      <c r="C47" s="222">
        <f t="shared" ref="C47:K47" si="10">C23/$B47</f>
        <v>7160.6741254269273</v>
      </c>
      <c r="D47" s="222">
        <f t="shared" si="10"/>
        <v>1198.353331164818</v>
      </c>
      <c r="E47" s="222">
        <f t="shared" si="10"/>
        <v>850.90824057509019</v>
      </c>
      <c r="F47" s="222">
        <f t="shared" si="10"/>
        <v>706.76737950102449</v>
      </c>
      <c r="G47" s="222">
        <f t="shared" si="10"/>
        <v>1384.6715317308006</v>
      </c>
      <c r="H47" s="222">
        <f t="shared" si="10"/>
        <v>692.52475724555188</v>
      </c>
      <c r="I47" s="222">
        <f t="shared" si="10"/>
        <v>952.43850444003522</v>
      </c>
      <c r="J47" s="222">
        <f t="shared" si="10"/>
        <v>1201.2987750056923</v>
      </c>
      <c r="K47" s="222">
        <f t="shared" si="10"/>
        <v>14147.63664508994</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FY2022</v>
      </c>
      <c r="D50" s="182"/>
      <c r="E50" s="182"/>
      <c r="F50" s="182"/>
      <c r="G50" s="182"/>
      <c r="H50" s="182"/>
      <c r="I50" s="182"/>
      <c r="J50" s="182"/>
      <c r="K50" s="182"/>
    </row>
    <row r="51" spans="1:11" ht="40.5" customHeight="1" x14ac:dyDescent="0.2">
      <c r="A51" s="21" t="s">
        <v>1207</v>
      </c>
      <c r="B51" s="21" t="str">
        <f>B3</f>
        <v>ANB22</v>
      </c>
      <c r="C51" s="21" t="str">
        <f t="shared" ref="C51:K51" si="11">C3</f>
        <v>22/Pupil Instruction</v>
      </c>
      <c r="D51" s="21" t="str">
        <f t="shared" si="11"/>
        <v>22/Pupil Student Services</v>
      </c>
      <c r="E51" s="21" t="str">
        <f t="shared" si="11"/>
        <v>22/Pupil General Admin</v>
      </c>
      <c r="F51" s="21" t="str">
        <f t="shared" si="11"/>
        <v>22/Pupil Bldg Admin</v>
      </c>
      <c r="G51" s="21" t="str">
        <f t="shared" si="11"/>
        <v>22/Pupil Bldg OM</v>
      </c>
      <c r="H51" s="21" t="str">
        <f t="shared" si="11"/>
        <v>22/Pupil Transport</v>
      </c>
      <c r="I51" s="21" t="str">
        <f t="shared" si="11"/>
        <v>22/Pupil Other</v>
      </c>
      <c r="J51" s="21" t="str">
        <f t="shared" si="11"/>
        <v>22/Pupil Bonds/ Facilities</v>
      </c>
      <c r="K51" s="21" t="str">
        <f t="shared" si="11"/>
        <v>22/Pupil Total</v>
      </c>
    </row>
    <row r="52" spans="1:11" x14ac:dyDescent="0.2">
      <c r="A52" s="182" t="s">
        <v>102</v>
      </c>
      <c r="B52" s="214">
        <f t="shared" ref="B52:B57" si="12">B4</f>
        <v>41340</v>
      </c>
      <c r="C52" s="191">
        <f t="shared" ref="C52:K58" si="13">C28/$K28</f>
        <v>0.54748800407684028</v>
      </c>
      <c r="D52" s="191">
        <f t="shared" si="13"/>
        <v>0.12390961335352643</v>
      </c>
      <c r="E52" s="191">
        <f t="shared" si="13"/>
        <v>4.2136102494127498E-2</v>
      </c>
      <c r="F52" s="191">
        <f t="shared" si="13"/>
        <v>5.3968197241219568E-2</v>
      </c>
      <c r="G52" s="191">
        <f t="shared" si="13"/>
        <v>7.4056840213805111E-2</v>
      </c>
      <c r="H52" s="191">
        <f t="shared" si="13"/>
        <v>4.1006712586479921E-2</v>
      </c>
      <c r="I52" s="191">
        <f t="shared" si="13"/>
        <v>3.2273429346399082E-2</v>
      </c>
      <c r="J52" s="191">
        <f t="shared" si="13"/>
        <v>8.5161100687602187E-2</v>
      </c>
      <c r="K52" s="191">
        <f t="shared" si="13"/>
        <v>1</v>
      </c>
    </row>
    <row r="53" spans="1:11" x14ac:dyDescent="0.2">
      <c r="A53" s="182" t="s">
        <v>76</v>
      </c>
      <c r="B53" s="214">
        <f t="shared" si="12"/>
        <v>17505</v>
      </c>
      <c r="C53" s="191">
        <f t="shared" si="13"/>
        <v>0.50564779431347973</v>
      </c>
      <c r="D53" s="191">
        <f t="shared" si="13"/>
        <v>0.11673100899611617</v>
      </c>
      <c r="E53" s="191">
        <f t="shared" si="13"/>
        <v>5.61293877283527E-2</v>
      </c>
      <c r="F53" s="191">
        <f t="shared" si="13"/>
        <v>5.3385260819297481E-2</v>
      </c>
      <c r="G53" s="191">
        <f t="shared" si="13"/>
        <v>8.7702954860784249E-2</v>
      </c>
      <c r="H53" s="191">
        <f t="shared" si="13"/>
        <v>4.3980229138304384E-2</v>
      </c>
      <c r="I53" s="191">
        <f t="shared" si="13"/>
        <v>5.1907194624631843E-2</v>
      </c>
      <c r="J53" s="191">
        <f t="shared" si="13"/>
        <v>8.4516169519033388E-2</v>
      </c>
      <c r="K53" s="191">
        <f t="shared" si="13"/>
        <v>1</v>
      </c>
    </row>
    <row r="54" spans="1:11" x14ac:dyDescent="0.2">
      <c r="A54" s="182" t="s">
        <v>77</v>
      </c>
      <c r="B54" s="214">
        <f t="shared" si="12"/>
        <v>14921</v>
      </c>
      <c r="C54" s="191">
        <f t="shared" si="13"/>
        <v>0.54158490799757619</v>
      </c>
      <c r="D54" s="191">
        <f t="shared" si="13"/>
        <v>8.8738865590534566E-2</v>
      </c>
      <c r="E54" s="191">
        <f t="shared" si="13"/>
        <v>5.6216119185968312E-2</v>
      </c>
      <c r="F54" s="191">
        <f t="shared" si="13"/>
        <v>5.086687480760247E-2</v>
      </c>
      <c r="G54" s="191">
        <f t="shared" si="13"/>
        <v>8.8561232441197762E-2</v>
      </c>
      <c r="H54" s="191">
        <f t="shared" si="13"/>
        <v>3.8522375744633679E-2</v>
      </c>
      <c r="I54" s="191">
        <f t="shared" si="13"/>
        <v>5.4849446821418256E-2</v>
      </c>
      <c r="J54" s="191">
        <f t="shared" si="13"/>
        <v>8.0660177411068582E-2</v>
      </c>
      <c r="K54" s="191">
        <f t="shared" si="13"/>
        <v>1</v>
      </c>
    </row>
    <row r="55" spans="1:11" x14ac:dyDescent="0.2">
      <c r="A55" s="182" t="s">
        <v>78</v>
      </c>
      <c r="B55" s="214">
        <f t="shared" si="12"/>
        <v>12983</v>
      </c>
      <c r="C55" s="191">
        <f t="shared" si="13"/>
        <v>0.54215807689967999</v>
      </c>
      <c r="D55" s="191">
        <f t="shared" si="13"/>
        <v>5.73757608736324E-2</v>
      </c>
      <c r="E55" s="191">
        <f t="shared" si="13"/>
        <v>7.3875651606728945E-2</v>
      </c>
      <c r="F55" s="191">
        <f t="shared" si="13"/>
        <v>4.1028183913315454E-2</v>
      </c>
      <c r="G55" s="191">
        <f t="shared" si="13"/>
        <v>0.11524142338438817</v>
      </c>
      <c r="H55" s="191">
        <f t="shared" si="13"/>
        <v>4.9620620598976831E-2</v>
      </c>
      <c r="I55" s="191">
        <f t="shared" si="13"/>
        <v>7.4330520080185272E-2</v>
      </c>
      <c r="J55" s="191">
        <f t="shared" si="13"/>
        <v>4.6369762643092859E-2</v>
      </c>
      <c r="K55" s="191">
        <f t="shared" si="13"/>
        <v>1</v>
      </c>
    </row>
    <row r="56" spans="1:11" x14ac:dyDescent="0.2">
      <c r="A56" s="182" t="s">
        <v>79</v>
      </c>
      <c r="B56" s="214">
        <f t="shared" si="12"/>
        <v>4802</v>
      </c>
      <c r="C56" s="191">
        <f t="shared" si="13"/>
        <v>0.48680169070612311</v>
      </c>
      <c r="D56" s="191">
        <f t="shared" si="13"/>
        <v>4.5780501354984598E-2</v>
      </c>
      <c r="E56" s="191">
        <f t="shared" si="13"/>
        <v>9.4858076746189859E-2</v>
      </c>
      <c r="F56" s="191">
        <f t="shared" si="13"/>
        <v>3.4242579342740206E-2</v>
      </c>
      <c r="G56" s="191">
        <f t="shared" si="13"/>
        <v>0.10968681140532396</v>
      </c>
      <c r="H56" s="191">
        <f t="shared" si="13"/>
        <v>5.4214807113789468E-2</v>
      </c>
      <c r="I56" s="191">
        <f t="shared" si="13"/>
        <v>6.8862283196072807E-2</v>
      </c>
      <c r="J56" s="191">
        <f t="shared" si="13"/>
        <v>0.10555325013477583</v>
      </c>
      <c r="K56" s="191">
        <f t="shared" si="13"/>
        <v>1</v>
      </c>
    </row>
    <row r="57" spans="1:11" x14ac:dyDescent="0.2">
      <c r="A57" s="182" t="s">
        <v>80</v>
      </c>
      <c r="B57" s="220">
        <f t="shared" si="12"/>
        <v>1384</v>
      </c>
      <c r="C57" s="193">
        <f t="shared" si="13"/>
        <v>0.57100229145893677</v>
      </c>
      <c r="D57" s="193">
        <f t="shared" si="13"/>
        <v>2.2058549403628301E-2</v>
      </c>
      <c r="E57" s="193">
        <f t="shared" si="13"/>
        <v>0.11506230573009484</v>
      </c>
      <c r="F57" s="193">
        <f t="shared" si="13"/>
        <v>4.9193023215872303E-3</v>
      </c>
      <c r="G57" s="193">
        <f t="shared" si="13"/>
        <v>0.13443985071553374</v>
      </c>
      <c r="H57" s="193">
        <f t="shared" si="13"/>
        <v>6.497484996571147E-2</v>
      </c>
      <c r="I57" s="193">
        <f t="shared" si="13"/>
        <v>4.3746495439860221E-2</v>
      </c>
      <c r="J57" s="193">
        <f t="shared" si="13"/>
        <v>4.379635496464751E-2</v>
      </c>
      <c r="K57" s="193">
        <f t="shared" si="13"/>
        <v>1</v>
      </c>
    </row>
    <row r="58" spans="1:11" x14ac:dyDescent="0.2">
      <c r="A58" s="182" t="s">
        <v>219</v>
      </c>
      <c r="B58" s="214">
        <f>SUM(B52:B57)</f>
        <v>92935</v>
      </c>
      <c r="C58" s="191">
        <f t="shared" si="13"/>
        <v>0.53396314428275982</v>
      </c>
      <c r="D58" s="191">
        <f t="shared" si="13"/>
        <v>9.9967950908416425E-2</v>
      </c>
      <c r="E58" s="191">
        <f t="shared" si="13"/>
        <v>5.6719856859767208E-2</v>
      </c>
      <c r="F58" s="191">
        <f t="shared" si="13"/>
        <v>4.9161293757884299E-2</v>
      </c>
      <c r="G58" s="191">
        <f t="shared" si="13"/>
        <v>8.8488880468775566E-2</v>
      </c>
      <c r="H58" s="191">
        <f t="shared" si="13"/>
        <v>4.3805256987586791E-2</v>
      </c>
      <c r="I58" s="191">
        <f t="shared" si="13"/>
        <v>4.8357705972938099E-2</v>
      </c>
      <c r="J58" s="191">
        <f t="shared" si="13"/>
        <v>7.9535910761871734E-2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22026</v>
      </c>
      <c r="C60" s="191">
        <f t="shared" ref="C60:K65" si="14">C36/$K36</f>
        <v>0.49084961248612713</v>
      </c>
      <c r="D60" s="191">
        <f t="shared" si="14"/>
        <v>8.0334385633215932E-2</v>
      </c>
      <c r="E60" s="191">
        <f t="shared" si="14"/>
        <v>3.9047032474780807E-2</v>
      </c>
      <c r="F60" s="191">
        <f t="shared" si="14"/>
        <v>5.6027092399755771E-2</v>
      </c>
      <c r="G60" s="191">
        <f t="shared" si="14"/>
        <v>9.6718099223916471E-2</v>
      </c>
      <c r="H60" s="191">
        <f t="shared" si="14"/>
        <v>3.9882454201709196E-2</v>
      </c>
      <c r="I60" s="191">
        <f t="shared" si="14"/>
        <v>8.4623527088588071E-2</v>
      </c>
      <c r="J60" s="191">
        <f t="shared" si="14"/>
        <v>0.11251779649190675</v>
      </c>
      <c r="K60" s="191">
        <f t="shared" si="14"/>
        <v>1</v>
      </c>
    </row>
    <row r="61" spans="1:11" x14ac:dyDescent="0.2">
      <c r="A61" s="182" t="s">
        <v>82</v>
      </c>
      <c r="B61" s="214">
        <f>B37</f>
        <v>6094</v>
      </c>
      <c r="C61" s="191">
        <f t="shared" si="14"/>
        <v>0.42104609649127422</v>
      </c>
      <c r="D61" s="191">
        <f t="shared" si="14"/>
        <v>8.0987229868625166E-2</v>
      </c>
      <c r="E61" s="191">
        <f t="shared" si="14"/>
        <v>5.3553922870380348E-2</v>
      </c>
      <c r="F61" s="191">
        <f t="shared" si="14"/>
        <v>6.0036632843637645E-2</v>
      </c>
      <c r="G61" s="191">
        <f t="shared" si="14"/>
        <v>0.10254446475362126</v>
      </c>
      <c r="H61" s="191">
        <f t="shared" si="14"/>
        <v>5.7242603374278299E-2</v>
      </c>
      <c r="I61" s="191">
        <f t="shared" si="14"/>
        <v>0.12538071720684568</v>
      </c>
      <c r="J61" s="191">
        <f t="shared" si="14"/>
        <v>9.9208332591337337E-2</v>
      </c>
      <c r="K61" s="191">
        <f t="shared" si="14"/>
        <v>1</v>
      </c>
    </row>
    <row r="62" spans="1:11" x14ac:dyDescent="0.2">
      <c r="A62" s="182" t="s">
        <v>83</v>
      </c>
      <c r="B62" s="214">
        <f>B38</f>
        <v>5366</v>
      </c>
      <c r="C62" s="191">
        <f t="shared" si="14"/>
        <v>0.41697829318942803</v>
      </c>
      <c r="D62" s="191">
        <f t="shared" si="14"/>
        <v>5.7016433122967995E-2</v>
      </c>
      <c r="E62" s="191">
        <f t="shared" si="14"/>
        <v>7.0168057955395519E-2</v>
      </c>
      <c r="F62" s="191">
        <f t="shared" si="14"/>
        <v>6.157077314210898E-2</v>
      </c>
      <c r="G62" s="191">
        <f t="shared" si="14"/>
        <v>0.10969446817736778</v>
      </c>
      <c r="H62" s="191">
        <f t="shared" si="14"/>
        <v>6.5495735456180232E-2</v>
      </c>
      <c r="I62" s="191">
        <f t="shared" si="14"/>
        <v>0.11840966303619661</v>
      </c>
      <c r="J62" s="191">
        <f t="shared" si="14"/>
        <v>0.10066657592035481</v>
      </c>
      <c r="K62" s="191">
        <f t="shared" si="14"/>
        <v>1</v>
      </c>
    </row>
    <row r="63" spans="1:11" x14ac:dyDescent="0.2">
      <c r="A63" s="182" t="s">
        <v>84</v>
      </c>
      <c r="B63" s="214">
        <f>B39</f>
        <v>3820</v>
      </c>
      <c r="C63" s="191">
        <f t="shared" si="14"/>
        <v>0.40961254910531336</v>
      </c>
      <c r="D63" s="191">
        <f t="shared" si="14"/>
        <v>5.8489492850673529E-2</v>
      </c>
      <c r="E63" s="191">
        <f t="shared" si="14"/>
        <v>9.2443624304187691E-2</v>
      </c>
      <c r="F63" s="191">
        <f t="shared" si="14"/>
        <v>5.4324755842623876E-2</v>
      </c>
      <c r="G63" s="191">
        <f t="shared" si="14"/>
        <v>0.14363455662151525</v>
      </c>
      <c r="H63" s="191">
        <f t="shared" si="14"/>
        <v>8.8708466996993779E-2</v>
      </c>
      <c r="I63" s="191">
        <f t="shared" si="14"/>
        <v>0.10305091016151111</v>
      </c>
      <c r="J63" s="191">
        <f t="shared" si="14"/>
        <v>4.9735644117181572E-2</v>
      </c>
      <c r="K63" s="191">
        <f t="shared" si="14"/>
        <v>1</v>
      </c>
    </row>
    <row r="64" spans="1:11" x14ac:dyDescent="0.2">
      <c r="A64" s="182" t="s">
        <v>85</v>
      </c>
      <c r="B64" s="220">
        <f>B40</f>
        <v>1372</v>
      </c>
      <c r="C64" s="193">
        <f t="shared" si="14"/>
        <v>0.39742283010272489</v>
      </c>
      <c r="D64" s="193">
        <f t="shared" si="14"/>
        <v>2.7556826670711763E-2</v>
      </c>
      <c r="E64" s="193">
        <f t="shared" si="14"/>
        <v>0.14295885167151737</v>
      </c>
      <c r="F64" s="193">
        <f t="shared" si="14"/>
        <v>3.1100971366309866E-2</v>
      </c>
      <c r="G64" s="193">
        <f t="shared" si="14"/>
        <v>0.15162537725052941</v>
      </c>
      <c r="H64" s="193">
        <f t="shared" si="14"/>
        <v>8.9659708986702141E-2</v>
      </c>
      <c r="I64" s="193">
        <f t="shared" si="14"/>
        <v>0.10911526881808828</v>
      </c>
      <c r="J64" s="193">
        <f t="shared" si="14"/>
        <v>5.0560165133416095E-2</v>
      </c>
      <c r="K64" s="193">
        <f t="shared" si="14"/>
        <v>1</v>
      </c>
    </row>
    <row r="65" spans="1:11" x14ac:dyDescent="0.2">
      <c r="A65" s="182" t="s">
        <v>220</v>
      </c>
      <c r="B65" s="214">
        <f>SUM(B60:B64)</f>
        <v>38678</v>
      </c>
      <c r="C65" s="191">
        <f t="shared" si="14"/>
        <v>0.45333838061239468</v>
      </c>
      <c r="D65" s="191">
        <f t="shared" si="14"/>
        <v>7.0646094281510849E-2</v>
      </c>
      <c r="E65" s="191">
        <f t="shared" si="14"/>
        <v>5.9603914410513062E-2</v>
      </c>
      <c r="F65" s="191">
        <f t="shared" si="14"/>
        <v>5.5457916190267166E-2</v>
      </c>
      <c r="G65" s="191">
        <f t="shared" si="14"/>
        <v>0.10918806058852758</v>
      </c>
      <c r="H65" s="191">
        <f t="shared" si="14"/>
        <v>5.572430834705322E-2</v>
      </c>
      <c r="I65" s="191">
        <f t="shared" si="14"/>
        <v>9.9417975768392827E-2</v>
      </c>
      <c r="J65" s="191">
        <f t="shared" si="14"/>
        <v>9.6623349801340561E-2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14822</v>
      </c>
      <c r="C67" s="191">
        <f t="shared" ref="C67:K69" si="15">C43/$K43</f>
        <v>0.49096751700355973</v>
      </c>
      <c r="D67" s="191">
        <f t="shared" si="15"/>
        <v>6.4762726560560202E-2</v>
      </c>
      <c r="E67" s="191">
        <f t="shared" si="15"/>
        <v>5.3040012695646503E-2</v>
      </c>
      <c r="F67" s="191">
        <f t="shared" si="15"/>
        <v>5.0305097225352431E-2</v>
      </c>
      <c r="G67" s="191">
        <f t="shared" si="15"/>
        <v>9.5289750514363697E-2</v>
      </c>
      <c r="H67" s="191">
        <f t="shared" si="15"/>
        <v>5.4286512540636989E-2</v>
      </c>
      <c r="I67" s="191">
        <f t="shared" si="15"/>
        <v>7.560836791287473E-2</v>
      </c>
      <c r="J67" s="191">
        <f t="shared" si="15"/>
        <v>0.11574001554700564</v>
      </c>
      <c r="K67" s="191">
        <f t="shared" si="15"/>
        <v>1</v>
      </c>
    </row>
    <row r="68" spans="1:11" x14ac:dyDescent="0.2">
      <c r="A68" s="182" t="s">
        <v>87</v>
      </c>
      <c r="B68" s="220">
        <f>B44</f>
        <v>7280</v>
      </c>
      <c r="C68" s="193">
        <f t="shared" si="15"/>
        <v>0.48842704038067064</v>
      </c>
      <c r="D68" s="193">
        <f t="shared" si="15"/>
        <v>3.2448613583845987E-2</v>
      </c>
      <c r="E68" s="193">
        <f t="shared" si="15"/>
        <v>0.10305279387710335</v>
      </c>
      <c r="F68" s="193">
        <f t="shared" si="15"/>
        <v>3.4754046502077522E-2</v>
      </c>
      <c r="G68" s="193">
        <f t="shared" si="15"/>
        <v>0.14058632903912868</v>
      </c>
      <c r="H68" s="193">
        <f t="shared" si="15"/>
        <v>6.0460752282612808E-2</v>
      </c>
      <c r="I68" s="193">
        <f t="shared" si="15"/>
        <v>9.775164105064843E-2</v>
      </c>
      <c r="J68" s="193">
        <f t="shared" si="15"/>
        <v>4.2518783283912558E-2</v>
      </c>
      <c r="K68" s="193">
        <f t="shared" si="15"/>
        <v>1</v>
      </c>
    </row>
    <row r="69" spans="1:11" x14ac:dyDescent="0.2">
      <c r="A69" s="182" t="s">
        <v>221</v>
      </c>
      <c r="B69" s="214">
        <f>SUM(B67:B68)</f>
        <v>22102</v>
      </c>
      <c r="C69" s="191">
        <f t="shared" si="15"/>
        <v>0.48992101871347482</v>
      </c>
      <c r="D69" s="191">
        <f t="shared" si="15"/>
        <v>5.1451577120702911E-2</v>
      </c>
      <c r="E69" s="191">
        <f t="shared" si="15"/>
        <v>7.3641772820981929E-2</v>
      </c>
      <c r="F69" s="191">
        <f t="shared" si="15"/>
        <v>4.3899154401748373E-2</v>
      </c>
      <c r="G69" s="191">
        <f t="shared" si="15"/>
        <v>0.11394876573448957</v>
      </c>
      <c r="H69" s="191">
        <f t="shared" si="15"/>
        <v>5.682986652167215E-2</v>
      </c>
      <c r="I69" s="191">
        <f t="shared" si="15"/>
        <v>8.4729844279466754E-2</v>
      </c>
      <c r="J69" s="191">
        <f t="shared" si="15"/>
        <v>8.5578000407463412E-2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153715</v>
      </c>
      <c r="C71" s="195">
        <f t="shared" ref="C71:K71" si="16">C47/$K47</f>
        <v>0.50613924467109506</v>
      </c>
      <c r="D71" s="195">
        <f t="shared" si="16"/>
        <v>8.4703428652213572E-2</v>
      </c>
      <c r="E71" s="195">
        <f t="shared" si="16"/>
        <v>6.014490348608191E-2</v>
      </c>
      <c r="F71" s="195">
        <f t="shared" si="16"/>
        <v>4.9956568523147234E-2</v>
      </c>
      <c r="G71" s="195">
        <f t="shared" si="16"/>
        <v>9.7872992250713678E-2</v>
      </c>
      <c r="H71" s="195">
        <f t="shared" si="16"/>
        <v>4.8949854637799071E-2</v>
      </c>
      <c r="I71" s="195">
        <f t="shared" si="16"/>
        <v>6.7321385778633724E-2</v>
      </c>
      <c r="J71" s="195">
        <f t="shared" si="16"/>
        <v>8.4911622000315753E-2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B7CAE-F41C-4F8E-BDE9-810D0B4E233A}">
  <dimension ref="A1:AC82"/>
  <sheetViews>
    <sheetView zoomScaleNormal="100" workbookViewId="0">
      <selection activeCell="C2" sqref="C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3.42578125" customWidth="1"/>
    <col min="9" max="9" width="14.28515625" customWidth="1"/>
    <col min="10" max="10" width="11.7109375" bestFit="1" customWidth="1"/>
    <col min="11" max="11" width="11.7109375" customWidth="1"/>
    <col min="12" max="12" width="11.28515625" bestFit="1" customWidth="1"/>
    <col min="13" max="13" width="11.42578125" bestFit="1" customWidth="1"/>
    <col min="15" max="15" width="7.140625" bestFit="1" customWidth="1"/>
    <col min="16" max="16" width="10.42578125" customWidth="1"/>
    <col min="17" max="17" width="8.85546875" customWidth="1"/>
    <col min="18" max="20" width="11.5703125" bestFit="1" customWidth="1"/>
    <col min="21" max="21" width="12.5703125" bestFit="1" customWidth="1"/>
    <col min="22" max="22" width="11.5703125" bestFit="1" customWidth="1"/>
    <col min="23" max="23" width="10.5703125" bestFit="1" customWidth="1"/>
    <col min="24" max="24" width="20.7109375" bestFit="1" customWidth="1"/>
  </cols>
  <sheetData>
    <row r="1" spans="1:29" x14ac:dyDescent="0.2">
      <c r="A1" s="36" t="s">
        <v>200</v>
      </c>
      <c r="B1" s="36"/>
      <c r="C1" s="22"/>
      <c r="D1" s="22"/>
      <c r="E1" s="22"/>
      <c r="F1" s="22"/>
      <c r="G1" s="22"/>
      <c r="H1" s="22"/>
      <c r="I1" s="22"/>
      <c r="J1" s="22"/>
      <c r="K1" s="22"/>
      <c r="L1" s="22"/>
    </row>
    <row r="2" spans="1:29" x14ac:dyDescent="0.2">
      <c r="A2" s="36" t="s">
        <v>8</v>
      </c>
      <c r="B2" s="239"/>
      <c r="C2" s="22" t="s">
        <v>1408</v>
      </c>
      <c r="D2" s="22"/>
      <c r="E2" s="22"/>
      <c r="F2" s="22"/>
      <c r="G2" s="22"/>
      <c r="H2" s="22"/>
      <c r="I2" s="22"/>
      <c r="J2" s="22"/>
      <c r="K2" s="22"/>
      <c r="L2" s="22"/>
    </row>
    <row r="3" spans="1:29" ht="33.75" x14ac:dyDescent="0.2">
      <c r="A3" s="20" t="s">
        <v>245</v>
      </c>
      <c r="B3" s="21" t="str">
        <f>"ANB"&amp;RIGHT(C2,2)</f>
        <v>ANB22</v>
      </c>
      <c r="C3" s="202" t="str">
        <f>RIGHT(C2,2)&amp;"/Pupil Property Tax"</f>
        <v>22/Pupil Property Tax</v>
      </c>
      <c r="D3" s="202" t="str">
        <f>RIGHT(C2,2)&amp;"/Pupil Non Levy Revenue"</f>
        <v>22/Pupil Non Levy Revenue</v>
      </c>
      <c r="E3" s="202" t="str">
        <f>RIGHT(C2,2)&amp;"/Pupil County Revenue"</f>
        <v>22/Pupil County Revenue</v>
      </c>
      <c r="F3" s="202" t="str">
        <f>RIGHT(C2,2)&amp;"/Pupil State Revenue"</f>
        <v>22/Pupil State Revenue</v>
      </c>
      <c r="G3" s="202" t="str">
        <f>RIGHT(C2,2)&amp;"/Pupil Federal Revenue"</f>
        <v>22/Pupil Federal Revenue</v>
      </c>
      <c r="H3" s="202" t="str">
        <f>RIGHT(C2,2)&amp;"Federal CARES Revenue"</f>
        <v>22Federal CARES Revenue</v>
      </c>
      <c r="I3" s="202" t="str">
        <f>RIGHT(C2,2)&amp;"/Pupil Total Revenue NO CARES"</f>
        <v>22/Pupil Total Revenue NO CARES</v>
      </c>
      <c r="J3" s="202" t="str">
        <f>RIGHT(C2,2)&amp;"/Pupil Total Revenue WITH CARES"</f>
        <v>22/Pupil Total Revenue WITH CARES</v>
      </c>
      <c r="K3" s="202" t="str">
        <f>RIGHT(C2,2)&amp;"/Rev Per ANB NO CARES"</f>
        <v>22/Rev Per ANB NO CARES</v>
      </c>
      <c r="L3" s="202" t="str">
        <f>RIGHT(C2,2)&amp;"/Rev Per ANB WITH CARES"</f>
        <v>22/Rev Per ANB WITH CARES</v>
      </c>
      <c r="M3" s="202"/>
      <c r="O3" s="287"/>
      <c r="P3" s="278"/>
      <c r="Q3" s="290"/>
      <c r="R3" s="290"/>
      <c r="S3" s="290"/>
      <c r="T3" s="290"/>
      <c r="U3" s="290"/>
      <c r="V3" s="290"/>
      <c r="W3" s="290"/>
    </row>
    <row r="4" spans="1:29" ht="15" x14ac:dyDescent="0.25">
      <c r="A4" s="33" t="s">
        <v>102</v>
      </c>
      <c r="B4" s="214">
        <v>41340</v>
      </c>
      <c r="C4" s="214">
        <v>164084699.47</v>
      </c>
      <c r="D4" s="214">
        <v>7218307.6800000006</v>
      </c>
      <c r="E4" s="214">
        <v>42057568.469999999</v>
      </c>
      <c r="F4" s="214">
        <v>222003620.66999999</v>
      </c>
      <c r="G4" s="214">
        <v>55407206.609999999</v>
      </c>
      <c r="H4" s="214">
        <v>58134033.170000002</v>
      </c>
      <c r="I4" s="229">
        <f>SUM(C4:G4)</f>
        <v>490771402.89999998</v>
      </c>
      <c r="J4" s="229">
        <f>SUM(C4:H4)</f>
        <v>548905436.06999993</v>
      </c>
      <c r="K4" s="321">
        <f>I4/B4</f>
        <v>11871.5869109821</v>
      </c>
      <c r="L4" s="321">
        <f t="shared" ref="L4:L10" si="0">J4/B4</f>
        <v>13277.828642235121</v>
      </c>
      <c r="M4" s="221"/>
      <c r="O4" s="283"/>
      <c r="P4" s="289"/>
      <c r="Q4" s="289"/>
      <c r="R4" s="289"/>
      <c r="S4" s="289"/>
      <c r="T4" s="289"/>
      <c r="U4" s="289"/>
      <c r="V4" s="289"/>
      <c r="W4" s="289"/>
      <c r="X4" s="268"/>
      <c r="Y4" s="268"/>
      <c r="Z4" s="268"/>
      <c r="AA4" s="268"/>
      <c r="AB4" s="268"/>
      <c r="AC4" s="268"/>
    </row>
    <row r="5" spans="1:29" ht="15" x14ac:dyDescent="0.25">
      <c r="A5" s="33" t="s">
        <v>76</v>
      </c>
      <c r="B5" s="214">
        <v>17505</v>
      </c>
      <c r="C5" s="214">
        <v>60669981.599999994</v>
      </c>
      <c r="D5" s="214">
        <v>3986676.76</v>
      </c>
      <c r="E5" s="214">
        <v>19736379.650000002</v>
      </c>
      <c r="F5" s="214">
        <v>95188858.229999989</v>
      </c>
      <c r="G5" s="214">
        <v>46703459.280000001</v>
      </c>
      <c r="H5" s="214">
        <v>24210281.049999997</v>
      </c>
      <c r="I5" s="229">
        <f t="shared" ref="I5:I9" si="1">SUM(C5:G5)</f>
        <v>226285355.51999998</v>
      </c>
      <c r="J5" s="229">
        <f t="shared" ref="J5:J9" si="2">SUM(C5:H5)</f>
        <v>250495636.56999999</v>
      </c>
      <c r="K5" s="321">
        <f t="shared" ref="K5:K22" si="3">I5/B5</f>
        <v>12926.898344473007</v>
      </c>
      <c r="L5" s="321">
        <f t="shared" si="0"/>
        <v>14309.947818908882</v>
      </c>
      <c r="M5" s="221"/>
      <c r="O5" s="283"/>
      <c r="P5" s="289"/>
      <c r="Q5" s="289"/>
      <c r="R5" s="289"/>
      <c r="S5" s="289"/>
      <c r="T5" s="289"/>
      <c r="U5" s="289"/>
      <c r="V5" s="289"/>
      <c r="W5" s="289"/>
      <c r="X5" s="268"/>
      <c r="Y5" s="268"/>
      <c r="Z5" s="268"/>
      <c r="AA5" s="268"/>
      <c r="AB5" s="268"/>
      <c r="AC5" s="268"/>
    </row>
    <row r="6" spans="1:29" ht="15" x14ac:dyDescent="0.25">
      <c r="A6" s="33" t="s">
        <v>77</v>
      </c>
      <c r="B6" s="214">
        <v>14921</v>
      </c>
      <c r="C6" s="214">
        <v>45582914.640000001</v>
      </c>
      <c r="D6" s="214">
        <v>4999697.37</v>
      </c>
      <c r="E6" s="214">
        <v>16651156.380000001</v>
      </c>
      <c r="F6" s="214">
        <v>84217949.120000005</v>
      </c>
      <c r="G6" s="214">
        <v>39373071.950000003</v>
      </c>
      <c r="H6" s="214">
        <v>20019474.960000001</v>
      </c>
      <c r="I6" s="229">
        <f t="shared" si="1"/>
        <v>190824789.45999998</v>
      </c>
      <c r="J6" s="229">
        <f t="shared" si="2"/>
        <v>210844264.41999999</v>
      </c>
      <c r="K6" s="321">
        <f t="shared" si="3"/>
        <v>12789.008073185441</v>
      </c>
      <c r="L6" s="321">
        <f t="shared" si="0"/>
        <v>14130.706013001809</v>
      </c>
      <c r="M6" s="221"/>
      <c r="O6" s="283"/>
      <c r="P6" s="289"/>
      <c r="Q6" s="289"/>
      <c r="R6" s="289"/>
      <c r="S6" s="289"/>
      <c r="T6" s="289"/>
      <c r="U6" s="289"/>
      <c r="V6" s="289"/>
      <c r="W6" s="289"/>
      <c r="X6" s="268"/>
      <c r="Y6" s="268"/>
      <c r="Z6" s="268"/>
      <c r="AA6" s="268"/>
      <c r="AB6" s="268"/>
      <c r="AC6" s="268"/>
    </row>
    <row r="7" spans="1:29" ht="15" x14ac:dyDescent="0.25">
      <c r="A7" s="33" t="s">
        <v>78</v>
      </c>
      <c r="B7" s="214">
        <v>12983</v>
      </c>
      <c r="C7" s="214">
        <v>42683517.870000012</v>
      </c>
      <c r="D7" s="214">
        <v>7255602.4299999997</v>
      </c>
      <c r="E7" s="214">
        <v>14734229.439999996</v>
      </c>
      <c r="F7" s="214">
        <v>72415677.929999992</v>
      </c>
      <c r="G7" s="214">
        <v>30645193.380000003</v>
      </c>
      <c r="H7" s="214">
        <v>21115210.310000002</v>
      </c>
      <c r="I7" s="229">
        <f t="shared" si="1"/>
        <v>167734221.05000001</v>
      </c>
      <c r="J7" s="229">
        <f t="shared" si="2"/>
        <v>188849431.36000001</v>
      </c>
      <c r="K7" s="321">
        <f t="shared" si="3"/>
        <v>12919.527154740816</v>
      </c>
      <c r="L7" s="321">
        <f t="shared" si="0"/>
        <v>14545.900898097514</v>
      </c>
      <c r="M7" s="221"/>
      <c r="O7" s="283"/>
      <c r="P7" s="289"/>
      <c r="Q7" s="289"/>
      <c r="R7" s="289"/>
      <c r="S7" s="289"/>
      <c r="T7" s="289"/>
      <c r="U7" s="289"/>
      <c r="V7" s="289"/>
      <c r="W7" s="289"/>
      <c r="X7" s="268"/>
      <c r="Y7" s="268"/>
      <c r="Z7" s="268"/>
      <c r="AA7" s="268"/>
      <c r="AB7" s="268"/>
      <c r="AC7" s="268"/>
    </row>
    <row r="8" spans="1:29" ht="15" x14ac:dyDescent="0.25">
      <c r="A8" s="33" t="s">
        <v>79</v>
      </c>
      <c r="B8" s="214">
        <v>4802</v>
      </c>
      <c r="C8" s="214">
        <v>19900295.27999999</v>
      </c>
      <c r="D8" s="214">
        <v>7519338.5199999977</v>
      </c>
      <c r="E8" s="214">
        <v>6504133.6400000015</v>
      </c>
      <c r="F8" s="214">
        <v>29950163.169999991</v>
      </c>
      <c r="G8" s="214">
        <v>17474558.520000003</v>
      </c>
      <c r="H8" s="214">
        <v>9352883.3899999987</v>
      </c>
      <c r="I8" s="229">
        <f t="shared" si="1"/>
        <v>81348489.129999995</v>
      </c>
      <c r="J8" s="229">
        <f t="shared" si="2"/>
        <v>90701372.519999996</v>
      </c>
      <c r="K8" s="321">
        <f t="shared" si="3"/>
        <v>16940.543342357349</v>
      </c>
      <c r="L8" s="321">
        <f t="shared" si="0"/>
        <v>18888.249171178675</v>
      </c>
      <c r="M8" s="221"/>
      <c r="O8" s="283"/>
      <c r="P8" s="289"/>
      <c r="Q8" s="289"/>
      <c r="R8" s="289"/>
      <c r="S8" s="289"/>
      <c r="T8" s="289"/>
      <c r="U8" s="289"/>
      <c r="V8" s="289"/>
      <c r="W8" s="289"/>
      <c r="X8" s="268"/>
      <c r="Y8" s="268"/>
      <c r="Z8" s="268"/>
      <c r="AA8" s="268"/>
      <c r="AB8" s="268"/>
      <c r="AC8" s="268"/>
    </row>
    <row r="9" spans="1:29" ht="15" x14ac:dyDescent="0.25">
      <c r="A9" s="33" t="s">
        <v>80</v>
      </c>
      <c r="B9" s="220">
        <v>1384</v>
      </c>
      <c r="C9" s="220">
        <v>6864632.1599999992</v>
      </c>
      <c r="D9" s="220">
        <v>1905544.87</v>
      </c>
      <c r="E9" s="220">
        <v>1903688.3100000008</v>
      </c>
      <c r="F9" s="220">
        <v>8922080.2200000007</v>
      </c>
      <c r="G9" s="220">
        <v>3426512.5799999991</v>
      </c>
      <c r="H9" s="220">
        <v>3272861.7199999997</v>
      </c>
      <c r="I9" s="229">
        <f t="shared" si="1"/>
        <v>23022458.140000001</v>
      </c>
      <c r="J9" s="229">
        <f t="shared" si="2"/>
        <v>26295319.859999999</v>
      </c>
      <c r="K9" s="321">
        <f t="shared" si="3"/>
        <v>16634.724089595376</v>
      </c>
      <c r="L9" s="322">
        <f t="shared" si="0"/>
        <v>18999.508569364163</v>
      </c>
      <c r="M9" s="221"/>
      <c r="O9" s="283"/>
      <c r="P9" s="289"/>
      <c r="Q9" s="289"/>
      <c r="R9" s="289"/>
      <c r="S9" s="289"/>
      <c r="T9" s="289"/>
      <c r="U9" s="289"/>
      <c r="V9" s="289"/>
      <c r="W9" s="289"/>
      <c r="X9" s="268"/>
      <c r="Y9" s="268"/>
      <c r="Z9" s="268"/>
      <c r="AA9" s="268"/>
      <c r="AB9" s="268"/>
      <c r="AC9" s="268"/>
    </row>
    <row r="10" spans="1:29" x14ac:dyDescent="0.2">
      <c r="A10" s="33" t="s">
        <v>171</v>
      </c>
      <c r="B10" s="229">
        <f t="shared" ref="B10:J10" si="4">SUM(B4:B9)</f>
        <v>92935</v>
      </c>
      <c r="C10" s="229">
        <f t="shared" si="4"/>
        <v>339786041.01999998</v>
      </c>
      <c r="D10" s="229">
        <f t="shared" si="4"/>
        <v>32885167.629999999</v>
      </c>
      <c r="E10" s="229">
        <f t="shared" si="4"/>
        <v>101587155.89</v>
      </c>
      <c r="F10" s="229">
        <f t="shared" si="4"/>
        <v>512698349.34000003</v>
      </c>
      <c r="G10" s="229">
        <f t="shared" si="4"/>
        <v>193030002.32000002</v>
      </c>
      <c r="H10" s="229">
        <f t="shared" si="4"/>
        <v>136104744.60000002</v>
      </c>
      <c r="I10" s="339">
        <f t="shared" si="4"/>
        <v>1179986716.2</v>
      </c>
      <c r="J10" s="339">
        <f t="shared" si="4"/>
        <v>1316091460.7999997</v>
      </c>
      <c r="K10" s="340">
        <f>I10/B10</f>
        <v>12696.903386237693</v>
      </c>
      <c r="L10" s="321">
        <f t="shared" si="0"/>
        <v>14161.418849733682</v>
      </c>
      <c r="M10" s="221"/>
      <c r="O10" s="287"/>
      <c r="P10" s="287"/>
      <c r="Q10" s="287"/>
      <c r="R10" s="287"/>
      <c r="S10" s="287"/>
      <c r="T10" s="287"/>
      <c r="U10" s="287"/>
      <c r="V10" s="287"/>
      <c r="W10" s="287"/>
      <c r="X10" s="268"/>
      <c r="Y10" s="268"/>
      <c r="Z10" s="268"/>
      <c r="AA10" s="268"/>
      <c r="AB10" s="268"/>
      <c r="AC10" s="268"/>
    </row>
    <row r="11" spans="1:29" x14ac:dyDescent="0.2">
      <c r="A11" s="33"/>
      <c r="B11" s="229"/>
      <c r="C11" s="214"/>
      <c r="D11" s="214"/>
      <c r="E11" s="214"/>
      <c r="F11" s="214"/>
      <c r="G11" s="214"/>
      <c r="H11" s="214"/>
      <c r="I11" s="214"/>
      <c r="J11" s="214"/>
      <c r="K11" s="321"/>
      <c r="L11" s="321"/>
      <c r="M11" s="221"/>
      <c r="O11" s="287"/>
      <c r="P11" s="287"/>
      <c r="Q11" s="287"/>
      <c r="R11" s="287"/>
      <c r="S11" s="287"/>
      <c r="T11" s="287"/>
      <c r="U11" s="287"/>
      <c r="V11" s="287"/>
      <c r="W11" s="287"/>
      <c r="X11" s="268"/>
      <c r="Y11" s="268"/>
      <c r="Z11" s="268"/>
      <c r="AA11" s="268"/>
      <c r="AB11" s="268"/>
      <c r="AC11" s="268"/>
    </row>
    <row r="12" spans="1:29" x14ac:dyDescent="0.2">
      <c r="A12" s="33"/>
      <c r="B12" s="229"/>
      <c r="C12" s="214"/>
      <c r="D12" s="214"/>
      <c r="E12" s="214"/>
      <c r="F12" s="214"/>
      <c r="G12" s="214"/>
      <c r="H12" s="214"/>
      <c r="I12" s="214"/>
      <c r="J12" s="214"/>
      <c r="K12" s="321"/>
      <c r="L12" s="321"/>
      <c r="M12" s="221"/>
      <c r="O12" s="287"/>
      <c r="P12" s="287"/>
      <c r="Q12" s="287"/>
      <c r="R12" s="287"/>
      <c r="S12" s="287"/>
      <c r="T12" s="287"/>
      <c r="U12" s="287"/>
      <c r="V12" s="287"/>
      <c r="W12" s="287"/>
      <c r="X12" s="268"/>
      <c r="Y12" s="268"/>
      <c r="Z12" s="268"/>
      <c r="AA12" s="268"/>
      <c r="AB12" s="268"/>
      <c r="AC12" s="268"/>
    </row>
    <row r="13" spans="1:29" ht="15" x14ac:dyDescent="0.25">
      <c r="A13" s="33" t="s">
        <v>81</v>
      </c>
      <c r="B13" s="214">
        <v>22026</v>
      </c>
      <c r="C13" s="214">
        <v>103149105.41999999</v>
      </c>
      <c r="D13" s="214">
        <v>9203343.3699999992</v>
      </c>
      <c r="E13" s="214">
        <v>24660970.269999996</v>
      </c>
      <c r="F13" s="214">
        <v>128071788.80000001</v>
      </c>
      <c r="G13" s="214">
        <v>23640056.559999999</v>
      </c>
      <c r="H13" s="214">
        <v>10601468.620000001</v>
      </c>
      <c r="I13" s="229">
        <f>SUM(C13:G13)</f>
        <v>288725264.42000002</v>
      </c>
      <c r="J13" s="229">
        <f>SUM(C13:H13)</f>
        <v>299326733.04000002</v>
      </c>
      <c r="K13" s="321">
        <f t="shared" si="3"/>
        <v>13108.383928993009</v>
      </c>
      <c r="L13" s="321">
        <f t="shared" ref="L13:L18" si="5">J13/B13</f>
        <v>13589.700038136749</v>
      </c>
      <c r="M13" s="221"/>
      <c r="O13" s="283"/>
      <c r="P13" s="289"/>
      <c r="Q13" s="289"/>
      <c r="R13" s="289"/>
      <c r="S13" s="289"/>
      <c r="T13" s="289"/>
      <c r="U13" s="289"/>
      <c r="V13" s="289"/>
      <c r="W13" s="289"/>
      <c r="X13" s="268"/>
      <c r="Y13" s="268"/>
      <c r="Z13" s="268"/>
      <c r="AA13" s="268"/>
      <c r="AB13" s="268"/>
      <c r="AC13" s="268"/>
    </row>
    <row r="14" spans="1:29" ht="15" x14ac:dyDescent="0.25">
      <c r="A14" s="33" t="s">
        <v>82</v>
      </c>
      <c r="B14" s="214">
        <v>6094</v>
      </c>
      <c r="C14" s="214">
        <v>26583864.059999999</v>
      </c>
      <c r="D14" s="214">
        <v>2564288.1500000004</v>
      </c>
      <c r="E14" s="214">
        <v>8120594.9900000002</v>
      </c>
      <c r="F14" s="214">
        <v>36517546.670000002</v>
      </c>
      <c r="G14" s="214">
        <v>13051272.300000001</v>
      </c>
      <c r="H14" s="214">
        <v>45000</v>
      </c>
      <c r="I14" s="229">
        <f t="shared" ref="I14:I17" si="6">SUM(C14:G14)</f>
        <v>86837566.170000002</v>
      </c>
      <c r="J14" s="229">
        <f t="shared" ref="J14:J17" si="7">SUM(C14:H14)</f>
        <v>86882566.170000002</v>
      </c>
      <c r="K14" s="321">
        <f t="shared" si="3"/>
        <v>14249.68266655727</v>
      </c>
      <c r="L14" s="321">
        <f t="shared" si="5"/>
        <v>14257.066978995734</v>
      </c>
      <c r="M14" s="221"/>
      <c r="O14" s="283"/>
      <c r="P14" s="289"/>
      <c r="Q14" s="289"/>
      <c r="R14" s="289"/>
      <c r="S14" s="289"/>
      <c r="T14" s="289"/>
      <c r="U14" s="289"/>
      <c r="V14" s="289"/>
      <c r="W14" s="289"/>
      <c r="X14" s="268"/>
      <c r="Y14" s="268"/>
      <c r="Z14" s="268"/>
      <c r="AA14" s="268"/>
      <c r="AB14" s="268"/>
      <c r="AC14" s="268"/>
    </row>
    <row r="15" spans="1:29" ht="15" x14ac:dyDescent="0.25">
      <c r="A15" s="33" t="s">
        <v>83</v>
      </c>
      <c r="B15" s="214">
        <v>5366</v>
      </c>
      <c r="C15" s="214">
        <v>25003746.669999998</v>
      </c>
      <c r="D15" s="214">
        <v>6030934.3800000008</v>
      </c>
      <c r="E15" s="214">
        <v>6801884.1100000003</v>
      </c>
      <c r="F15" s="214">
        <v>36261645.549999997</v>
      </c>
      <c r="G15" s="214">
        <v>9103884.9299999997</v>
      </c>
      <c r="H15" s="214">
        <v>2219195.8200000003</v>
      </c>
      <c r="I15" s="229">
        <f t="shared" si="6"/>
        <v>83202095.639999986</v>
      </c>
      <c r="J15" s="229">
        <f t="shared" si="7"/>
        <v>85421291.459999979</v>
      </c>
      <c r="K15" s="321">
        <f t="shared" si="3"/>
        <v>15505.422221393959</v>
      </c>
      <c r="L15" s="321">
        <f t="shared" si="5"/>
        <v>15918.988345136038</v>
      </c>
      <c r="M15" s="221"/>
      <c r="O15" s="283"/>
      <c r="P15" s="289"/>
      <c r="Q15" s="289"/>
      <c r="R15" s="289"/>
      <c r="S15" s="289"/>
      <c r="T15" s="289"/>
      <c r="U15" s="289"/>
      <c r="V15" s="289"/>
      <c r="W15" s="289"/>
      <c r="X15" s="268"/>
      <c r="Y15" s="268"/>
      <c r="Z15" s="268"/>
      <c r="AA15" s="268"/>
      <c r="AB15" s="268"/>
      <c r="AC15" s="268"/>
    </row>
    <row r="16" spans="1:29" ht="15" x14ac:dyDescent="0.25">
      <c r="A16" s="33" t="s">
        <v>84</v>
      </c>
      <c r="B16" s="214">
        <v>3820</v>
      </c>
      <c r="C16" s="214">
        <v>19676324.470000003</v>
      </c>
      <c r="D16" s="214">
        <v>6368587.4699999997</v>
      </c>
      <c r="E16" s="214">
        <v>6577745.4399999995</v>
      </c>
      <c r="F16" s="214">
        <v>30496294.819999997</v>
      </c>
      <c r="G16" s="214">
        <v>11814265.4</v>
      </c>
      <c r="H16" s="214">
        <v>659403.81000000006</v>
      </c>
      <c r="I16" s="229">
        <f t="shared" si="6"/>
        <v>74933217.600000009</v>
      </c>
      <c r="J16" s="229">
        <f t="shared" si="7"/>
        <v>75592621.410000011</v>
      </c>
      <c r="K16" s="321">
        <f t="shared" si="3"/>
        <v>19616.02554973822</v>
      </c>
      <c r="L16" s="321">
        <f t="shared" si="5"/>
        <v>19788.644348167541</v>
      </c>
      <c r="M16" s="221"/>
      <c r="O16" s="283"/>
      <c r="P16" s="289"/>
      <c r="Q16" s="289"/>
      <c r="R16" s="289"/>
      <c r="S16" s="289"/>
      <c r="T16" s="289"/>
      <c r="U16" s="289"/>
      <c r="V16" s="289"/>
      <c r="W16" s="289"/>
      <c r="X16" s="268"/>
      <c r="Y16" s="268"/>
      <c r="Z16" s="268"/>
      <c r="AA16" s="268"/>
      <c r="AB16" s="268"/>
      <c r="AC16" s="268"/>
    </row>
    <row r="17" spans="1:29" ht="15" x14ac:dyDescent="0.25">
      <c r="A17" s="33" t="s">
        <v>85</v>
      </c>
      <c r="B17" s="220">
        <v>1372</v>
      </c>
      <c r="C17" s="220">
        <v>12536085.099999998</v>
      </c>
      <c r="D17" s="220">
        <v>3823574.7199999993</v>
      </c>
      <c r="E17" s="220">
        <v>3366443.2000000007</v>
      </c>
      <c r="F17" s="220">
        <v>15525422.609999998</v>
      </c>
      <c r="G17" s="220">
        <v>4104572.17</v>
      </c>
      <c r="H17" s="220">
        <v>406079.58999999997</v>
      </c>
      <c r="I17" s="229">
        <f t="shared" si="6"/>
        <v>39356097.799999997</v>
      </c>
      <c r="J17" s="229">
        <f t="shared" si="7"/>
        <v>39762177.390000001</v>
      </c>
      <c r="K17" s="321">
        <f t="shared" si="3"/>
        <v>28685.20247813411</v>
      </c>
      <c r="L17" s="322">
        <f t="shared" si="5"/>
        <v>28981.178855685132</v>
      </c>
      <c r="M17" s="221"/>
      <c r="O17" s="283"/>
      <c r="P17" s="289"/>
      <c r="Q17" s="289"/>
      <c r="R17" s="289"/>
      <c r="S17" s="289"/>
      <c r="T17" s="289"/>
      <c r="U17" s="289"/>
      <c r="V17" s="289"/>
      <c r="W17" s="289"/>
      <c r="X17" s="268"/>
      <c r="Y17" s="268"/>
      <c r="Z17" s="268"/>
      <c r="AA17" s="268"/>
      <c r="AB17" s="268"/>
      <c r="AC17" s="268"/>
    </row>
    <row r="18" spans="1:29" x14ac:dyDescent="0.2">
      <c r="A18" s="33" t="s">
        <v>172</v>
      </c>
      <c r="B18" s="229">
        <f t="shared" ref="B18:J18" si="8">SUM(B13:B17)</f>
        <v>38678</v>
      </c>
      <c r="C18" s="229">
        <f t="shared" si="8"/>
        <v>186949125.71999997</v>
      </c>
      <c r="D18" s="229">
        <f t="shared" si="8"/>
        <v>27990728.089999996</v>
      </c>
      <c r="E18" s="229">
        <f t="shared" si="8"/>
        <v>49527638.009999998</v>
      </c>
      <c r="F18" s="229">
        <f t="shared" si="8"/>
        <v>246872698.45000002</v>
      </c>
      <c r="G18" s="229">
        <f t="shared" si="8"/>
        <v>61714051.359999999</v>
      </c>
      <c r="H18" s="229">
        <f t="shared" si="8"/>
        <v>13931147.840000002</v>
      </c>
      <c r="I18" s="339">
        <f t="shared" si="8"/>
        <v>573054241.63</v>
      </c>
      <c r="J18" s="339">
        <f t="shared" si="8"/>
        <v>586985389.47000003</v>
      </c>
      <c r="K18" s="340">
        <f>I18/B18</f>
        <v>14816.025689797818</v>
      </c>
      <c r="L18" s="321">
        <f t="shared" si="5"/>
        <v>15176.208425202958</v>
      </c>
      <c r="M18" s="221"/>
      <c r="O18" s="287"/>
      <c r="P18" s="287"/>
      <c r="Q18" s="287"/>
      <c r="R18" s="287"/>
      <c r="S18" s="287"/>
      <c r="T18" s="287"/>
      <c r="U18" s="287"/>
      <c r="V18" s="287"/>
      <c r="W18" s="287"/>
      <c r="X18" s="268"/>
      <c r="Y18" s="268"/>
      <c r="Z18" s="268"/>
      <c r="AA18" s="268"/>
      <c r="AB18" s="268"/>
      <c r="AC18" s="268"/>
    </row>
    <row r="19" spans="1:29" x14ac:dyDescent="0.2">
      <c r="A19" s="33"/>
      <c r="B19" s="229"/>
      <c r="C19" s="214"/>
      <c r="D19" s="214"/>
      <c r="E19" s="214"/>
      <c r="F19" s="214"/>
      <c r="G19" s="214"/>
      <c r="H19" s="214"/>
      <c r="I19" s="214"/>
      <c r="J19" s="214"/>
      <c r="K19" s="321"/>
      <c r="L19" s="321"/>
      <c r="M19" s="221"/>
      <c r="O19" s="287"/>
      <c r="P19" s="287"/>
      <c r="Q19" s="287"/>
      <c r="R19" s="287"/>
      <c r="S19" s="287"/>
      <c r="T19" s="287"/>
      <c r="U19" s="287"/>
      <c r="V19" s="287"/>
      <c r="W19" s="287"/>
      <c r="X19" s="268"/>
      <c r="Y19" s="268"/>
      <c r="Z19" s="268"/>
      <c r="AA19" s="268"/>
      <c r="AB19" s="268"/>
      <c r="AC19" s="268"/>
    </row>
    <row r="20" spans="1:29" x14ac:dyDescent="0.2">
      <c r="A20" s="33"/>
      <c r="B20" s="229"/>
      <c r="C20" s="214"/>
      <c r="D20" s="214"/>
      <c r="E20" s="214"/>
      <c r="F20" s="214"/>
      <c r="G20" s="214"/>
      <c r="H20" s="214"/>
      <c r="I20" s="214"/>
      <c r="J20" s="214"/>
      <c r="K20" s="321"/>
      <c r="L20" s="321"/>
      <c r="M20" s="221"/>
      <c r="O20" s="287"/>
      <c r="P20" s="287"/>
      <c r="Q20" s="287"/>
      <c r="R20" s="287"/>
      <c r="S20" s="287"/>
      <c r="T20" s="287"/>
      <c r="U20" s="287"/>
      <c r="V20" s="287"/>
      <c r="W20" s="281"/>
      <c r="X20" s="268"/>
      <c r="Y20" s="268"/>
      <c r="Z20" s="268"/>
      <c r="AA20" s="268"/>
      <c r="AB20" s="268"/>
      <c r="AC20" s="268"/>
    </row>
    <row r="21" spans="1:29" ht="15" x14ac:dyDescent="0.25">
      <c r="A21" s="33" t="s">
        <v>86</v>
      </c>
      <c r="B21" s="214">
        <v>14822</v>
      </c>
      <c r="C21" s="214">
        <v>60947801.219999991</v>
      </c>
      <c r="D21" s="214">
        <v>8261728.6999999993</v>
      </c>
      <c r="E21" s="214">
        <v>14997529.220000003</v>
      </c>
      <c r="F21" s="214">
        <v>85133329.75</v>
      </c>
      <c r="G21" s="214">
        <v>22546906.400000006</v>
      </c>
      <c r="H21" s="214">
        <v>19239614.029999997</v>
      </c>
      <c r="I21" s="221">
        <f>SUM(C21:G21)</f>
        <v>191887295.28999999</v>
      </c>
      <c r="J21" s="221">
        <f>SUM(C21:H21)</f>
        <v>211126909.31999999</v>
      </c>
      <c r="K21" s="321">
        <f t="shared" si="3"/>
        <v>12946.113566995007</v>
      </c>
      <c r="L21" s="321">
        <f>J21/B21</f>
        <v>14244.157962488192</v>
      </c>
      <c r="M21" s="221"/>
      <c r="O21" s="283"/>
      <c r="P21" s="289"/>
      <c r="Q21" s="289"/>
      <c r="R21" s="289"/>
      <c r="S21" s="289"/>
      <c r="T21" s="289"/>
      <c r="U21" s="289"/>
      <c r="V21" s="289"/>
      <c r="W21" s="289"/>
      <c r="X21" s="268"/>
      <c r="Y21" s="268"/>
      <c r="Z21" s="268"/>
      <c r="AA21" s="268"/>
      <c r="AB21" s="268"/>
      <c r="AC21" s="268"/>
    </row>
    <row r="22" spans="1:29" ht="15" x14ac:dyDescent="0.25">
      <c r="A22" s="33" t="s">
        <v>87</v>
      </c>
      <c r="B22" s="220">
        <v>7280</v>
      </c>
      <c r="C22" s="220">
        <v>42886369.329999991</v>
      </c>
      <c r="D22" s="220">
        <v>8862119.3499999996</v>
      </c>
      <c r="E22" s="220">
        <v>11891075.680000003</v>
      </c>
      <c r="F22" s="220">
        <v>53129142.900000013</v>
      </c>
      <c r="G22" s="220">
        <v>19775117.049999997</v>
      </c>
      <c r="H22" s="220">
        <v>11577511.159999998</v>
      </c>
      <c r="I22" s="221">
        <f>SUM(C22:G22)</f>
        <v>136543824.31</v>
      </c>
      <c r="J22" s="221">
        <f>SUM(C22:H22)</f>
        <v>148121335.47</v>
      </c>
      <c r="K22" s="321">
        <f t="shared" si="3"/>
        <v>18756.019822802198</v>
      </c>
      <c r="L22" s="322">
        <f>J22/B22</f>
        <v>20346.337289835166</v>
      </c>
      <c r="M22" s="221"/>
      <c r="O22" s="283"/>
      <c r="P22" s="289"/>
      <c r="Q22" s="289"/>
      <c r="R22" s="289"/>
      <c r="S22" s="289"/>
      <c r="T22" s="289"/>
      <c r="U22" s="289"/>
      <c r="V22" s="289"/>
      <c r="W22" s="289"/>
      <c r="X22" s="268"/>
      <c r="Y22" s="268"/>
      <c r="Z22" s="268"/>
      <c r="AA22" s="268"/>
      <c r="AB22" s="268"/>
      <c r="AC22" s="268"/>
    </row>
    <row r="23" spans="1:29" x14ac:dyDescent="0.2">
      <c r="A23" s="33" t="s">
        <v>173</v>
      </c>
      <c r="B23" s="221">
        <f t="shared" ref="B23:J23" si="9">SUM(B21:B22)</f>
        <v>22102</v>
      </c>
      <c r="C23" s="221">
        <f t="shared" si="9"/>
        <v>103834170.54999998</v>
      </c>
      <c r="D23" s="221">
        <f t="shared" si="9"/>
        <v>17123848.049999997</v>
      </c>
      <c r="E23" s="221">
        <f t="shared" si="9"/>
        <v>26888604.900000006</v>
      </c>
      <c r="F23" s="221">
        <f t="shared" si="9"/>
        <v>138262472.65000001</v>
      </c>
      <c r="G23" s="221">
        <f t="shared" si="9"/>
        <v>42322023.450000003</v>
      </c>
      <c r="H23" s="221">
        <f t="shared" si="9"/>
        <v>30817125.189999998</v>
      </c>
      <c r="I23" s="339">
        <f t="shared" si="9"/>
        <v>328431119.60000002</v>
      </c>
      <c r="J23" s="339">
        <f t="shared" si="9"/>
        <v>359248244.78999996</v>
      </c>
      <c r="K23" s="340">
        <f>I23/B23</f>
        <v>14859.791855940641</v>
      </c>
      <c r="L23" s="323">
        <f>J23/B23</f>
        <v>16254.105727535967</v>
      </c>
      <c r="M23" s="221"/>
      <c r="O23" s="287"/>
      <c r="P23" s="287"/>
      <c r="Q23" s="287"/>
      <c r="R23" s="287"/>
      <c r="S23" s="287"/>
      <c r="T23" s="287"/>
      <c r="U23" s="287"/>
      <c r="V23" s="287"/>
      <c r="W23" s="287"/>
    </row>
    <row r="24" spans="1:29" x14ac:dyDescent="0.2">
      <c r="A24" s="33"/>
      <c r="B24" s="214"/>
      <c r="C24" s="214"/>
      <c r="D24" s="214"/>
      <c r="E24" s="214"/>
      <c r="F24" s="214"/>
      <c r="G24" s="214"/>
      <c r="H24" s="214"/>
      <c r="I24" s="214"/>
      <c r="J24" s="214"/>
      <c r="K24" s="321"/>
      <c r="L24" s="214"/>
      <c r="M24" s="221"/>
    </row>
    <row r="25" spans="1:29" ht="13.5" thickBot="1" x14ac:dyDescent="0.25">
      <c r="A25" s="33" t="s">
        <v>174</v>
      </c>
      <c r="B25" s="222">
        <f>B23+B18+B10</f>
        <v>153715</v>
      </c>
      <c r="C25" s="192">
        <f t="shared" ref="C25:J25" si="10">C10+C18+C23</f>
        <v>630569337.28999996</v>
      </c>
      <c r="D25" s="192">
        <f t="shared" si="10"/>
        <v>77999743.769999996</v>
      </c>
      <c r="E25" s="192">
        <f t="shared" si="10"/>
        <v>178003398.80000001</v>
      </c>
      <c r="F25" s="192">
        <f t="shared" si="10"/>
        <v>897833520.44000006</v>
      </c>
      <c r="G25" s="192">
        <f t="shared" si="10"/>
        <v>297066077.13</v>
      </c>
      <c r="H25" s="192">
        <f t="shared" si="10"/>
        <v>180853017.63000003</v>
      </c>
      <c r="I25" s="192">
        <f>I10+I18+I23</f>
        <v>2081472077.4299998</v>
      </c>
      <c r="J25" s="192">
        <f t="shared" si="10"/>
        <v>2262325095.0599995</v>
      </c>
      <c r="K25" s="222">
        <f>I25/B25</f>
        <v>13541.112301532055</v>
      </c>
      <c r="L25" s="222">
        <f>J25/B25</f>
        <v>14717.659922974331</v>
      </c>
      <c r="M25" s="221"/>
    </row>
    <row r="26" spans="1:29" ht="13.5" thickTop="1" x14ac:dyDescent="0.2">
      <c r="A26" s="33"/>
      <c r="B26" s="296"/>
      <c r="C26" s="182"/>
      <c r="D26" s="182"/>
      <c r="E26" s="182"/>
      <c r="F26" s="182"/>
      <c r="G26" s="182"/>
      <c r="H26" s="182"/>
      <c r="I26" s="182"/>
      <c r="J26" s="182"/>
      <c r="K26" s="182"/>
      <c r="L26" s="182"/>
      <c r="M26" s="182"/>
    </row>
    <row r="27" spans="1:29" x14ac:dyDescent="0.2">
      <c r="A27" s="33"/>
      <c r="B27" s="182"/>
      <c r="C27" s="33"/>
      <c r="D27" s="33"/>
      <c r="E27" s="33"/>
      <c r="F27" s="33"/>
      <c r="G27" s="33"/>
      <c r="H27" s="33"/>
      <c r="I27" s="33"/>
      <c r="J27" s="33"/>
      <c r="K27" s="33"/>
      <c r="L27" s="182"/>
      <c r="M27" s="182"/>
    </row>
    <row r="28" spans="1:29" x14ac:dyDescent="0.2">
      <c r="A28" s="36" t="s">
        <v>200</v>
      </c>
      <c r="B28" s="22"/>
      <c r="C28" s="36"/>
      <c r="D28" s="36"/>
      <c r="E28" s="36"/>
      <c r="F28" s="36"/>
      <c r="G28" s="36"/>
      <c r="H28" s="36"/>
      <c r="I28" s="36"/>
      <c r="J28" s="36"/>
      <c r="K28" s="36"/>
      <c r="L28" s="22"/>
      <c r="M28" s="182"/>
    </row>
    <row r="29" spans="1:29" x14ac:dyDescent="0.2">
      <c r="A29" s="36" t="s">
        <v>10</v>
      </c>
      <c r="B29" s="22" t="str">
        <f>C2</f>
        <v>FY22</v>
      </c>
      <c r="C29" s="223"/>
      <c r="D29" s="223"/>
      <c r="E29" s="223"/>
      <c r="F29" s="223"/>
      <c r="G29" s="223"/>
      <c r="H29" s="223"/>
      <c r="I29" s="223"/>
      <c r="J29" s="223"/>
      <c r="K29" s="223"/>
      <c r="L29" s="182"/>
    </row>
    <row r="30" spans="1:29" ht="33.75" x14ac:dyDescent="0.2">
      <c r="A30" s="20" t="s">
        <v>245</v>
      </c>
      <c r="B30" s="202" t="str">
        <f>B3</f>
        <v>ANB22</v>
      </c>
      <c r="C30" s="202" t="str">
        <f t="shared" ref="C30:H30" si="11">C3</f>
        <v>22/Pupil Property Tax</v>
      </c>
      <c r="D30" s="202" t="str">
        <f t="shared" si="11"/>
        <v>22/Pupil Non Levy Revenue</v>
      </c>
      <c r="E30" s="202" t="str">
        <f t="shared" si="11"/>
        <v>22/Pupil County Revenue</v>
      </c>
      <c r="F30" s="202" t="str">
        <f t="shared" si="11"/>
        <v>22/Pupil State Revenue</v>
      </c>
      <c r="G30" s="202" t="str">
        <f t="shared" si="11"/>
        <v>22/Pupil Federal Revenue</v>
      </c>
      <c r="H30" s="202" t="str">
        <f t="shared" si="11"/>
        <v>22Federal CARES Revenue</v>
      </c>
      <c r="I30" s="202" t="str">
        <f>K3</f>
        <v>22/Rev Per ANB NO CARES</v>
      </c>
      <c r="J30" s="202" t="str">
        <f>L3</f>
        <v>22/Rev Per ANB WITH CARES</v>
      </c>
      <c r="K30" s="202"/>
      <c r="L30" s="202"/>
      <c r="M30" s="202"/>
    </row>
    <row r="31" spans="1:29" x14ac:dyDescent="0.2">
      <c r="A31" s="33"/>
      <c r="B31" s="182"/>
      <c r="C31" s="182"/>
      <c r="D31" s="182"/>
      <c r="E31" s="182"/>
      <c r="F31" s="182"/>
      <c r="G31" s="182"/>
      <c r="H31" s="182"/>
      <c r="I31" s="182"/>
      <c r="J31" s="33"/>
      <c r="K31" s="33"/>
      <c r="L31" s="182"/>
    </row>
    <row r="32" spans="1:29" x14ac:dyDescent="0.2">
      <c r="A32" s="33" t="s">
        <v>102</v>
      </c>
      <c r="B32" s="221">
        <f t="shared" ref="B32:B37" si="12">B4</f>
        <v>41340</v>
      </c>
      <c r="C32" s="182">
        <f t="shared" ref="C32:J38" si="13">C4/$B32</f>
        <v>3969.1509305757136</v>
      </c>
      <c r="D32" s="182">
        <f t="shared" si="13"/>
        <v>174.60831349782293</v>
      </c>
      <c r="E32" s="182">
        <f t="shared" si="13"/>
        <v>1017.3577278664732</v>
      </c>
      <c r="F32" s="182">
        <f t="shared" si="13"/>
        <v>5370.1891792452825</v>
      </c>
      <c r="G32" s="182">
        <f t="shared" si="13"/>
        <v>1340.2807597968069</v>
      </c>
      <c r="H32" s="214">
        <f t="shared" si="13"/>
        <v>1406.2417312530238</v>
      </c>
      <c r="I32" s="182">
        <f>I4/$B32</f>
        <v>11871.5869109821</v>
      </c>
      <c r="J32" s="182">
        <f t="shared" si="13"/>
        <v>13277.828642235121</v>
      </c>
      <c r="K32" s="182"/>
      <c r="L32" s="182"/>
      <c r="M32" s="182"/>
    </row>
    <row r="33" spans="1:13" x14ac:dyDescent="0.2">
      <c r="A33" s="33" t="s">
        <v>76</v>
      </c>
      <c r="B33" s="221">
        <f t="shared" si="12"/>
        <v>17505</v>
      </c>
      <c r="C33" s="182">
        <f t="shared" si="13"/>
        <v>3465.8658440445583</v>
      </c>
      <c r="D33" s="182">
        <f t="shared" si="13"/>
        <v>227.74503056269637</v>
      </c>
      <c r="E33" s="182">
        <f t="shared" si="13"/>
        <v>1127.4709882890604</v>
      </c>
      <c r="F33" s="182">
        <f t="shared" si="13"/>
        <v>5437.8096675235638</v>
      </c>
      <c r="G33" s="182">
        <f t="shared" si="13"/>
        <v>2668.0068140531275</v>
      </c>
      <c r="H33" s="214">
        <f t="shared" si="13"/>
        <v>1383.0494744358753</v>
      </c>
      <c r="I33" s="182">
        <f t="shared" si="13"/>
        <v>12926.898344473007</v>
      </c>
      <c r="J33" s="182">
        <f t="shared" si="13"/>
        <v>14309.947818908882</v>
      </c>
      <c r="K33" s="182"/>
      <c r="L33" s="182"/>
      <c r="M33" s="182"/>
    </row>
    <row r="34" spans="1:13" x14ac:dyDescent="0.2">
      <c r="A34" s="33" t="s">
        <v>77</v>
      </c>
      <c r="B34" s="221">
        <f t="shared" si="12"/>
        <v>14921</v>
      </c>
      <c r="C34" s="182">
        <f t="shared" si="13"/>
        <v>3054.9503813417332</v>
      </c>
      <c r="D34" s="182">
        <f t="shared" si="13"/>
        <v>335.07790161517323</v>
      </c>
      <c r="E34" s="182">
        <f t="shared" si="13"/>
        <v>1115.9544521144696</v>
      </c>
      <c r="F34" s="182">
        <f t="shared" si="13"/>
        <v>5644.2563581529394</v>
      </c>
      <c r="G34" s="182">
        <f t="shared" si="13"/>
        <v>2638.7689799611289</v>
      </c>
      <c r="H34" s="214">
        <f t="shared" si="13"/>
        <v>1341.6979398163662</v>
      </c>
      <c r="I34" s="182">
        <f t="shared" si="13"/>
        <v>12789.008073185441</v>
      </c>
      <c r="J34" s="182">
        <f t="shared" si="13"/>
        <v>14130.706013001809</v>
      </c>
      <c r="K34" s="182"/>
      <c r="L34" s="182"/>
      <c r="M34" s="182"/>
    </row>
    <row r="35" spans="1:13" x14ac:dyDescent="0.2">
      <c r="A35" s="33" t="s">
        <v>78</v>
      </c>
      <c r="B35" s="221">
        <f t="shared" si="12"/>
        <v>12983</v>
      </c>
      <c r="C35" s="182">
        <f t="shared" si="13"/>
        <v>3287.6467588384821</v>
      </c>
      <c r="D35" s="182">
        <f t="shared" si="13"/>
        <v>558.85407301856276</v>
      </c>
      <c r="E35" s="182">
        <f t="shared" si="13"/>
        <v>1134.8863467611488</v>
      </c>
      <c r="F35" s="182">
        <f t="shared" si="13"/>
        <v>5577.7307194022951</v>
      </c>
      <c r="G35" s="182">
        <f t="shared" si="13"/>
        <v>2360.409256720327</v>
      </c>
      <c r="H35" s="214">
        <f t="shared" si="13"/>
        <v>1626.3737433566973</v>
      </c>
      <c r="I35" s="182">
        <f t="shared" si="13"/>
        <v>12919.527154740816</v>
      </c>
      <c r="J35" s="182">
        <f t="shared" si="13"/>
        <v>14545.900898097514</v>
      </c>
      <c r="K35" s="182"/>
      <c r="L35" s="182"/>
      <c r="M35" s="182"/>
    </row>
    <row r="36" spans="1:13" x14ac:dyDescent="0.2">
      <c r="A36" s="33" t="s">
        <v>79</v>
      </c>
      <c r="B36" s="221">
        <f t="shared" si="12"/>
        <v>4802</v>
      </c>
      <c r="C36" s="182">
        <f t="shared" si="13"/>
        <v>4144.1681132861286</v>
      </c>
      <c r="D36" s="182">
        <f t="shared" si="13"/>
        <v>1565.8764098292374</v>
      </c>
      <c r="E36" s="182">
        <f t="shared" si="13"/>
        <v>1354.4634818825493</v>
      </c>
      <c r="F36" s="182">
        <f t="shared" si="13"/>
        <v>6237.0185693461035</v>
      </c>
      <c r="G36" s="182">
        <f t="shared" si="13"/>
        <v>3639.0167680133286</v>
      </c>
      <c r="H36" s="214">
        <f t="shared" si="13"/>
        <v>1947.7058288213241</v>
      </c>
      <c r="I36" s="182">
        <f t="shared" si="13"/>
        <v>16940.543342357349</v>
      </c>
      <c r="J36" s="182">
        <f t="shared" si="13"/>
        <v>18888.249171178675</v>
      </c>
      <c r="K36" s="182"/>
      <c r="L36" s="182"/>
      <c r="M36" s="182"/>
    </row>
    <row r="37" spans="1:13" x14ac:dyDescent="0.2">
      <c r="A37" s="33" t="s">
        <v>80</v>
      </c>
      <c r="B37" s="220">
        <f t="shared" si="12"/>
        <v>1384</v>
      </c>
      <c r="C37" s="183">
        <f t="shared" si="13"/>
        <v>4959.9943352601149</v>
      </c>
      <c r="D37" s="183">
        <f t="shared" si="13"/>
        <v>1376.8387789017343</v>
      </c>
      <c r="E37" s="183">
        <f t="shared" si="13"/>
        <v>1375.4973338150294</v>
      </c>
      <c r="F37" s="183">
        <f t="shared" si="13"/>
        <v>6446.5897543352603</v>
      </c>
      <c r="G37" s="183">
        <f t="shared" si="13"/>
        <v>2475.8038872832362</v>
      </c>
      <c r="H37" s="220">
        <f t="shared" si="13"/>
        <v>2364.7844797687858</v>
      </c>
      <c r="I37" s="183">
        <f t="shared" si="13"/>
        <v>16634.724089595376</v>
      </c>
      <c r="J37" s="183">
        <f t="shared" si="13"/>
        <v>18999.508569364163</v>
      </c>
      <c r="K37" s="182"/>
      <c r="L37" s="182"/>
      <c r="M37" s="182"/>
    </row>
    <row r="38" spans="1:13" x14ac:dyDescent="0.2">
      <c r="A38" s="33" t="s">
        <v>171</v>
      </c>
      <c r="B38" s="221">
        <f>SUM(B32:B37)</f>
        <v>92935</v>
      </c>
      <c r="C38" s="182">
        <f t="shared" si="13"/>
        <v>3656.1687310485822</v>
      </c>
      <c r="D38" s="182">
        <f t="shared" si="13"/>
        <v>353.85126841340718</v>
      </c>
      <c r="E38" s="182">
        <f t="shared" si="13"/>
        <v>1093.0990034970678</v>
      </c>
      <c r="F38" s="182">
        <f t="shared" si="13"/>
        <v>5516.7412636789159</v>
      </c>
      <c r="G38" s="182">
        <f t="shared" si="13"/>
        <v>2077.0431195997203</v>
      </c>
      <c r="H38" s="214">
        <f t="shared" si="13"/>
        <v>1464.515463495992</v>
      </c>
      <c r="I38" s="182">
        <f t="shared" si="13"/>
        <v>12696.903386237693</v>
      </c>
      <c r="J38" s="182">
        <f t="shared" si="13"/>
        <v>14161.418849733682</v>
      </c>
      <c r="K38" s="182"/>
      <c r="L38" s="182"/>
      <c r="M38" s="182"/>
    </row>
    <row r="39" spans="1:13" x14ac:dyDescent="0.2">
      <c r="A39" s="33"/>
      <c r="B39" s="182"/>
      <c r="C39" s="182"/>
      <c r="D39" s="182"/>
      <c r="E39" s="182"/>
      <c r="F39" s="182"/>
      <c r="G39" s="182"/>
      <c r="H39" s="214"/>
      <c r="I39" s="182"/>
      <c r="J39" s="182"/>
      <c r="K39" s="182"/>
      <c r="L39" s="182"/>
      <c r="M39" s="182"/>
    </row>
    <row r="40" spans="1:13" x14ac:dyDescent="0.2">
      <c r="A40" s="33"/>
      <c r="B40" s="221"/>
      <c r="C40" s="182"/>
      <c r="D40" s="182"/>
      <c r="E40" s="182"/>
      <c r="F40" s="182"/>
      <c r="G40" s="182"/>
      <c r="H40" s="214"/>
      <c r="I40" s="182"/>
      <c r="J40" s="182"/>
      <c r="K40" s="182"/>
      <c r="L40" s="182"/>
      <c r="M40" s="182"/>
    </row>
    <row r="41" spans="1:13" x14ac:dyDescent="0.2">
      <c r="A41" s="33" t="s">
        <v>81</v>
      </c>
      <c r="B41" s="221">
        <f>B13</f>
        <v>22026</v>
      </c>
      <c r="C41" s="182">
        <f t="shared" ref="C41:J53" si="14">C13/$B41</f>
        <v>4683.0611740670111</v>
      </c>
      <c r="D41" s="182">
        <f t="shared" si="14"/>
        <v>417.83997866158171</v>
      </c>
      <c r="E41" s="182">
        <f t="shared" si="14"/>
        <v>1119.6299950059019</v>
      </c>
      <c r="F41" s="182">
        <f t="shared" si="14"/>
        <v>5814.5731771542723</v>
      </c>
      <c r="G41" s="182">
        <f t="shared" si="14"/>
        <v>1073.2796041042404</v>
      </c>
      <c r="H41" s="214">
        <f t="shared" si="14"/>
        <v>481.31610914373925</v>
      </c>
      <c r="I41" s="182">
        <f t="shared" si="14"/>
        <v>13108.383928993009</v>
      </c>
      <c r="J41" s="182">
        <f t="shared" si="14"/>
        <v>13589.700038136749</v>
      </c>
      <c r="K41" s="182"/>
      <c r="L41" s="182"/>
      <c r="M41" s="182"/>
    </row>
    <row r="42" spans="1:13" x14ac:dyDescent="0.2">
      <c r="A42" s="33" t="s">
        <v>82</v>
      </c>
      <c r="B42" s="221">
        <f>B14</f>
        <v>6094</v>
      </c>
      <c r="C42" s="182">
        <f t="shared" si="14"/>
        <v>4362.3012897932394</v>
      </c>
      <c r="D42" s="182">
        <f t="shared" si="14"/>
        <v>420.78899737446676</v>
      </c>
      <c r="E42" s="182">
        <f t="shared" si="14"/>
        <v>1332.5557909419101</v>
      </c>
      <c r="F42" s="182">
        <f t="shared" si="14"/>
        <v>5992.3772021660652</v>
      </c>
      <c r="G42" s="182">
        <f t="shared" si="14"/>
        <v>2141.6593862815885</v>
      </c>
      <c r="H42" s="214">
        <f t="shared" si="14"/>
        <v>7.3843124384640628</v>
      </c>
      <c r="I42" s="182">
        <f t="shared" si="14"/>
        <v>14249.68266655727</v>
      </c>
      <c r="J42" s="182">
        <f t="shared" si="14"/>
        <v>14257.066978995734</v>
      </c>
      <c r="K42" s="182"/>
      <c r="L42" s="182"/>
      <c r="M42" s="182"/>
    </row>
    <row r="43" spans="1:13" x14ac:dyDescent="0.2">
      <c r="A43" s="33" t="s">
        <v>83</v>
      </c>
      <c r="B43" s="221">
        <f>B15</f>
        <v>5366</v>
      </c>
      <c r="C43" s="182">
        <f t="shared" si="14"/>
        <v>4659.6620704435327</v>
      </c>
      <c r="D43" s="182">
        <f t="shared" si="14"/>
        <v>1123.9162094670146</v>
      </c>
      <c r="E43" s="182">
        <f t="shared" si="14"/>
        <v>1267.5892862467388</v>
      </c>
      <c r="F43" s="182">
        <f t="shared" si="14"/>
        <v>6757.6678251956755</v>
      </c>
      <c r="G43" s="182">
        <f t="shared" si="14"/>
        <v>1696.5868300409988</v>
      </c>
      <c r="H43" s="214">
        <f t="shared" si="14"/>
        <v>413.56612374207981</v>
      </c>
      <c r="I43" s="182">
        <f t="shared" si="14"/>
        <v>15505.422221393959</v>
      </c>
      <c r="J43" s="182">
        <f t="shared" si="14"/>
        <v>15918.988345136038</v>
      </c>
      <c r="K43" s="182"/>
      <c r="L43" s="182"/>
      <c r="M43" s="182"/>
    </row>
    <row r="44" spans="1:13" x14ac:dyDescent="0.2">
      <c r="A44" s="33" t="s">
        <v>84</v>
      </c>
      <c r="B44" s="221">
        <f>B16</f>
        <v>3820</v>
      </c>
      <c r="C44" s="182">
        <f t="shared" si="14"/>
        <v>5150.8702801047129</v>
      </c>
      <c r="D44" s="182">
        <f t="shared" si="14"/>
        <v>1667.1694947643978</v>
      </c>
      <c r="E44" s="182">
        <f t="shared" si="14"/>
        <v>1721.9228900523558</v>
      </c>
      <c r="F44" s="182">
        <f t="shared" si="14"/>
        <v>7983.3232513088997</v>
      </c>
      <c r="G44" s="182">
        <f t="shared" si="14"/>
        <v>3092.7396335078533</v>
      </c>
      <c r="H44" s="214">
        <f t="shared" si="14"/>
        <v>172.61879842931938</v>
      </c>
      <c r="I44" s="182">
        <f t="shared" si="14"/>
        <v>19616.02554973822</v>
      </c>
      <c r="J44" s="182">
        <f t="shared" si="14"/>
        <v>19788.644348167541</v>
      </c>
      <c r="K44" s="182"/>
      <c r="L44" s="182"/>
      <c r="M44" s="182"/>
    </row>
    <row r="45" spans="1:13" x14ac:dyDescent="0.2">
      <c r="A45" s="33" t="s">
        <v>85</v>
      </c>
      <c r="B45" s="220">
        <f>B17</f>
        <v>1372</v>
      </c>
      <c r="C45" s="183">
        <f t="shared" si="14"/>
        <v>9137.0882653061217</v>
      </c>
      <c r="D45" s="183">
        <f t="shared" si="14"/>
        <v>2786.862040816326</v>
      </c>
      <c r="E45" s="183">
        <f t="shared" si="14"/>
        <v>2453.6758017492716</v>
      </c>
      <c r="F45" s="183">
        <f t="shared" si="14"/>
        <v>11315.905692419823</v>
      </c>
      <c r="G45" s="183">
        <f t="shared" si="14"/>
        <v>2991.6706778425655</v>
      </c>
      <c r="H45" s="220">
        <f t="shared" si="14"/>
        <v>295.97637755102039</v>
      </c>
      <c r="I45" s="183">
        <f t="shared" si="14"/>
        <v>28685.20247813411</v>
      </c>
      <c r="J45" s="183">
        <f t="shared" si="14"/>
        <v>28981.178855685132</v>
      </c>
      <c r="K45" s="182"/>
      <c r="L45" s="182"/>
      <c r="M45" s="182"/>
    </row>
    <row r="46" spans="1:13" x14ac:dyDescent="0.2">
      <c r="A46" s="33" t="s">
        <v>172</v>
      </c>
      <c r="B46" s="221">
        <f>SUM(B41:B45)</f>
        <v>38678</v>
      </c>
      <c r="C46" s="182">
        <f t="shared" si="14"/>
        <v>4833.4744743781985</v>
      </c>
      <c r="D46" s="182">
        <f t="shared" si="14"/>
        <v>723.68602538911</v>
      </c>
      <c r="E46" s="182">
        <f t="shared" si="14"/>
        <v>1280.5118674698795</v>
      </c>
      <c r="F46" s="182">
        <f t="shared" si="14"/>
        <v>6382.7679417239779</v>
      </c>
      <c r="G46" s="182">
        <f t="shared" si="14"/>
        <v>1595.5853808366512</v>
      </c>
      <c r="H46" s="214">
        <f t="shared" si="14"/>
        <v>360.18273540513991</v>
      </c>
      <c r="I46" s="182">
        <f t="shared" si="14"/>
        <v>14816.025689797818</v>
      </c>
      <c r="J46" s="182">
        <f t="shared" si="14"/>
        <v>15176.208425202958</v>
      </c>
      <c r="K46" s="182"/>
      <c r="L46" s="182"/>
      <c r="M46" s="182"/>
    </row>
    <row r="47" spans="1:13" x14ac:dyDescent="0.2">
      <c r="A47" s="33"/>
      <c r="B47" s="182"/>
      <c r="C47" s="182"/>
      <c r="D47" s="182"/>
      <c r="E47" s="182"/>
      <c r="F47" s="182"/>
      <c r="G47" s="182"/>
      <c r="H47" s="214"/>
      <c r="I47" s="182"/>
      <c r="J47" s="182"/>
      <c r="K47" s="182"/>
      <c r="L47" s="182"/>
      <c r="M47" s="182"/>
    </row>
    <row r="48" spans="1:13" x14ac:dyDescent="0.2">
      <c r="A48" s="33"/>
      <c r="B48" s="221"/>
      <c r="C48" s="182"/>
      <c r="D48" s="182"/>
      <c r="E48" s="182"/>
      <c r="F48" s="182"/>
      <c r="G48" s="182"/>
      <c r="H48" s="214"/>
      <c r="I48" s="182"/>
      <c r="J48" s="182"/>
      <c r="K48" s="182"/>
      <c r="L48" s="182"/>
      <c r="M48" s="182"/>
    </row>
    <row r="49" spans="1:13" x14ac:dyDescent="0.2">
      <c r="A49" s="33" t="s">
        <v>86</v>
      </c>
      <c r="B49" s="221">
        <f>B21</f>
        <v>14822</v>
      </c>
      <c r="C49" s="182">
        <f t="shared" ref="C49:H51" si="15">C21/$B49</f>
        <v>4111.9822709485898</v>
      </c>
      <c r="D49" s="182">
        <f t="shared" si="15"/>
        <v>557.39635002024011</v>
      </c>
      <c r="E49" s="182">
        <f t="shared" si="15"/>
        <v>1011.8424787478075</v>
      </c>
      <c r="F49" s="182">
        <f t="shared" si="15"/>
        <v>5743.7140568074483</v>
      </c>
      <c r="G49" s="182">
        <f t="shared" si="15"/>
        <v>1521.178410470922</v>
      </c>
      <c r="H49" s="214">
        <f t="shared" si="15"/>
        <v>1298.0443954931857</v>
      </c>
      <c r="I49" s="182">
        <f t="shared" si="14"/>
        <v>12946.113566995007</v>
      </c>
      <c r="J49" s="182">
        <f>J21/$B49</f>
        <v>14244.157962488192</v>
      </c>
      <c r="K49" s="182"/>
      <c r="L49" s="182"/>
      <c r="M49" s="182"/>
    </row>
    <row r="50" spans="1:13" x14ac:dyDescent="0.2">
      <c r="A50" s="33" t="s">
        <v>87</v>
      </c>
      <c r="B50" s="220">
        <f>B22</f>
        <v>7280</v>
      </c>
      <c r="C50" s="183">
        <f t="shared" si="15"/>
        <v>5890.9847980769218</v>
      </c>
      <c r="D50" s="183">
        <f t="shared" si="15"/>
        <v>1217.3240865384614</v>
      </c>
      <c r="E50" s="183">
        <f t="shared" si="15"/>
        <v>1633.3895164835169</v>
      </c>
      <c r="F50" s="183">
        <f t="shared" si="15"/>
        <v>7297.9591895604417</v>
      </c>
      <c r="G50" s="183">
        <f t="shared" si="15"/>
        <v>2716.3622321428566</v>
      </c>
      <c r="H50" s="220">
        <f t="shared" si="15"/>
        <v>1590.3174670329668</v>
      </c>
      <c r="I50" s="183">
        <f t="shared" si="14"/>
        <v>18756.019822802198</v>
      </c>
      <c r="J50" s="183">
        <f>J22/$B50</f>
        <v>20346.337289835166</v>
      </c>
      <c r="K50" s="182"/>
      <c r="L50" s="182"/>
      <c r="M50" s="182"/>
    </row>
    <row r="51" spans="1:13" x14ac:dyDescent="0.2">
      <c r="A51" s="33" t="s">
        <v>173</v>
      </c>
      <c r="B51" s="221">
        <f>SUM(B49:B50)</f>
        <v>22102</v>
      </c>
      <c r="C51" s="182">
        <f t="shared" si="15"/>
        <v>4697.9536037462667</v>
      </c>
      <c r="D51" s="182">
        <f t="shared" si="15"/>
        <v>774.76463894670155</v>
      </c>
      <c r="E51" s="182">
        <f t="shared" si="15"/>
        <v>1216.5688580218987</v>
      </c>
      <c r="F51" s="182">
        <f t="shared" si="15"/>
        <v>6255.6543593339975</v>
      </c>
      <c r="G51" s="182">
        <f t="shared" si="15"/>
        <v>1914.8503958917747</v>
      </c>
      <c r="H51" s="214">
        <f t="shared" si="15"/>
        <v>1394.3138715953307</v>
      </c>
      <c r="I51" s="182">
        <f t="shared" si="14"/>
        <v>14859.791855940641</v>
      </c>
      <c r="J51" s="182">
        <f>J23/$B51</f>
        <v>16254.105727535967</v>
      </c>
      <c r="K51" s="182"/>
      <c r="L51" s="182"/>
      <c r="M51" s="182"/>
    </row>
    <row r="52" spans="1:13" x14ac:dyDescent="0.2">
      <c r="A52" s="33"/>
      <c r="B52" s="214"/>
      <c r="C52" s="182"/>
      <c r="D52" s="182"/>
      <c r="E52" s="182"/>
      <c r="F52" s="182"/>
      <c r="G52" s="182"/>
      <c r="H52" s="214"/>
      <c r="I52" s="182"/>
      <c r="J52" s="182"/>
      <c r="K52" s="182"/>
      <c r="L52" s="182"/>
      <c r="M52" s="182"/>
    </row>
    <row r="53" spans="1:13" ht="13.5" thickBot="1" x14ac:dyDescent="0.25">
      <c r="A53" s="33" t="s">
        <v>174</v>
      </c>
      <c r="B53" s="222">
        <f>B51+B46+B38</f>
        <v>153715</v>
      </c>
      <c r="C53" s="192">
        <f t="shared" ref="C53:H53" si="16">C25/$B53</f>
        <v>4102.1978160231592</v>
      </c>
      <c r="D53" s="192">
        <f t="shared" si="16"/>
        <v>507.4309193637576</v>
      </c>
      <c r="E53" s="192">
        <f t="shared" si="16"/>
        <v>1158.0092951240933</v>
      </c>
      <c r="F53" s="192">
        <f t="shared" si="16"/>
        <v>5840.897247763719</v>
      </c>
      <c r="G53" s="192">
        <f t="shared" si="16"/>
        <v>1932.5770232573268</v>
      </c>
      <c r="H53" s="222">
        <f t="shared" si="16"/>
        <v>1176.5476214422797</v>
      </c>
      <c r="I53" s="192">
        <f t="shared" si="14"/>
        <v>13541.112301532055</v>
      </c>
      <c r="J53" s="192">
        <f>J25/$B53</f>
        <v>14717.659922974331</v>
      </c>
      <c r="K53" s="182"/>
      <c r="L53" s="182"/>
      <c r="M53" s="182"/>
    </row>
    <row r="54" spans="1:13" ht="13.5" thickTop="1" x14ac:dyDescent="0.2">
      <c r="A54" s="33"/>
      <c r="B54" s="296"/>
      <c r="C54" s="182"/>
      <c r="D54" s="182"/>
      <c r="E54" s="182"/>
      <c r="F54" s="182"/>
      <c r="G54" s="182"/>
      <c r="H54" s="182"/>
      <c r="I54" s="182"/>
      <c r="J54" s="182"/>
      <c r="K54" s="182"/>
      <c r="L54" s="182"/>
    </row>
    <row r="55" spans="1:13" x14ac:dyDescent="0.2">
      <c r="A55" s="33"/>
      <c r="B55" s="182"/>
      <c r="C55" s="182"/>
      <c r="D55" s="182"/>
      <c r="E55" s="182"/>
      <c r="F55" s="182"/>
      <c r="G55" s="182"/>
      <c r="H55" s="182"/>
      <c r="I55" s="182"/>
      <c r="J55" s="182"/>
      <c r="K55" s="182"/>
      <c r="L55" s="182"/>
      <c r="M55" s="182"/>
    </row>
    <row r="56" spans="1:13" x14ac:dyDescent="0.2">
      <c r="A56" s="36" t="s">
        <v>200</v>
      </c>
      <c r="B56" s="36"/>
      <c r="C56" s="36"/>
      <c r="D56" s="36"/>
      <c r="E56" s="36"/>
      <c r="F56" s="36"/>
      <c r="G56" s="36"/>
      <c r="H56" s="36"/>
      <c r="I56" s="36"/>
      <c r="J56" s="36"/>
      <c r="K56" s="36"/>
      <c r="L56" s="36"/>
      <c r="M56" s="182"/>
    </row>
    <row r="57" spans="1:13" x14ac:dyDescent="0.2">
      <c r="A57" s="36" t="s">
        <v>11</v>
      </c>
      <c r="B57" s="22" t="str">
        <f>C2</f>
        <v>FY22</v>
      </c>
      <c r="L57" s="202"/>
      <c r="M57" s="182"/>
    </row>
    <row r="58" spans="1:13" ht="33.75" x14ac:dyDescent="0.2">
      <c r="A58" s="20" t="s">
        <v>245</v>
      </c>
      <c r="B58" s="21"/>
      <c r="C58" s="202" t="str">
        <f t="shared" ref="C58:H58" si="17">C3</f>
        <v>22/Pupil Property Tax</v>
      </c>
      <c r="D58" s="202" t="str">
        <f t="shared" si="17"/>
        <v>22/Pupil Non Levy Revenue</v>
      </c>
      <c r="E58" s="202" t="str">
        <f t="shared" si="17"/>
        <v>22/Pupil County Revenue</v>
      </c>
      <c r="F58" s="202" t="str">
        <f t="shared" si="17"/>
        <v>22/Pupil State Revenue</v>
      </c>
      <c r="G58" s="202" t="str">
        <f t="shared" si="17"/>
        <v>22/Pupil Federal Revenue</v>
      </c>
      <c r="H58" s="202" t="str">
        <f t="shared" si="17"/>
        <v>22Federal CARES Revenue</v>
      </c>
      <c r="I58" s="202"/>
      <c r="J58" s="202"/>
      <c r="K58" s="202"/>
      <c r="L58" s="202"/>
    </row>
    <row r="59" spans="1:13" x14ac:dyDescent="0.2">
      <c r="A59" s="33" t="s">
        <v>102</v>
      </c>
      <c r="B59" s="221"/>
      <c r="C59" s="224">
        <f t="shared" ref="C59:H65" si="18">C32/$J32</f>
        <v>0.2989307241057727</v>
      </c>
      <c r="D59" s="224">
        <f t="shared" si="18"/>
        <v>1.315036653978314E-2</v>
      </c>
      <c r="E59" s="224">
        <f t="shared" si="18"/>
        <v>7.6620790588484089E-2</v>
      </c>
      <c r="F59" s="224">
        <f t="shared" si="18"/>
        <v>0.40444784489561636</v>
      </c>
      <c r="G59" s="224">
        <f t="shared" si="18"/>
        <v>0.10094126049597753</v>
      </c>
      <c r="H59" s="224">
        <f t="shared" si="18"/>
        <v>0.10590901337436633</v>
      </c>
      <c r="I59" s="224"/>
      <c r="J59" s="313"/>
      <c r="K59" s="313"/>
      <c r="L59" s="182"/>
    </row>
    <row r="60" spans="1:13" x14ac:dyDescent="0.2">
      <c r="A60" s="33" t="s">
        <v>76</v>
      </c>
      <c r="B60" s="221"/>
      <c r="C60" s="224">
        <f t="shared" si="18"/>
        <v>0.24219975417833681</v>
      </c>
      <c r="D60" s="224">
        <f t="shared" si="18"/>
        <v>1.5915154509631307E-2</v>
      </c>
      <c r="E60" s="224">
        <f t="shared" si="18"/>
        <v>7.8789315136372648E-2</v>
      </c>
      <c r="F60" s="224">
        <f t="shared" si="18"/>
        <v>0.38000206124708225</v>
      </c>
      <c r="G60" s="224">
        <f t="shared" si="18"/>
        <v>0.18644420285919394</v>
      </c>
      <c r="H60" s="224">
        <f t="shared" si="18"/>
        <v>9.664951206938302E-2</v>
      </c>
      <c r="I60" s="224"/>
      <c r="J60" s="313"/>
      <c r="K60" s="313"/>
      <c r="L60" s="182"/>
    </row>
    <row r="61" spans="1:13" x14ac:dyDescent="0.2">
      <c r="A61" s="33" t="s">
        <v>77</v>
      </c>
      <c r="B61" s="221"/>
      <c r="C61" s="224">
        <f t="shared" si="18"/>
        <v>0.21619233876430816</v>
      </c>
      <c r="D61" s="224">
        <f t="shared" si="18"/>
        <v>2.3712750184376109E-2</v>
      </c>
      <c r="E61" s="224">
        <f t="shared" si="18"/>
        <v>7.8973722267498062E-2</v>
      </c>
      <c r="F61" s="224">
        <f t="shared" si="18"/>
        <v>0.39943201372667442</v>
      </c>
      <c r="G61" s="224">
        <f t="shared" si="18"/>
        <v>0.1867400664576257</v>
      </c>
      <c r="H61" s="224">
        <f t="shared" si="18"/>
        <v>9.4949108599517676E-2</v>
      </c>
      <c r="I61" s="224"/>
      <c r="J61" s="313"/>
      <c r="K61" s="313"/>
      <c r="L61" s="182"/>
    </row>
    <row r="62" spans="1:13" x14ac:dyDescent="0.2">
      <c r="A62" s="33" t="s">
        <v>78</v>
      </c>
      <c r="B62" s="221"/>
      <c r="C62" s="224">
        <f t="shared" si="18"/>
        <v>0.22601877888969255</v>
      </c>
      <c r="D62" s="224">
        <f t="shared" si="18"/>
        <v>3.8420038534131382E-2</v>
      </c>
      <c r="E62" s="224">
        <f t="shared" si="18"/>
        <v>7.8021042128066667E-2</v>
      </c>
      <c r="F62" s="224">
        <f t="shared" si="18"/>
        <v>0.38345721990528736</v>
      </c>
      <c r="G62" s="224">
        <f t="shared" si="18"/>
        <v>0.16227315676466966</v>
      </c>
      <c r="H62" s="224">
        <f t="shared" si="18"/>
        <v>0.11180976377815235</v>
      </c>
      <c r="I62" s="224"/>
      <c r="J62" s="313"/>
      <c r="K62" s="313"/>
      <c r="L62" s="182"/>
    </row>
    <row r="63" spans="1:13" x14ac:dyDescent="0.2">
      <c r="A63" s="33" t="s">
        <v>79</v>
      </c>
      <c r="B63" s="221"/>
      <c r="C63" s="224">
        <f t="shared" si="18"/>
        <v>0.21940456607326309</v>
      </c>
      <c r="D63" s="224">
        <f t="shared" si="18"/>
        <v>8.2902147024753736E-2</v>
      </c>
      <c r="E63" s="224">
        <f t="shared" si="18"/>
        <v>7.1709318826082988E-2</v>
      </c>
      <c r="F63" s="224">
        <f t="shared" si="18"/>
        <v>0.33020628396109292</v>
      </c>
      <c r="G63" s="224">
        <f t="shared" si="18"/>
        <v>0.19266035380166707</v>
      </c>
      <c r="H63" s="224">
        <f t="shared" si="18"/>
        <v>0.10311733031313999</v>
      </c>
      <c r="I63" s="224"/>
      <c r="J63" s="313"/>
      <c r="K63" s="313"/>
      <c r="L63" s="182"/>
    </row>
    <row r="64" spans="1:13" x14ac:dyDescent="0.2">
      <c r="A64" s="33" t="s">
        <v>80</v>
      </c>
      <c r="B64" s="221"/>
      <c r="C64" s="225">
        <f t="shared" si="18"/>
        <v>0.26105908566803032</v>
      </c>
      <c r="D64" s="225">
        <f t="shared" si="18"/>
        <v>7.2467073233768983E-2</v>
      </c>
      <c r="E64" s="225">
        <f t="shared" si="18"/>
        <v>7.2396469034623129E-2</v>
      </c>
      <c r="F64" s="225">
        <f t="shared" si="18"/>
        <v>0.33930297359006911</v>
      </c>
      <c r="G64" s="225">
        <f t="shared" si="18"/>
        <v>0.13030883815991728</v>
      </c>
      <c r="H64" s="225">
        <f t="shared" si="18"/>
        <v>0.12446556031359107</v>
      </c>
      <c r="I64" s="313"/>
      <c r="J64" s="313"/>
      <c r="K64" s="313"/>
      <c r="L64" s="182"/>
    </row>
    <row r="65" spans="1:12" x14ac:dyDescent="0.2">
      <c r="A65" s="33" t="s">
        <v>171</v>
      </c>
      <c r="B65" s="221"/>
      <c r="C65" s="224">
        <f t="shared" si="18"/>
        <v>0.25817813665735478</v>
      </c>
      <c r="D65" s="224">
        <f t="shared" si="18"/>
        <v>2.4986992628924443E-2</v>
      </c>
      <c r="E65" s="224">
        <f t="shared" si="18"/>
        <v>7.7188522922448863E-2</v>
      </c>
      <c r="F65" s="224">
        <f t="shared" si="18"/>
        <v>0.38956133719487174</v>
      </c>
      <c r="G65" s="224">
        <f t="shared" si="18"/>
        <v>0.14666913969844067</v>
      </c>
      <c r="H65" s="224">
        <f t="shared" si="18"/>
        <v>0.10341587089795974</v>
      </c>
      <c r="I65" s="224"/>
      <c r="J65" s="313"/>
      <c r="K65" s="313"/>
      <c r="L65" s="182"/>
    </row>
    <row r="66" spans="1:12" x14ac:dyDescent="0.2">
      <c r="A66" s="33"/>
      <c r="B66" s="182"/>
      <c r="C66" s="224"/>
      <c r="D66" s="224"/>
      <c r="E66" s="224"/>
      <c r="F66" s="224"/>
      <c r="G66" s="224"/>
      <c r="H66" s="224"/>
      <c r="I66" s="224"/>
      <c r="J66" s="313"/>
      <c r="K66" s="313"/>
      <c r="L66" s="182"/>
    </row>
    <row r="67" spans="1:12" x14ac:dyDescent="0.2">
      <c r="A67" s="33"/>
      <c r="B67" s="221"/>
      <c r="C67" s="224"/>
      <c r="D67" s="224"/>
      <c r="E67" s="224"/>
      <c r="F67" s="224"/>
      <c r="G67" s="224"/>
      <c r="H67" s="224"/>
      <c r="I67" s="224"/>
      <c r="J67" s="313"/>
      <c r="K67" s="313"/>
      <c r="L67" s="182"/>
    </row>
    <row r="68" spans="1:12" x14ac:dyDescent="0.2">
      <c r="A68" s="33" t="s">
        <v>81</v>
      </c>
      <c r="B68" s="221"/>
      <c r="C68" s="224">
        <f t="shared" ref="C68:H73" si="19">C41/$J41</f>
        <v>0.34460371906112319</v>
      </c>
      <c r="D68" s="224">
        <f t="shared" si="19"/>
        <v>3.0746813946518185E-2</v>
      </c>
      <c r="E68" s="224">
        <f t="shared" si="19"/>
        <v>8.2388131589651456E-2</v>
      </c>
      <c r="F68" s="224">
        <f t="shared" si="19"/>
        <v>0.42786618989652803</v>
      </c>
      <c r="G68" s="224">
        <f t="shared" si="19"/>
        <v>7.8977431517421134E-2</v>
      </c>
      <c r="H68" s="224">
        <f t="shared" si="19"/>
        <v>3.5417713988757871E-2</v>
      </c>
      <c r="I68" s="224"/>
      <c r="J68" s="313"/>
      <c r="K68" s="313"/>
      <c r="L68" s="182"/>
    </row>
    <row r="69" spans="1:12" x14ac:dyDescent="0.2">
      <c r="A69" s="33" t="s">
        <v>82</v>
      </c>
      <c r="B69" s="221"/>
      <c r="C69" s="224">
        <f t="shared" si="19"/>
        <v>0.30597466479045182</v>
      </c>
      <c r="D69" s="224">
        <f t="shared" si="19"/>
        <v>2.9514415411977472E-2</v>
      </c>
      <c r="E69" s="224">
        <f t="shared" si="19"/>
        <v>9.3466334478550309E-2</v>
      </c>
      <c r="F69" s="224">
        <f t="shared" si="19"/>
        <v>0.42030925512199335</v>
      </c>
      <c r="G69" s="224">
        <f t="shared" si="19"/>
        <v>0.15021738969430351</v>
      </c>
      <c r="H69" s="224">
        <f t="shared" si="19"/>
        <v>5.1794050272352811E-4</v>
      </c>
      <c r="I69" s="224"/>
      <c r="J69" s="313"/>
      <c r="K69" s="313"/>
      <c r="L69" s="182"/>
    </row>
    <row r="70" spans="1:12" x14ac:dyDescent="0.2">
      <c r="A70" s="33" t="s">
        <v>83</v>
      </c>
      <c r="B70" s="221"/>
      <c r="C70" s="224">
        <f t="shared" si="19"/>
        <v>0.29271094176454171</v>
      </c>
      <c r="D70" s="224">
        <f t="shared" si="19"/>
        <v>7.0602238352063446E-2</v>
      </c>
      <c r="E70" s="224">
        <f t="shared" si="19"/>
        <v>7.9627502625444407E-2</v>
      </c>
      <c r="F70" s="224">
        <f t="shared" si="19"/>
        <v>0.42450359775911545</v>
      </c>
      <c r="G70" s="224">
        <f t="shared" si="19"/>
        <v>0.10657629701446335</v>
      </c>
      <c r="H70" s="224">
        <f t="shared" si="19"/>
        <v>2.5979422484371798E-2</v>
      </c>
      <c r="I70" s="224"/>
      <c r="J70" s="313"/>
      <c r="K70" s="313"/>
      <c r="L70" s="182"/>
    </row>
    <row r="71" spans="1:12" x14ac:dyDescent="0.2">
      <c r="A71" s="33" t="s">
        <v>84</v>
      </c>
      <c r="B71" s="221"/>
      <c r="C71" s="224">
        <f t="shared" si="19"/>
        <v>0.26029424701756748</v>
      </c>
      <c r="D71" s="224">
        <f t="shared" si="19"/>
        <v>8.4248797716089133E-2</v>
      </c>
      <c r="E71" s="224">
        <f t="shared" si="19"/>
        <v>8.7015707582404886E-2</v>
      </c>
      <c r="F71" s="224">
        <f t="shared" si="19"/>
        <v>0.40342951800274118</v>
      </c>
      <c r="G71" s="224">
        <f t="shared" si="19"/>
        <v>0.15628860568178565</v>
      </c>
      <c r="H71" s="224">
        <f t="shared" si="19"/>
        <v>8.7231239994115181E-3</v>
      </c>
      <c r="I71" s="224"/>
      <c r="J71" s="313"/>
      <c r="K71" s="313"/>
      <c r="L71" s="182"/>
    </row>
    <row r="72" spans="1:12" x14ac:dyDescent="0.2">
      <c r="A72" s="33" t="s">
        <v>85</v>
      </c>
      <c r="B72" s="221"/>
      <c r="C72" s="225">
        <f t="shared" si="19"/>
        <v>0.31527662524720701</v>
      </c>
      <c r="D72" s="225">
        <f t="shared" si="19"/>
        <v>9.616110009512735E-2</v>
      </c>
      <c r="E72" s="225">
        <f t="shared" si="19"/>
        <v>8.4664458059750147E-2</v>
      </c>
      <c r="F72" s="225">
        <f t="shared" si="19"/>
        <v>0.39045705313674717</v>
      </c>
      <c r="G72" s="225">
        <f t="shared" si="19"/>
        <v>0.10322805337698333</v>
      </c>
      <c r="H72" s="225">
        <f t="shared" si="19"/>
        <v>1.0212710084184853E-2</v>
      </c>
      <c r="I72" s="313"/>
      <c r="J72" s="313"/>
      <c r="K72" s="313"/>
      <c r="L72" s="182"/>
    </row>
    <row r="73" spans="1:12" x14ac:dyDescent="0.2">
      <c r="A73" s="33" t="s">
        <v>172</v>
      </c>
      <c r="B73" s="221"/>
      <c r="C73" s="224">
        <f t="shared" si="19"/>
        <v>0.31849025388655722</v>
      </c>
      <c r="D73" s="224">
        <f t="shared" si="19"/>
        <v>4.7685561842132636E-2</v>
      </c>
      <c r="E73" s="224">
        <f t="shared" si="19"/>
        <v>8.4376270514534307E-2</v>
      </c>
      <c r="F73" s="224">
        <f t="shared" si="19"/>
        <v>0.4205772458372532</v>
      </c>
      <c r="G73" s="224">
        <f t="shared" si="19"/>
        <v>0.1051372870042349</v>
      </c>
      <c r="H73" s="224">
        <f t="shared" si="19"/>
        <v>2.3733380915287674E-2</v>
      </c>
      <c r="I73" s="224"/>
      <c r="J73" s="313"/>
      <c r="K73" s="313"/>
      <c r="L73" s="182"/>
    </row>
    <row r="74" spans="1:12" x14ac:dyDescent="0.2">
      <c r="A74" s="33"/>
      <c r="B74" s="182"/>
      <c r="C74" s="224"/>
      <c r="D74" s="224"/>
      <c r="E74" s="224"/>
      <c r="F74" s="224"/>
      <c r="G74" s="224"/>
      <c r="H74" s="224"/>
      <c r="I74" s="224"/>
      <c r="J74" s="313"/>
      <c r="K74" s="313"/>
      <c r="L74" s="182"/>
    </row>
    <row r="75" spans="1:12" x14ac:dyDescent="0.2">
      <c r="A75" s="33"/>
      <c r="B75" s="221"/>
      <c r="C75" s="224"/>
      <c r="D75" s="224"/>
      <c r="E75" s="224"/>
      <c r="F75" s="224"/>
      <c r="G75" s="224"/>
      <c r="H75" s="224"/>
      <c r="I75" s="224"/>
      <c r="J75" s="313"/>
      <c r="K75" s="313"/>
      <c r="L75" s="182"/>
    </row>
    <row r="76" spans="1:12" x14ac:dyDescent="0.2">
      <c r="A76" s="33" t="s">
        <v>86</v>
      </c>
      <c r="B76" s="221"/>
      <c r="C76" s="224">
        <f t="shared" ref="C76:H78" si="20">C49/$J49</f>
        <v>0.2886785081840178</v>
      </c>
      <c r="D76" s="224">
        <f t="shared" si="20"/>
        <v>3.9131576010890658E-2</v>
      </c>
      <c r="E76" s="224">
        <f t="shared" si="20"/>
        <v>7.1035612032138484E-2</v>
      </c>
      <c r="F76" s="224">
        <f t="shared" si="20"/>
        <v>0.40323296553811366</v>
      </c>
      <c r="G76" s="224">
        <f t="shared" si="20"/>
        <v>0.10679314386128867</v>
      </c>
      <c r="H76" s="224">
        <f t="shared" si="20"/>
        <v>9.1128194373550825E-2</v>
      </c>
      <c r="I76" s="224"/>
      <c r="J76" s="313"/>
      <c r="K76" s="313"/>
      <c r="L76" s="182"/>
    </row>
    <row r="77" spans="1:12" x14ac:dyDescent="0.2">
      <c r="A77" s="33" t="s">
        <v>87</v>
      </c>
      <c r="B77" s="221"/>
      <c r="C77" s="225">
        <f t="shared" si="20"/>
        <v>0.28953539470811784</v>
      </c>
      <c r="D77" s="225">
        <f t="shared" si="20"/>
        <v>5.9830134003854576E-2</v>
      </c>
      <c r="E77" s="225">
        <f t="shared" si="20"/>
        <v>8.0279290233704254E-2</v>
      </c>
      <c r="F77" s="225">
        <f t="shared" si="20"/>
        <v>0.35868663168217663</v>
      </c>
      <c r="G77" s="225">
        <f t="shared" si="20"/>
        <v>0.13350620278471079</v>
      </c>
      <c r="H77" s="225">
        <f t="shared" si="20"/>
        <v>7.8162346587435858E-2</v>
      </c>
      <c r="I77" s="313"/>
      <c r="J77" s="313"/>
      <c r="K77" s="313"/>
      <c r="L77" s="182"/>
    </row>
    <row r="78" spans="1:12" x14ac:dyDescent="0.2">
      <c r="A78" s="33" t="s">
        <v>173</v>
      </c>
      <c r="B78" s="221"/>
      <c r="C78" s="224">
        <f t="shared" si="20"/>
        <v>0.28903181033131192</v>
      </c>
      <c r="D78" s="224">
        <f t="shared" si="20"/>
        <v>4.7665780691593398E-2</v>
      </c>
      <c r="E78" s="224">
        <f t="shared" si="20"/>
        <v>7.4846865057664649E-2</v>
      </c>
      <c r="F78" s="224">
        <f t="shared" si="20"/>
        <v>0.3848661048596686</v>
      </c>
      <c r="G78" s="224">
        <f t="shared" si="20"/>
        <v>0.11780718225843947</v>
      </c>
      <c r="H78" s="224">
        <f t="shared" si="20"/>
        <v>8.5782256801322107E-2</v>
      </c>
      <c r="I78" s="224"/>
      <c r="J78" s="313"/>
      <c r="K78" s="313"/>
      <c r="L78" s="182"/>
    </row>
    <row r="79" spans="1:12" x14ac:dyDescent="0.2">
      <c r="A79" s="33"/>
      <c r="B79" s="221"/>
      <c r="C79" s="224"/>
      <c r="D79" s="224"/>
      <c r="E79" s="224"/>
      <c r="F79" s="224"/>
      <c r="G79" s="224"/>
      <c r="H79" s="224"/>
      <c r="I79" s="224"/>
      <c r="J79" s="313"/>
      <c r="K79" s="313"/>
      <c r="L79" s="182"/>
    </row>
    <row r="80" spans="1:12" ht="13.5" thickBot="1" x14ac:dyDescent="0.25">
      <c r="A80" s="33" t="s">
        <v>208</v>
      </c>
      <c r="B80" s="221"/>
      <c r="C80" s="226">
        <f t="shared" ref="C80:H80" si="21">C53/$J53</f>
        <v>0.27872622668904112</v>
      </c>
      <c r="D80" s="226">
        <f t="shared" si="21"/>
        <v>3.447769020478967E-2</v>
      </c>
      <c r="E80" s="226">
        <f t="shared" si="21"/>
        <v>7.868161794637174E-2</v>
      </c>
      <c r="F80" s="226">
        <f t="shared" si="21"/>
        <v>0.39686317514688957</v>
      </c>
      <c r="G80" s="226">
        <f t="shared" si="21"/>
        <v>0.13131007465667593</v>
      </c>
      <c r="H80" s="226">
        <f t="shared" si="21"/>
        <v>7.9941215356232262E-2</v>
      </c>
      <c r="I80" s="313"/>
      <c r="J80" s="313"/>
      <c r="K80" s="313"/>
      <c r="L80" s="182"/>
    </row>
    <row r="81" spans="1:13" ht="13.5" thickTop="1" x14ac:dyDescent="0.2">
      <c r="A81" s="33"/>
      <c r="B81" s="33"/>
      <c r="C81" s="296"/>
      <c r="D81" s="33"/>
      <c r="E81" s="33"/>
      <c r="F81" s="33"/>
      <c r="G81" s="33"/>
      <c r="H81" s="33"/>
      <c r="I81" s="33"/>
      <c r="J81" s="33"/>
      <c r="K81" s="33"/>
      <c r="L81" s="33"/>
      <c r="M81" s="182"/>
    </row>
    <row r="82" spans="1:13" x14ac:dyDescent="0.2">
      <c r="A82" s="33"/>
      <c r="B82" s="33"/>
      <c r="C82" s="33"/>
      <c r="D82" s="33"/>
      <c r="E82" s="33"/>
      <c r="F82" s="33"/>
      <c r="G82" s="33"/>
      <c r="H82" s="33"/>
      <c r="I82" s="33"/>
      <c r="J82" s="33"/>
      <c r="K82" s="33"/>
      <c r="L82" s="33"/>
      <c r="M82" s="182"/>
    </row>
  </sheetData>
  <pageMargins left="0.5" right="0.5" top="0.75" bottom="0.75" header="0.5" footer="0.5"/>
  <pageSetup scale="63" orientation="portrait" r:id="rId1"/>
  <headerFooter alignWithMargins="0">
    <oddFooter>&amp;Z&amp;F</oddFooter>
  </headerFooter>
  <rowBreaks count="1" manualBreakCount="1">
    <brk id="55" max="16383" man="1"/>
  </rowBreaks>
  <colBreaks count="1" manualBreakCount="1">
    <brk id="12" max="79"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77D6-6A7B-4DD5-AAEB-186B09EF6F91}">
  <dimension ref="A1:X75"/>
  <sheetViews>
    <sheetView zoomScaleNormal="100" workbookViewId="0">
      <selection activeCell="D1" sqref="D1"/>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1372</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ANB21</v>
      </c>
      <c r="C3" s="12" t="str">
        <f>RIGHT(D1,2)&amp;"/Pupil Instruction"</f>
        <v>21/Pupil Instruction</v>
      </c>
      <c r="D3" s="12" t="str">
        <f>RIGHT(D1,2)&amp;"/Pupil Student Services"</f>
        <v>21/Pupil Student Services</v>
      </c>
      <c r="E3" s="12" t="str">
        <f>RIGHT(D1,2)&amp;"/Pupil General Admin"</f>
        <v>21/Pupil General Admin</v>
      </c>
      <c r="F3" s="12" t="str">
        <f>RIGHT(D1,2)&amp;"/Pupil Bldg Admin"</f>
        <v>21/Pupil Bldg Admin</v>
      </c>
      <c r="G3" s="12" t="str">
        <f>RIGHT(D1,2)&amp;"/Pupil Bldg OM"</f>
        <v>21/Pupil Bldg OM</v>
      </c>
      <c r="H3" s="12" t="str">
        <f>RIGHT(D1,2)&amp;"/Pupil Transport"</f>
        <v>21/Pupil Transport</v>
      </c>
      <c r="I3" s="12" t="str">
        <f>RIGHT(D1,2)&amp;"/Pupil Other"</f>
        <v>21/Pupil Other</v>
      </c>
      <c r="J3" s="12" t="str">
        <f>RIGHT(D1,2)&amp;"/Pupil Bonds/ Facilities"</f>
        <v>21/Pupil Bonds/ Facilities</v>
      </c>
      <c r="K3" s="12" t="str">
        <f>RIGHT(D1,2)&amp;"/Pupil Total"</f>
        <v>21/Pupil Total</v>
      </c>
    </row>
    <row r="4" spans="1:24" ht="15" x14ac:dyDescent="0.25">
      <c r="A4" s="33" t="s">
        <v>102</v>
      </c>
      <c r="B4" s="214">
        <v>42204</v>
      </c>
      <c r="C4" s="214">
        <v>276910920.03999996</v>
      </c>
      <c r="D4" s="214">
        <v>60013704.019999996</v>
      </c>
      <c r="E4" s="214">
        <v>17059057.599999998</v>
      </c>
      <c r="F4" s="214">
        <v>26973006.650000002</v>
      </c>
      <c r="G4" s="214">
        <v>40075476.060000002</v>
      </c>
      <c r="H4" s="214">
        <v>20528160.859999999</v>
      </c>
      <c r="I4" s="214">
        <v>14353574.59</v>
      </c>
      <c r="J4" s="214">
        <v>42570358.599999994</v>
      </c>
      <c r="K4" s="214">
        <f t="shared" ref="K4:K9" si="0">SUM(C4:J4)</f>
        <v>498484258.41999996</v>
      </c>
      <c r="N4" s="214"/>
      <c r="O4" s="294"/>
      <c r="P4" s="293"/>
      <c r="Q4" s="293"/>
      <c r="R4" s="293"/>
      <c r="S4" s="293"/>
      <c r="T4" s="293"/>
      <c r="U4" s="293"/>
      <c r="V4" s="293"/>
      <c r="W4" s="293"/>
      <c r="X4" s="293"/>
    </row>
    <row r="5" spans="1:24" ht="15" x14ac:dyDescent="0.25">
      <c r="A5" s="33" t="s">
        <v>76</v>
      </c>
      <c r="B5" s="214">
        <v>16998</v>
      </c>
      <c r="C5" s="214">
        <v>112716656.15000001</v>
      </c>
      <c r="D5" s="214">
        <v>29488806.100000001</v>
      </c>
      <c r="E5" s="214">
        <v>10330675.210000001</v>
      </c>
      <c r="F5" s="214">
        <v>11790309.559999999</v>
      </c>
      <c r="G5" s="214">
        <v>19885260.09</v>
      </c>
      <c r="H5" s="214">
        <v>10084069.420000002</v>
      </c>
      <c r="I5" s="214">
        <v>10514593.079999998</v>
      </c>
      <c r="J5" s="214">
        <v>16842246.93</v>
      </c>
      <c r="K5" s="214">
        <f t="shared" si="0"/>
        <v>221652616.54000002</v>
      </c>
      <c r="N5" s="214"/>
      <c r="O5" s="294"/>
      <c r="P5" s="293"/>
      <c r="Q5" s="293"/>
      <c r="R5" s="293"/>
      <c r="S5" s="293"/>
      <c r="T5" s="293"/>
      <c r="U5" s="293"/>
      <c r="V5" s="293"/>
      <c r="W5" s="293"/>
      <c r="X5" s="293"/>
    </row>
    <row r="6" spans="1:24" ht="15" x14ac:dyDescent="0.25">
      <c r="A6" s="33" t="s">
        <v>77</v>
      </c>
      <c r="B6" s="214">
        <v>16591</v>
      </c>
      <c r="C6" s="214">
        <v>116287826.22</v>
      </c>
      <c r="D6" s="214">
        <v>17935026.370000001</v>
      </c>
      <c r="E6" s="214">
        <v>11603445.929999998</v>
      </c>
      <c r="F6" s="214">
        <v>10989329.189999999</v>
      </c>
      <c r="G6" s="214">
        <v>20790562.930000003</v>
      </c>
      <c r="H6" s="214">
        <v>8342516.0600000005</v>
      </c>
      <c r="I6" s="214">
        <v>11084953.159999998</v>
      </c>
      <c r="J6" s="214">
        <v>12423659.110000001</v>
      </c>
      <c r="K6" s="214">
        <f t="shared" si="0"/>
        <v>209457318.97000003</v>
      </c>
      <c r="N6" s="214"/>
      <c r="O6" s="294"/>
      <c r="P6" s="293"/>
      <c r="Q6" s="293"/>
      <c r="R6" s="293"/>
      <c r="S6" s="293"/>
      <c r="T6" s="293"/>
      <c r="U6" s="293"/>
      <c r="V6" s="293"/>
      <c r="W6" s="293"/>
      <c r="X6" s="293"/>
    </row>
    <row r="7" spans="1:24" ht="15" x14ac:dyDescent="0.25">
      <c r="A7" s="33" t="s">
        <v>78</v>
      </c>
      <c r="B7" s="214">
        <v>12479</v>
      </c>
      <c r="C7" s="214">
        <v>86827872.189999998</v>
      </c>
      <c r="D7" s="214">
        <v>8861220.6300000008</v>
      </c>
      <c r="E7" s="214">
        <v>12450023.26</v>
      </c>
      <c r="F7" s="214">
        <v>6705441.2000000011</v>
      </c>
      <c r="G7" s="214">
        <v>16409273.400000002</v>
      </c>
      <c r="H7" s="214">
        <v>8521478.5799999982</v>
      </c>
      <c r="I7" s="214">
        <v>11464568.149999999</v>
      </c>
      <c r="J7" s="214">
        <v>9537963.4299999997</v>
      </c>
      <c r="K7" s="214">
        <f t="shared" si="0"/>
        <v>160777840.84</v>
      </c>
      <c r="N7" s="214"/>
      <c r="O7" s="294"/>
      <c r="P7" s="293"/>
      <c r="Q7" s="293"/>
      <c r="R7" s="293"/>
      <c r="S7" s="293"/>
      <c r="T7" s="293"/>
      <c r="U7" s="293"/>
      <c r="V7" s="293"/>
      <c r="W7" s="293"/>
      <c r="X7" s="293"/>
    </row>
    <row r="8" spans="1:24" ht="15" x14ac:dyDescent="0.25">
      <c r="A8" s="33" t="s">
        <v>79</v>
      </c>
      <c r="B8" s="214">
        <v>5230</v>
      </c>
      <c r="C8" s="214">
        <v>44687629.54999999</v>
      </c>
      <c r="D8" s="214">
        <v>3518489.7199999993</v>
      </c>
      <c r="E8" s="214">
        <v>8464903.0700000003</v>
      </c>
      <c r="F8" s="214">
        <v>3422821.81</v>
      </c>
      <c r="G8" s="214">
        <v>10229822.110000003</v>
      </c>
      <c r="H8" s="214">
        <v>4625580.8599999994</v>
      </c>
      <c r="I8" s="214">
        <v>5504434.7000000002</v>
      </c>
      <c r="J8" s="214">
        <v>3318264.38</v>
      </c>
      <c r="K8" s="214">
        <f t="shared" si="0"/>
        <v>83771946.199999988</v>
      </c>
      <c r="N8" s="214"/>
      <c r="O8" s="294"/>
      <c r="P8" s="293"/>
      <c r="Q8" s="293"/>
      <c r="R8" s="293"/>
      <c r="S8" s="293"/>
      <c r="T8" s="293"/>
      <c r="U8" s="293"/>
      <c r="V8" s="293"/>
      <c r="W8" s="293"/>
      <c r="X8" s="293"/>
    </row>
    <row r="9" spans="1:24" ht="15" x14ac:dyDescent="0.25">
      <c r="A9" s="33" t="s">
        <v>80</v>
      </c>
      <c r="B9" s="220">
        <v>1296</v>
      </c>
      <c r="C9" s="220">
        <v>12881060.340000004</v>
      </c>
      <c r="D9" s="220">
        <v>273243.95999999996</v>
      </c>
      <c r="E9" s="220">
        <v>2583057.5999999992</v>
      </c>
      <c r="F9" s="220">
        <v>199125.68000000002</v>
      </c>
      <c r="G9" s="220">
        <v>3104836.7300000004</v>
      </c>
      <c r="H9" s="220">
        <v>1381965.88</v>
      </c>
      <c r="I9" s="220">
        <v>753735.39</v>
      </c>
      <c r="J9" s="220">
        <v>372508.08999999997</v>
      </c>
      <c r="K9" s="220">
        <f t="shared" si="0"/>
        <v>21549533.670000002</v>
      </c>
      <c r="N9" s="214"/>
      <c r="O9" s="294"/>
      <c r="P9" s="293"/>
      <c r="Q9" s="293"/>
      <c r="R9" s="293"/>
      <c r="S9" s="293"/>
      <c r="T9" s="293"/>
      <c r="U9" s="293"/>
      <c r="V9" s="293"/>
      <c r="W9" s="293"/>
      <c r="X9" s="293"/>
    </row>
    <row r="10" spans="1:24" x14ac:dyDescent="0.2">
      <c r="A10" s="182" t="s">
        <v>103</v>
      </c>
      <c r="B10" s="214">
        <f t="shared" ref="B10:K10" si="1">SUM(B4:B9)</f>
        <v>94798</v>
      </c>
      <c r="C10" s="214">
        <f t="shared" si="1"/>
        <v>650311964.48999989</v>
      </c>
      <c r="D10" s="214">
        <f t="shared" si="1"/>
        <v>120090490.8</v>
      </c>
      <c r="E10" s="214">
        <f t="shared" si="1"/>
        <v>62491162.669999994</v>
      </c>
      <c r="F10" s="214">
        <f t="shared" si="1"/>
        <v>60080034.090000004</v>
      </c>
      <c r="G10" s="214">
        <f t="shared" si="1"/>
        <v>110495231.32000002</v>
      </c>
      <c r="H10" s="214">
        <f t="shared" si="1"/>
        <v>53483771.660000004</v>
      </c>
      <c r="I10" s="214">
        <f t="shared" si="1"/>
        <v>53675859.07</v>
      </c>
      <c r="J10" s="214">
        <f t="shared" si="1"/>
        <v>85065000.539999992</v>
      </c>
      <c r="K10" s="214">
        <f t="shared" si="1"/>
        <v>1195693514.6400001</v>
      </c>
      <c r="N10" s="214"/>
    </row>
    <row r="11" spans="1:24" x14ac:dyDescent="0.2">
      <c r="A11" s="33"/>
      <c r="B11" s="214"/>
      <c r="C11" s="214"/>
      <c r="D11" s="214"/>
      <c r="E11" s="214"/>
      <c r="F11" s="214"/>
      <c r="G11" s="214"/>
      <c r="H11" s="214"/>
      <c r="I11" s="214"/>
      <c r="J11" s="214"/>
      <c r="K11" s="182"/>
      <c r="N11" s="214"/>
    </row>
    <row r="12" spans="1:24" ht="15" x14ac:dyDescent="0.25">
      <c r="A12" s="33" t="s">
        <v>81</v>
      </c>
      <c r="B12" s="214">
        <v>21877</v>
      </c>
      <c r="C12" s="214">
        <v>140285788.63999999</v>
      </c>
      <c r="D12" s="214">
        <v>23576269.509999994</v>
      </c>
      <c r="E12" s="214">
        <v>10458387.83</v>
      </c>
      <c r="F12" s="214">
        <v>15186418.1</v>
      </c>
      <c r="G12" s="214">
        <v>26183278.850000001</v>
      </c>
      <c r="H12" s="214">
        <v>10926197.270000001</v>
      </c>
      <c r="I12" s="214">
        <v>19919228.870000001</v>
      </c>
      <c r="J12" s="214">
        <v>31911859.199999999</v>
      </c>
      <c r="K12" s="214">
        <f>SUM(C12:J12)</f>
        <v>278447428.26999998</v>
      </c>
      <c r="N12" s="214"/>
      <c r="O12" s="294"/>
      <c r="P12" s="293"/>
      <c r="Q12" s="293"/>
      <c r="R12" s="293"/>
      <c r="S12" s="293"/>
      <c r="T12" s="293"/>
      <c r="U12" s="293"/>
      <c r="V12" s="293"/>
      <c r="W12" s="293"/>
      <c r="X12" s="293"/>
    </row>
    <row r="13" spans="1:24" ht="15" x14ac:dyDescent="0.25">
      <c r="A13" s="33" t="s">
        <v>82</v>
      </c>
      <c r="B13" s="214">
        <v>6459</v>
      </c>
      <c r="C13" s="214">
        <v>38999193.050000012</v>
      </c>
      <c r="D13" s="214">
        <v>7960108.5899999989</v>
      </c>
      <c r="E13" s="214">
        <v>4913227.24</v>
      </c>
      <c r="F13" s="214">
        <v>5118181.91</v>
      </c>
      <c r="G13" s="214">
        <v>9006043.9499999993</v>
      </c>
      <c r="H13" s="214">
        <v>4552657.05</v>
      </c>
      <c r="I13" s="214">
        <v>10373961.219999999</v>
      </c>
      <c r="J13" s="214">
        <v>11514738.359999999</v>
      </c>
      <c r="K13" s="214">
        <f>SUM(C13:J13)</f>
        <v>92438111.370000005</v>
      </c>
      <c r="N13" s="214"/>
      <c r="O13" s="294"/>
      <c r="P13" s="293"/>
      <c r="Q13" s="293"/>
      <c r="R13" s="293"/>
      <c r="S13" s="293"/>
      <c r="T13" s="293"/>
      <c r="U13" s="293"/>
      <c r="V13" s="293"/>
      <c r="W13" s="293"/>
      <c r="X13" s="293"/>
    </row>
    <row r="14" spans="1:24" ht="15" x14ac:dyDescent="0.25">
      <c r="A14" s="33" t="s">
        <v>83</v>
      </c>
      <c r="B14" s="214">
        <v>4724</v>
      </c>
      <c r="C14" s="214">
        <v>29664631.960000005</v>
      </c>
      <c r="D14" s="214">
        <v>4133884.8200000003</v>
      </c>
      <c r="E14" s="214">
        <v>4477994.26</v>
      </c>
      <c r="F14" s="214">
        <v>4421113.45</v>
      </c>
      <c r="G14" s="214">
        <v>7723657.2600000016</v>
      </c>
      <c r="H14" s="214">
        <v>4509272.83</v>
      </c>
      <c r="I14" s="214">
        <v>7095203.8200000003</v>
      </c>
      <c r="J14" s="214">
        <v>6947174.2699999986</v>
      </c>
      <c r="K14" s="214">
        <f>SUM(C14:J14)</f>
        <v>68972932.670000002</v>
      </c>
      <c r="N14" s="214"/>
      <c r="O14" s="294"/>
      <c r="P14" s="293"/>
      <c r="Q14" s="293"/>
      <c r="R14" s="293"/>
      <c r="S14" s="293"/>
      <c r="T14" s="293"/>
      <c r="U14" s="293"/>
      <c r="V14" s="293"/>
      <c r="W14" s="293"/>
      <c r="X14" s="293"/>
    </row>
    <row r="15" spans="1:24" ht="15" x14ac:dyDescent="0.25">
      <c r="A15" s="33" t="s">
        <v>84</v>
      </c>
      <c r="B15" s="214">
        <v>3916</v>
      </c>
      <c r="C15" s="214">
        <v>30472875.300000004</v>
      </c>
      <c r="D15" s="214">
        <v>4042969.2300000004</v>
      </c>
      <c r="E15" s="214">
        <v>6304081.8299999982</v>
      </c>
      <c r="F15" s="214">
        <v>3991965.8000000003</v>
      </c>
      <c r="G15" s="214">
        <v>9460531.0999999996</v>
      </c>
      <c r="H15" s="214">
        <v>6398051.5699999994</v>
      </c>
      <c r="I15" s="214">
        <v>6358053.1299999999</v>
      </c>
      <c r="J15" s="214">
        <v>5545118.8200000012</v>
      </c>
      <c r="K15" s="214">
        <f>SUM(C15:J15)</f>
        <v>72573646.780000001</v>
      </c>
      <c r="N15" s="214"/>
      <c r="O15" s="294"/>
      <c r="P15" s="293"/>
      <c r="Q15" s="293"/>
      <c r="R15" s="293"/>
      <c r="S15" s="293"/>
      <c r="T15" s="293"/>
      <c r="U15" s="293"/>
      <c r="V15" s="293"/>
      <c r="W15" s="293"/>
      <c r="X15" s="293"/>
    </row>
    <row r="16" spans="1:24" ht="15" x14ac:dyDescent="0.25">
      <c r="A16" s="33" t="s">
        <v>85</v>
      </c>
      <c r="B16" s="220">
        <v>1465</v>
      </c>
      <c r="C16" s="220">
        <v>16177068.389999999</v>
      </c>
      <c r="D16" s="220">
        <v>1218205.8300000003</v>
      </c>
      <c r="E16" s="220">
        <v>5416658.6499999994</v>
      </c>
      <c r="F16" s="220">
        <v>1346134.13</v>
      </c>
      <c r="G16" s="220">
        <v>6519583.9299999988</v>
      </c>
      <c r="H16" s="220">
        <v>3116478.080000001</v>
      </c>
      <c r="I16" s="220">
        <v>3674039.6499999994</v>
      </c>
      <c r="J16" s="220">
        <v>1319413.31</v>
      </c>
      <c r="K16" s="220">
        <f>SUM(C16:J16)</f>
        <v>38787581.969999999</v>
      </c>
      <c r="N16" s="214"/>
      <c r="O16" s="294"/>
      <c r="P16" s="293"/>
      <c r="Q16" s="293"/>
      <c r="R16" s="293"/>
      <c r="S16" s="293"/>
      <c r="T16" s="293"/>
      <c r="U16" s="293"/>
      <c r="V16" s="293"/>
      <c r="W16" s="293"/>
      <c r="X16" s="293"/>
    </row>
    <row r="17" spans="1:24" x14ac:dyDescent="0.2">
      <c r="A17" s="182" t="s">
        <v>104</v>
      </c>
      <c r="B17" s="214">
        <f t="shared" ref="B17:K17" si="2">SUM(B12:B16)</f>
        <v>38441</v>
      </c>
      <c r="C17" s="214">
        <f t="shared" si="2"/>
        <v>255599557.34</v>
      </c>
      <c r="D17" s="214">
        <f t="shared" si="2"/>
        <v>40931437.979999989</v>
      </c>
      <c r="E17" s="214">
        <f t="shared" si="2"/>
        <v>31570349.809999995</v>
      </c>
      <c r="F17" s="214">
        <f t="shared" si="2"/>
        <v>30063813.389999997</v>
      </c>
      <c r="G17" s="214">
        <f t="shared" si="2"/>
        <v>58893095.090000004</v>
      </c>
      <c r="H17" s="214">
        <f t="shared" si="2"/>
        <v>29502656.800000001</v>
      </c>
      <c r="I17" s="214">
        <f t="shared" si="2"/>
        <v>47420486.689999998</v>
      </c>
      <c r="J17" s="214">
        <f t="shared" si="2"/>
        <v>57238303.960000001</v>
      </c>
      <c r="K17" s="214">
        <f t="shared" si="2"/>
        <v>551219701.06000006</v>
      </c>
    </row>
    <row r="18" spans="1:24" x14ac:dyDescent="0.2">
      <c r="A18" s="33"/>
      <c r="B18" s="214"/>
      <c r="C18" s="214"/>
      <c r="D18" s="214"/>
      <c r="E18" s="214"/>
      <c r="F18" s="214"/>
      <c r="G18" s="214"/>
      <c r="H18" s="214"/>
      <c r="I18" s="214"/>
      <c r="J18" s="214"/>
      <c r="K18" s="182"/>
    </row>
    <row r="19" spans="1:24" ht="15" x14ac:dyDescent="0.25">
      <c r="A19" s="33" t="s">
        <v>86</v>
      </c>
      <c r="B19" s="214">
        <v>14270</v>
      </c>
      <c r="C19" s="214">
        <v>92519873.029999986</v>
      </c>
      <c r="D19" s="214">
        <v>11326200.840000002</v>
      </c>
      <c r="E19" s="214">
        <v>10433858.489999998</v>
      </c>
      <c r="F19" s="214">
        <v>9373599.959999999</v>
      </c>
      <c r="G19" s="214">
        <v>17463588.07</v>
      </c>
      <c r="H19" s="214">
        <v>9534988.6499999985</v>
      </c>
      <c r="I19" s="214">
        <v>12399619</v>
      </c>
      <c r="J19" s="214">
        <v>24004529.990000002</v>
      </c>
      <c r="K19" s="214">
        <f>SUM(C19:J19)</f>
        <v>187056258.03</v>
      </c>
      <c r="O19" s="294"/>
      <c r="P19" s="293"/>
      <c r="Q19" s="293"/>
      <c r="R19" s="293"/>
      <c r="S19" s="293"/>
      <c r="T19" s="293"/>
      <c r="U19" s="293"/>
      <c r="V19" s="293"/>
      <c r="W19" s="293"/>
      <c r="X19" s="293"/>
    </row>
    <row r="20" spans="1:24" ht="15" x14ac:dyDescent="0.25">
      <c r="A20" s="33" t="s">
        <v>87</v>
      </c>
      <c r="B20" s="233">
        <v>7660</v>
      </c>
      <c r="C20" s="234">
        <v>70188059.63000001</v>
      </c>
      <c r="D20" s="234">
        <v>4369068.4099999992</v>
      </c>
      <c r="E20" s="234">
        <v>13898975.420000004</v>
      </c>
      <c r="F20" s="234">
        <v>5286204.3099999987</v>
      </c>
      <c r="G20" s="234">
        <v>21337234.779999997</v>
      </c>
      <c r="H20" s="234">
        <v>8382874.0400000019</v>
      </c>
      <c r="I20" s="234">
        <v>12789985.910000004</v>
      </c>
      <c r="J20" s="220">
        <v>5932938.1500000004</v>
      </c>
      <c r="K20" s="220">
        <f>SUM(C20:J20)</f>
        <v>142185340.65000004</v>
      </c>
      <c r="O20" s="294"/>
      <c r="P20" s="293"/>
      <c r="Q20" s="293"/>
      <c r="R20" s="293"/>
      <c r="S20" s="293"/>
      <c r="T20" s="293"/>
      <c r="U20" s="293"/>
      <c r="V20" s="293"/>
      <c r="W20" s="293"/>
      <c r="X20" s="293"/>
    </row>
    <row r="21" spans="1:24" x14ac:dyDescent="0.2">
      <c r="A21" s="182" t="s">
        <v>105</v>
      </c>
      <c r="B21" s="214">
        <f t="shared" ref="B21:K21" si="3">SUM(B19:B20)</f>
        <v>21930</v>
      </c>
      <c r="C21" s="214">
        <f t="shared" si="3"/>
        <v>162707932.66</v>
      </c>
      <c r="D21" s="214">
        <f t="shared" si="3"/>
        <v>15695269.25</v>
      </c>
      <c r="E21" s="214">
        <f t="shared" si="3"/>
        <v>24332833.910000004</v>
      </c>
      <c r="F21" s="214">
        <f t="shared" si="3"/>
        <v>14659804.269999998</v>
      </c>
      <c r="G21" s="214">
        <f t="shared" si="3"/>
        <v>38800822.849999994</v>
      </c>
      <c r="H21" s="214">
        <f t="shared" si="3"/>
        <v>17917862.690000001</v>
      </c>
      <c r="I21" s="214">
        <f t="shared" si="3"/>
        <v>25189604.910000004</v>
      </c>
      <c r="J21" s="214">
        <f t="shared" si="3"/>
        <v>29937468.140000001</v>
      </c>
      <c r="K21" s="214">
        <f t="shared" si="3"/>
        <v>329241598.68000007</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155169</v>
      </c>
      <c r="C23" s="222">
        <f t="shared" si="4"/>
        <v>1068619454.4899999</v>
      </c>
      <c r="D23" s="222">
        <f t="shared" si="4"/>
        <v>176717198.02999997</v>
      </c>
      <c r="E23" s="222">
        <f t="shared" si="4"/>
        <v>118394346.38999999</v>
      </c>
      <c r="F23" s="222">
        <f t="shared" si="4"/>
        <v>104803651.75</v>
      </c>
      <c r="G23" s="222">
        <f t="shared" si="4"/>
        <v>208189149.26000002</v>
      </c>
      <c r="H23" s="222">
        <f t="shared" si="4"/>
        <v>100904291.15000001</v>
      </c>
      <c r="I23" s="222">
        <f t="shared" si="4"/>
        <v>126285950.66999999</v>
      </c>
      <c r="J23" s="222">
        <f t="shared" si="4"/>
        <v>172240772.63999999</v>
      </c>
      <c r="K23" s="222">
        <f t="shared" si="4"/>
        <v>2076154814.3800001</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FY2021</v>
      </c>
      <c r="C26" s="22"/>
      <c r="D26" s="22"/>
      <c r="E26" s="22"/>
      <c r="F26" s="22"/>
      <c r="G26" s="22"/>
      <c r="H26" s="22"/>
      <c r="I26" s="22"/>
      <c r="J26" s="22"/>
      <c r="K26" s="22"/>
    </row>
    <row r="27" spans="1:24" ht="39" customHeight="1" x14ac:dyDescent="0.2">
      <c r="A27" s="21" t="s">
        <v>245</v>
      </c>
      <c r="B27" s="21" t="str">
        <f>B3</f>
        <v>ANB21</v>
      </c>
      <c r="C27" s="21" t="str">
        <f t="shared" ref="C27:K27" si="5">C3</f>
        <v>21/Pupil Instruction</v>
      </c>
      <c r="D27" s="21" t="str">
        <f t="shared" si="5"/>
        <v>21/Pupil Student Services</v>
      </c>
      <c r="E27" s="21" t="str">
        <f t="shared" si="5"/>
        <v>21/Pupil General Admin</v>
      </c>
      <c r="F27" s="21" t="str">
        <f t="shared" si="5"/>
        <v>21/Pupil Bldg Admin</v>
      </c>
      <c r="G27" s="21" t="str">
        <f t="shared" si="5"/>
        <v>21/Pupil Bldg OM</v>
      </c>
      <c r="H27" s="21" t="str">
        <f t="shared" si="5"/>
        <v>21/Pupil Transport</v>
      </c>
      <c r="I27" s="21" t="str">
        <f t="shared" si="5"/>
        <v>21/Pupil Other</v>
      </c>
      <c r="J27" s="21" t="str">
        <f t="shared" si="5"/>
        <v>21/Pupil Bonds/ Facilities</v>
      </c>
      <c r="K27" s="21" t="str">
        <f t="shared" si="5"/>
        <v>21/Pupil Total</v>
      </c>
    </row>
    <row r="28" spans="1:24" x14ac:dyDescent="0.2">
      <c r="A28" s="182" t="s">
        <v>102</v>
      </c>
      <c r="B28" s="214">
        <f t="shared" ref="B28:B33" si="6">B4</f>
        <v>42204</v>
      </c>
      <c r="C28" s="182">
        <f t="shared" ref="C28:K34" si="7">C4/$B28</f>
        <v>6561.2482238650355</v>
      </c>
      <c r="D28" s="182">
        <f t="shared" si="7"/>
        <v>1421.9909018102549</v>
      </c>
      <c r="E28" s="182">
        <f t="shared" si="7"/>
        <v>404.20475784285844</v>
      </c>
      <c r="F28" s="182">
        <f t="shared" si="7"/>
        <v>639.11019453132405</v>
      </c>
      <c r="G28" s="182">
        <f t="shared" si="7"/>
        <v>949.56582456639183</v>
      </c>
      <c r="H28" s="182">
        <f t="shared" si="7"/>
        <v>486.40320490948721</v>
      </c>
      <c r="I28" s="182">
        <f t="shared" si="7"/>
        <v>340.09986233532368</v>
      </c>
      <c r="J28" s="182">
        <f t="shared" si="7"/>
        <v>1008.6806606008907</v>
      </c>
      <c r="K28" s="182">
        <f t="shared" si="7"/>
        <v>11811.303630461567</v>
      </c>
    </row>
    <row r="29" spans="1:24" ht="15" x14ac:dyDescent="0.25">
      <c r="A29" s="182" t="s">
        <v>76</v>
      </c>
      <c r="B29" s="214">
        <f t="shared" si="6"/>
        <v>16998</v>
      </c>
      <c r="C29" s="182">
        <f t="shared" si="7"/>
        <v>6631.1716760795389</v>
      </c>
      <c r="D29" s="182">
        <f t="shared" si="7"/>
        <v>1734.8397517354983</v>
      </c>
      <c r="E29" s="182">
        <f t="shared" si="7"/>
        <v>607.75827803270977</v>
      </c>
      <c r="F29" s="182">
        <f t="shared" si="7"/>
        <v>693.62922461466042</v>
      </c>
      <c r="G29" s="182">
        <f t="shared" si="7"/>
        <v>1169.8588122132016</v>
      </c>
      <c r="H29" s="182">
        <f t="shared" si="7"/>
        <v>593.25034827626791</v>
      </c>
      <c r="I29" s="182">
        <f t="shared" si="7"/>
        <v>618.57824920578878</v>
      </c>
      <c r="J29" s="182">
        <f t="shared" si="7"/>
        <v>990.83697670314154</v>
      </c>
      <c r="K29" s="182">
        <f t="shared" si="7"/>
        <v>13039.923316860808</v>
      </c>
      <c r="O29" s="247"/>
      <c r="P29" s="273"/>
      <c r="Q29" s="273"/>
      <c r="R29" s="273"/>
      <c r="S29" s="273"/>
      <c r="T29" s="273"/>
      <c r="U29" s="273"/>
    </row>
    <row r="30" spans="1:24" ht="15" x14ac:dyDescent="0.25">
      <c r="A30" s="182" t="s">
        <v>77</v>
      </c>
      <c r="B30" s="214">
        <f t="shared" si="6"/>
        <v>16591</v>
      </c>
      <c r="C30" s="182">
        <f t="shared" si="7"/>
        <v>7009.0908456392017</v>
      </c>
      <c r="D30" s="182">
        <f t="shared" si="7"/>
        <v>1081.0093647158099</v>
      </c>
      <c r="E30" s="182">
        <f t="shared" si="7"/>
        <v>699.3819498523294</v>
      </c>
      <c r="F30" s="182">
        <f t="shared" si="7"/>
        <v>662.3668971128925</v>
      </c>
      <c r="G30" s="182">
        <f t="shared" si="7"/>
        <v>1253.122954011211</v>
      </c>
      <c r="H30" s="182">
        <f t="shared" si="7"/>
        <v>502.83382918449763</v>
      </c>
      <c r="I30" s="182">
        <f t="shared" si="7"/>
        <v>668.13050207944059</v>
      </c>
      <c r="J30" s="182">
        <f t="shared" si="7"/>
        <v>748.8191857030921</v>
      </c>
      <c r="K30" s="182">
        <f t="shared" si="7"/>
        <v>12624.755528298478</v>
      </c>
      <c r="O30" s="247"/>
      <c r="P30" s="273"/>
      <c r="Q30" s="273"/>
      <c r="R30" s="273"/>
      <c r="S30" s="273"/>
      <c r="T30" s="273"/>
      <c r="U30" s="273"/>
    </row>
    <row r="31" spans="1:24" ht="15" x14ac:dyDescent="0.25">
      <c r="A31" s="182" t="s">
        <v>78</v>
      </c>
      <c r="B31" s="214">
        <f t="shared" si="6"/>
        <v>12479</v>
      </c>
      <c r="C31" s="182">
        <f t="shared" si="7"/>
        <v>6957.9190792531454</v>
      </c>
      <c r="D31" s="182">
        <f t="shared" si="7"/>
        <v>710.09060261238892</v>
      </c>
      <c r="E31" s="182">
        <f t="shared" si="7"/>
        <v>997.67795977241769</v>
      </c>
      <c r="F31" s="182">
        <f t="shared" si="7"/>
        <v>537.33802388011873</v>
      </c>
      <c r="G31" s="182">
        <f t="shared" si="7"/>
        <v>1314.9509896626334</v>
      </c>
      <c r="H31" s="182">
        <f t="shared" si="7"/>
        <v>682.86550044074033</v>
      </c>
      <c r="I31" s="182">
        <f t="shared" si="7"/>
        <v>918.70888292331108</v>
      </c>
      <c r="J31" s="182">
        <f t="shared" si="7"/>
        <v>764.32113390496033</v>
      </c>
      <c r="K31" s="182">
        <f t="shared" si="7"/>
        <v>12883.872172449715</v>
      </c>
      <c r="O31" s="247"/>
      <c r="P31" s="273"/>
      <c r="Q31" s="273"/>
      <c r="R31" s="273"/>
      <c r="S31" s="273"/>
      <c r="T31" s="273"/>
      <c r="U31" s="273"/>
    </row>
    <row r="32" spans="1:24" ht="15" x14ac:dyDescent="0.25">
      <c r="A32" s="182" t="s">
        <v>79</v>
      </c>
      <c r="B32" s="214">
        <f t="shared" si="6"/>
        <v>5230</v>
      </c>
      <c r="C32" s="182">
        <f t="shared" si="7"/>
        <v>8544.4798374760976</v>
      </c>
      <c r="D32" s="182">
        <f t="shared" si="7"/>
        <v>672.75138049713178</v>
      </c>
      <c r="E32" s="182">
        <f t="shared" si="7"/>
        <v>1618.5283116634801</v>
      </c>
      <c r="F32" s="182">
        <f t="shared" si="7"/>
        <v>654.45923709369026</v>
      </c>
      <c r="G32" s="182">
        <f t="shared" si="7"/>
        <v>1955.9889311663485</v>
      </c>
      <c r="H32" s="182">
        <f t="shared" si="7"/>
        <v>884.43228680688321</v>
      </c>
      <c r="I32" s="182">
        <f t="shared" si="7"/>
        <v>1052.473173996176</v>
      </c>
      <c r="J32" s="182">
        <f t="shared" si="7"/>
        <v>634.46737667304012</v>
      </c>
      <c r="K32" s="182">
        <f t="shared" si="7"/>
        <v>16017.580535372846</v>
      </c>
      <c r="O32" s="247"/>
      <c r="P32" s="273"/>
      <c r="Q32" s="273"/>
      <c r="R32" s="273"/>
      <c r="S32" s="273"/>
      <c r="T32" s="273"/>
      <c r="U32" s="273"/>
    </row>
    <row r="33" spans="1:21" ht="15" x14ac:dyDescent="0.25">
      <c r="A33" s="182" t="s">
        <v>80</v>
      </c>
      <c r="B33" s="220">
        <f t="shared" si="6"/>
        <v>1296</v>
      </c>
      <c r="C33" s="183">
        <f t="shared" si="7"/>
        <v>9939.0897685185209</v>
      </c>
      <c r="D33" s="183">
        <f t="shared" si="7"/>
        <v>210.83638888888885</v>
      </c>
      <c r="E33" s="183">
        <f t="shared" si="7"/>
        <v>1993.0999999999995</v>
      </c>
      <c r="F33" s="183">
        <f t="shared" si="7"/>
        <v>153.64635802469138</v>
      </c>
      <c r="G33" s="183">
        <f t="shared" si="7"/>
        <v>2395.707353395062</v>
      </c>
      <c r="H33" s="183">
        <f t="shared" si="7"/>
        <v>1066.3316975308642</v>
      </c>
      <c r="I33" s="183">
        <f t="shared" si="7"/>
        <v>581.58594907407405</v>
      </c>
      <c r="J33" s="183">
        <f t="shared" si="7"/>
        <v>287.4290817901234</v>
      </c>
      <c r="K33" s="183">
        <f t="shared" si="7"/>
        <v>16627.726597222223</v>
      </c>
      <c r="O33" s="247"/>
      <c r="P33" s="273"/>
      <c r="Q33" s="273"/>
      <c r="R33" s="273"/>
      <c r="S33" s="273"/>
      <c r="T33" s="273"/>
      <c r="U33" s="273"/>
    </row>
    <row r="34" spans="1:21" ht="15" x14ac:dyDescent="0.25">
      <c r="A34" s="182" t="s">
        <v>219</v>
      </c>
      <c r="B34" s="214">
        <f>SUM(B28:B33)</f>
        <v>94798</v>
      </c>
      <c r="C34" s="182">
        <f t="shared" si="7"/>
        <v>6859.9755742737179</v>
      </c>
      <c r="D34" s="182">
        <f t="shared" si="7"/>
        <v>1266.8040549378679</v>
      </c>
      <c r="E34" s="182">
        <f t="shared" si="7"/>
        <v>659.2033868857992</v>
      </c>
      <c r="F34" s="182">
        <f t="shared" si="7"/>
        <v>633.76900451486324</v>
      </c>
      <c r="G34" s="182">
        <f t="shared" si="7"/>
        <v>1165.586102238444</v>
      </c>
      <c r="H34" s="182">
        <f t="shared" si="7"/>
        <v>564.18670921327464</v>
      </c>
      <c r="I34" s="182">
        <f t="shared" si="7"/>
        <v>566.21299046393381</v>
      </c>
      <c r="J34" s="182">
        <f t="shared" si="7"/>
        <v>897.32906327137698</v>
      </c>
      <c r="K34" s="182">
        <f t="shared" si="7"/>
        <v>12613.066885799279</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21877</v>
      </c>
      <c r="C36" s="182">
        <f t="shared" ref="C36:K41" si="8">C12/$B36</f>
        <v>6412.4783398089312</v>
      </c>
      <c r="D36" s="182">
        <f t="shared" si="8"/>
        <v>1077.6737902820312</v>
      </c>
      <c r="E36" s="182">
        <f t="shared" si="8"/>
        <v>478.05402157517028</v>
      </c>
      <c r="F36" s="182">
        <f t="shared" si="8"/>
        <v>694.17278877359786</v>
      </c>
      <c r="G36" s="182">
        <f t="shared" si="8"/>
        <v>1196.8404648717833</v>
      </c>
      <c r="H36" s="182">
        <f t="shared" si="8"/>
        <v>499.43764090140337</v>
      </c>
      <c r="I36" s="182">
        <f t="shared" si="8"/>
        <v>910.51007313617049</v>
      </c>
      <c r="J36" s="182">
        <f t="shared" si="8"/>
        <v>1458.6944827901448</v>
      </c>
      <c r="K36" s="182">
        <f t="shared" si="8"/>
        <v>12727.861602139232</v>
      </c>
      <c r="O36" s="247"/>
      <c r="P36" s="273"/>
      <c r="Q36" s="273"/>
      <c r="R36" s="273"/>
      <c r="S36" s="273"/>
      <c r="T36" s="273"/>
      <c r="U36" s="273"/>
    </row>
    <row r="37" spans="1:21" ht="15" x14ac:dyDescent="0.25">
      <c r="A37" s="182" t="s">
        <v>82</v>
      </c>
      <c r="B37" s="214">
        <f>B13</f>
        <v>6459</v>
      </c>
      <c r="C37" s="182">
        <f t="shared" si="8"/>
        <v>6037.9614568818724</v>
      </c>
      <c r="D37" s="182">
        <f t="shared" si="8"/>
        <v>1232.4057268927077</v>
      </c>
      <c r="E37" s="182">
        <f t="shared" si="8"/>
        <v>760.67924446508755</v>
      </c>
      <c r="F37" s="182">
        <f t="shared" si="8"/>
        <v>792.41088558600404</v>
      </c>
      <c r="G37" s="182">
        <f t="shared" si="8"/>
        <v>1394.3402926149558</v>
      </c>
      <c r="H37" s="182">
        <f t="shared" si="8"/>
        <v>704.85478402229444</v>
      </c>
      <c r="I37" s="182">
        <f t="shared" si="8"/>
        <v>1606.1249760024771</v>
      </c>
      <c r="J37" s="182">
        <f t="shared" si="8"/>
        <v>1782.743204830469</v>
      </c>
      <c r="K37" s="182">
        <f t="shared" si="8"/>
        <v>14311.520571295867</v>
      </c>
      <c r="O37" s="247"/>
      <c r="P37" s="273"/>
      <c r="Q37" s="273"/>
      <c r="R37" s="273"/>
      <c r="S37" s="273"/>
      <c r="T37" s="273"/>
      <c r="U37" s="273"/>
    </row>
    <row r="38" spans="1:21" ht="15" x14ac:dyDescent="0.25">
      <c r="A38" s="182" t="s">
        <v>83</v>
      </c>
      <c r="B38" s="214">
        <f>B14</f>
        <v>4724</v>
      </c>
      <c r="C38" s="182">
        <f t="shared" si="8"/>
        <v>6279.5579932260807</v>
      </c>
      <c r="D38" s="182">
        <f t="shared" si="8"/>
        <v>875.08146062658773</v>
      </c>
      <c r="E38" s="182">
        <f t="shared" si="8"/>
        <v>947.92427180355628</v>
      </c>
      <c r="F38" s="182">
        <f t="shared" si="8"/>
        <v>935.88345681625742</v>
      </c>
      <c r="G38" s="182">
        <f t="shared" si="8"/>
        <v>1634.9824851820495</v>
      </c>
      <c r="H38" s="182">
        <f t="shared" si="8"/>
        <v>954.54547629127865</v>
      </c>
      <c r="I38" s="182">
        <f t="shared" si="8"/>
        <v>1501.9483107535987</v>
      </c>
      <c r="J38" s="182">
        <f t="shared" si="8"/>
        <v>1470.6126735817102</v>
      </c>
      <c r="K38" s="182">
        <f t="shared" si="8"/>
        <v>14600.536128281117</v>
      </c>
      <c r="O38" s="247"/>
      <c r="P38" s="273"/>
      <c r="Q38" s="273"/>
      <c r="R38" s="273"/>
      <c r="S38" s="273"/>
      <c r="T38" s="273"/>
      <c r="U38" s="273"/>
    </row>
    <row r="39" spans="1:21" ht="15" x14ac:dyDescent="0.25">
      <c r="A39" s="182" t="s">
        <v>84</v>
      </c>
      <c r="B39" s="214">
        <f>B15</f>
        <v>3916</v>
      </c>
      <c r="C39" s="182">
        <f t="shared" si="8"/>
        <v>7781.6331205311553</v>
      </c>
      <c r="D39" s="182">
        <f t="shared" si="8"/>
        <v>1032.4231945863128</v>
      </c>
      <c r="E39" s="182">
        <f t="shared" si="8"/>
        <v>1609.8268207354438</v>
      </c>
      <c r="F39" s="182">
        <f t="shared" si="8"/>
        <v>1019.3988253319715</v>
      </c>
      <c r="G39" s="182">
        <f t="shared" si="8"/>
        <v>2415.8659601634322</v>
      </c>
      <c r="H39" s="182">
        <f t="shared" si="8"/>
        <v>1633.8231792645556</v>
      </c>
      <c r="I39" s="182">
        <f t="shared" si="8"/>
        <v>1623.6090730337078</v>
      </c>
      <c r="J39" s="182">
        <f t="shared" si="8"/>
        <v>1416.0160418794692</v>
      </c>
      <c r="K39" s="182">
        <f t="shared" si="8"/>
        <v>18532.596215526046</v>
      </c>
      <c r="O39" s="247"/>
      <c r="P39" s="273"/>
      <c r="Q39" s="273"/>
      <c r="R39" s="273"/>
      <c r="S39" s="273"/>
      <c r="T39" s="273"/>
      <c r="U39" s="273"/>
    </row>
    <row r="40" spans="1:21" ht="15" x14ac:dyDescent="0.25">
      <c r="A40" s="182" t="s">
        <v>85</v>
      </c>
      <c r="B40" s="220">
        <f>B16</f>
        <v>1465</v>
      </c>
      <c r="C40" s="183">
        <f t="shared" si="8"/>
        <v>11042.367501706483</v>
      </c>
      <c r="D40" s="183">
        <f t="shared" si="8"/>
        <v>831.5398156996589</v>
      </c>
      <c r="E40" s="183">
        <f t="shared" si="8"/>
        <v>3697.3779180887368</v>
      </c>
      <c r="F40" s="183">
        <f t="shared" si="8"/>
        <v>918.86288737201357</v>
      </c>
      <c r="G40" s="183">
        <f t="shared" si="8"/>
        <v>4450.2279385665524</v>
      </c>
      <c r="H40" s="183">
        <f t="shared" si="8"/>
        <v>2127.2887918088745</v>
      </c>
      <c r="I40" s="183">
        <f t="shared" si="8"/>
        <v>2507.876894197952</v>
      </c>
      <c r="J40" s="183">
        <f t="shared" si="8"/>
        <v>900.62341979522193</v>
      </c>
      <c r="K40" s="183">
        <f t="shared" si="8"/>
        <v>26476.165167235493</v>
      </c>
      <c r="O40" s="247"/>
      <c r="P40" s="273"/>
      <c r="Q40" s="273"/>
      <c r="R40" s="273"/>
      <c r="S40" s="273"/>
      <c r="T40" s="273"/>
      <c r="U40" s="273"/>
    </row>
    <row r="41" spans="1:21" ht="15" x14ac:dyDescent="0.25">
      <c r="A41" s="182" t="s">
        <v>220</v>
      </c>
      <c r="B41" s="214">
        <f>SUM(B36:B40)</f>
        <v>38441</v>
      </c>
      <c r="C41" s="182">
        <f t="shared" si="8"/>
        <v>6649.1391311360267</v>
      </c>
      <c r="D41" s="182">
        <f t="shared" si="8"/>
        <v>1064.7859831950259</v>
      </c>
      <c r="E41" s="182">
        <f t="shared" si="8"/>
        <v>821.26765198616044</v>
      </c>
      <c r="F41" s="182">
        <f t="shared" si="8"/>
        <v>782.07677713899216</v>
      </c>
      <c r="G41" s="182">
        <f t="shared" si="8"/>
        <v>1532.0385809422232</v>
      </c>
      <c r="H41" s="182">
        <f t="shared" si="8"/>
        <v>767.47891053822741</v>
      </c>
      <c r="I41" s="182">
        <f t="shared" si="8"/>
        <v>1233.5913917431908</v>
      </c>
      <c r="J41" s="182">
        <f t="shared" si="8"/>
        <v>1488.9910241669052</v>
      </c>
      <c r="K41" s="182">
        <f t="shared" si="8"/>
        <v>14339.369450846754</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14270</v>
      </c>
      <c r="C43" s="182">
        <f t="shared" ref="C43:K45" si="9">C19/$B43</f>
        <v>6483.5229873861235</v>
      </c>
      <c r="D43" s="182">
        <f t="shared" si="9"/>
        <v>793.70713665031542</v>
      </c>
      <c r="E43" s="182">
        <f t="shared" si="9"/>
        <v>731.17438612473711</v>
      </c>
      <c r="F43" s="182">
        <f t="shared" si="9"/>
        <v>656.87455921513663</v>
      </c>
      <c r="G43" s="182">
        <f t="shared" si="9"/>
        <v>1223.7973419761738</v>
      </c>
      <c r="H43" s="182">
        <f t="shared" si="9"/>
        <v>668.18420812894169</v>
      </c>
      <c r="I43" s="182">
        <f t="shared" si="9"/>
        <v>868.929152067274</v>
      </c>
      <c r="J43" s="182">
        <f t="shared" si="9"/>
        <v>1682.1674835318852</v>
      </c>
      <c r="K43" s="182">
        <f t="shared" si="9"/>
        <v>13108.357255080589</v>
      </c>
    </row>
    <row r="44" spans="1:21" x14ac:dyDescent="0.2">
      <c r="A44" s="182" t="s">
        <v>87</v>
      </c>
      <c r="B44" s="220">
        <f>B20</f>
        <v>7660</v>
      </c>
      <c r="C44" s="183">
        <f t="shared" si="9"/>
        <v>9162.9320665796349</v>
      </c>
      <c r="D44" s="183">
        <f t="shared" si="9"/>
        <v>570.37446605744117</v>
      </c>
      <c r="E44" s="183">
        <f t="shared" si="9"/>
        <v>1814.4876527415149</v>
      </c>
      <c r="F44" s="183">
        <f t="shared" si="9"/>
        <v>690.1050013054828</v>
      </c>
      <c r="G44" s="183">
        <f t="shared" si="9"/>
        <v>2785.5397885117491</v>
      </c>
      <c r="H44" s="183">
        <f t="shared" si="9"/>
        <v>1094.3699791122717</v>
      </c>
      <c r="I44" s="183">
        <f t="shared" si="9"/>
        <v>1669.7109543080944</v>
      </c>
      <c r="J44" s="183">
        <f t="shared" si="9"/>
        <v>774.53500652741525</v>
      </c>
      <c r="K44" s="183">
        <f t="shared" si="9"/>
        <v>18562.054915143606</v>
      </c>
    </row>
    <row r="45" spans="1:21" x14ac:dyDescent="0.2">
      <c r="A45" s="182" t="s">
        <v>221</v>
      </c>
      <c r="B45" s="214">
        <f>SUM(B43:B44)</f>
        <v>21930</v>
      </c>
      <c r="C45" s="182">
        <f t="shared" si="9"/>
        <v>7419.4223739170084</v>
      </c>
      <c r="D45" s="182">
        <f t="shared" si="9"/>
        <v>715.6985522115823</v>
      </c>
      <c r="E45" s="182">
        <f t="shared" si="9"/>
        <v>1109.5683497492021</v>
      </c>
      <c r="F45" s="182">
        <f t="shared" si="9"/>
        <v>668.48172685818508</v>
      </c>
      <c r="G45" s="182">
        <f t="shared" si="9"/>
        <v>1769.3033675330594</v>
      </c>
      <c r="H45" s="182">
        <f t="shared" si="9"/>
        <v>817.0480022799818</v>
      </c>
      <c r="I45" s="182">
        <f t="shared" si="9"/>
        <v>1148.6367948016418</v>
      </c>
      <c r="J45" s="182">
        <f t="shared" si="9"/>
        <v>1365.1376260829913</v>
      </c>
      <c r="K45" s="182">
        <f t="shared" si="9"/>
        <v>15013.296793433656</v>
      </c>
    </row>
    <row r="46" spans="1:21" x14ac:dyDescent="0.2">
      <c r="A46" s="182"/>
      <c r="B46" s="214"/>
      <c r="C46" s="182"/>
      <c r="D46" s="182"/>
      <c r="E46" s="182"/>
      <c r="F46" s="182"/>
      <c r="G46" s="182"/>
      <c r="H46" s="182"/>
      <c r="I46" s="182"/>
      <c r="J46" s="182"/>
      <c r="K46" s="182"/>
    </row>
    <row r="47" spans="1:21" ht="13.5" thickBot="1" x14ac:dyDescent="0.25">
      <c r="A47" s="182" t="s">
        <v>222</v>
      </c>
      <c r="B47" s="222">
        <f>B45+B41+B34</f>
        <v>155169</v>
      </c>
      <c r="C47" s="222">
        <f t="shared" ref="C47:K47" si="10">C23/$B47</f>
        <v>6886.810216538096</v>
      </c>
      <c r="D47" s="222">
        <f t="shared" si="10"/>
        <v>1138.8692202050665</v>
      </c>
      <c r="E47" s="222">
        <f t="shared" si="10"/>
        <v>763.0025739032925</v>
      </c>
      <c r="F47" s="222">
        <f t="shared" si="10"/>
        <v>675.41617043352733</v>
      </c>
      <c r="G47" s="222">
        <f t="shared" si="10"/>
        <v>1341.6929235865412</v>
      </c>
      <c r="H47" s="222">
        <f t="shared" si="10"/>
        <v>650.28640482312835</v>
      </c>
      <c r="I47" s="222">
        <f t="shared" si="10"/>
        <v>813.86069814202574</v>
      </c>
      <c r="J47" s="222">
        <f t="shared" si="10"/>
        <v>1110.0205107979041</v>
      </c>
      <c r="K47" s="222">
        <f t="shared" si="10"/>
        <v>13379.958718429583</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FY2021</v>
      </c>
      <c r="D50" s="182"/>
      <c r="E50" s="182"/>
      <c r="F50" s="182"/>
      <c r="G50" s="182"/>
      <c r="H50" s="182"/>
      <c r="I50" s="182"/>
      <c r="J50" s="182"/>
      <c r="K50" s="182"/>
    </row>
    <row r="51" spans="1:11" ht="40.5" customHeight="1" x14ac:dyDescent="0.2">
      <c r="A51" s="21" t="s">
        <v>1207</v>
      </c>
      <c r="B51" s="21" t="str">
        <f>B3</f>
        <v>ANB21</v>
      </c>
      <c r="C51" s="21" t="str">
        <f t="shared" ref="C51:K51" si="11">C3</f>
        <v>21/Pupil Instruction</v>
      </c>
      <c r="D51" s="21" t="str">
        <f t="shared" si="11"/>
        <v>21/Pupil Student Services</v>
      </c>
      <c r="E51" s="21" t="str">
        <f t="shared" si="11"/>
        <v>21/Pupil General Admin</v>
      </c>
      <c r="F51" s="21" t="str">
        <f t="shared" si="11"/>
        <v>21/Pupil Bldg Admin</v>
      </c>
      <c r="G51" s="21" t="str">
        <f t="shared" si="11"/>
        <v>21/Pupil Bldg OM</v>
      </c>
      <c r="H51" s="21" t="str">
        <f t="shared" si="11"/>
        <v>21/Pupil Transport</v>
      </c>
      <c r="I51" s="21" t="str">
        <f t="shared" si="11"/>
        <v>21/Pupil Other</v>
      </c>
      <c r="J51" s="21" t="str">
        <f t="shared" si="11"/>
        <v>21/Pupil Bonds/ Facilities</v>
      </c>
      <c r="K51" s="21" t="str">
        <f t="shared" si="11"/>
        <v>21/Pupil Total</v>
      </c>
    </row>
    <row r="52" spans="1:11" x14ac:dyDescent="0.2">
      <c r="A52" s="182" t="s">
        <v>102</v>
      </c>
      <c r="B52" s="214">
        <f t="shared" ref="B52:B57" si="12">B4</f>
        <v>42204</v>
      </c>
      <c r="C52" s="191">
        <f t="shared" ref="C52:K58" si="13">C28/$K28</f>
        <v>0.55550584669955116</v>
      </c>
      <c r="D52" s="191">
        <f t="shared" si="13"/>
        <v>0.12039237549891736</v>
      </c>
      <c r="E52" s="191">
        <f t="shared" si="13"/>
        <v>3.4221858186797183E-2</v>
      </c>
      <c r="F52" s="191">
        <f t="shared" si="13"/>
        <v>5.4110046996255962E-2</v>
      </c>
      <c r="G52" s="191">
        <f t="shared" si="13"/>
        <v>8.0394667199769912E-2</v>
      </c>
      <c r="H52" s="191">
        <f t="shared" si="13"/>
        <v>4.1181161718258134E-2</v>
      </c>
      <c r="I52" s="191">
        <f t="shared" si="13"/>
        <v>2.8794439037042444E-2</v>
      </c>
      <c r="J52" s="191">
        <f t="shared" si="13"/>
        <v>8.5399604663407763E-2</v>
      </c>
      <c r="K52" s="191">
        <f t="shared" si="13"/>
        <v>1</v>
      </c>
    </row>
    <row r="53" spans="1:11" x14ac:dyDescent="0.2">
      <c r="A53" s="182" t="s">
        <v>76</v>
      </c>
      <c r="B53" s="214">
        <f t="shared" si="12"/>
        <v>16998</v>
      </c>
      <c r="C53" s="191">
        <f t="shared" si="13"/>
        <v>0.50852842573892587</v>
      </c>
      <c r="D53" s="191">
        <f t="shared" si="13"/>
        <v>0.13304064062189122</v>
      </c>
      <c r="E53" s="191">
        <f t="shared" si="13"/>
        <v>4.6607503990983568E-2</v>
      </c>
      <c r="F53" s="191">
        <f t="shared" si="13"/>
        <v>5.3192738006195776E-2</v>
      </c>
      <c r="G53" s="191">
        <f t="shared" si="13"/>
        <v>8.9713626666849899E-2</v>
      </c>
      <c r="H53" s="191">
        <f t="shared" si="13"/>
        <v>4.549492614800784E-2</v>
      </c>
      <c r="I53" s="191">
        <f t="shared" si="13"/>
        <v>4.7437261261035042E-2</v>
      </c>
      <c r="J53" s="191">
        <f t="shared" si="13"/>
        <v>7.5984877566110776E-2</v>
      </c>
      <c r="K53" s="191">
        <f t="shared" si="13"/>
        <v>1</v>
      </c>
    </row>
    <row r="54" spans="1:11" x14ac:dyDescent="0.2">
      <c r="A54" s="182" t="s">
        <v>77</v>
      </c>
      <c r="B54" s="214">
        <f t="shared" si="12"/>
        <v>16591</v>
      </c>
      <c r="C54" s="191">
        <f t="shared" si="13"/>
        <v>0.55518626320551523</v>
      </c>
      <c r="D54" s="191">
        <f t="shared" si="13"/>
        <v>8.5626162209059803E-2</v>
      </c>
      <c r="E54" s="191">
        <f t="shared" si="13"/>
        <v>5.5397662812928128E-2</v>
      </c>
      <c r="F54" s="191">
        <f t="shared" si="13"/>
        <v>5.2465720673021549E-2</v>
      </c>
      <c r="G54" s="191">
        <f t="shared" si="13"/>
        <v>9.9259185748375653E-2</v>
      </c>
      <c r="H54" s="191">
        <f t="shared" si="13"/>
        <v>3.9829193369914535E-2</v>
      </c>
      <c r="I54" s="191">
        <f t="shared" si="13"/>
        <v>5.2922252679017935E-2</v>
      </c>
      <c r="J54" s="191">
        <f t="shared" si="13"/>
        <v>5.9313559302166974E-2</v>
      </c>
      <c r="K54" s="191">
        <f t="shared" si="13"/>
        <v>1</v>
      </c>
    </row>
    <row r="55" spans="1:11" x14ac:dyDescent="0.2">
      <c r="A55" s="182" t="s">
        <v>78</v>
      </c>
      <c r="B55" s="214">
        <f t="shared" si="12"/>
        <v>12479</v>
      </c>
      <c r="C55" s="191">
        <f t="shared" si="13"/>
        <v>0.54004875134756791</v>
      </c>
      <c r="D55" s="191">
        <f t="shared" si="13"/>
        <v>5.5114688589569701E-2</v>
      </c>
      <c r="E55" s="191">
        <f t="shared" si="13"/>
        <v>7.7436188935947906E-2</v>
      </c>
      <c r="F55" s="191">
        <f t="shared" si="13"/>
        <v>4.1706252335314054E-2</v>
      </c>
      <c r="G55" s="191">
        <f t="shared" si="13"/>
        <v>0.10206178484714128</v>
      </c>
      <c r="H55" s="191">
        <f t="shared" si="13"/>
        <v>5.3001573696217566E-2</v>
      </c>
      <c r="I55" s="191">
        <f t="shared" si="13"/>
        <v>7.1306892107159847E-2</v>
      </c>
      <c r="J55" s="191">
        <f t="shared" si="13"/>
        <v>5.9323868141081822E-2</v>
      </c>
      <c r="K55" s="191">
        <f t="shared" si="13"/>
        <v>1</v>
      </c>
    </row>
    <row r="56" spans="1:11" x14ac:dyDescent="0.2">
      <c r="A56" s="182" t="s">
        <v>79</v>
      </c>
      <c r="B56" s="214">
        <f t="shared" si="12"/>
        <v>5230</v>
      </c>
      <c r="C56" s="191">
        <f t="shared" si="13"/>
        <v>0.53344385056199162</v>
      </c>
      <c r="D56" s="191">
        <f t="shared" si="13"/>
        <v>4.200081148407174E-2</v>
      </c>
      <c r="E56" s="191">
        <f t="shared" si="13"/>
        <v>0.10104699071680398</v>
      </c>
      <c r="F56" s="191">
        <f t="shared" si="13"/>
        <v>4.0858807336626023E-2</v>
      </c>
      <c r="G56" s="191">
        <f t="shared" si="13"/>
        <v>0.12211513011261524</v>
      </c>
      <c r="H56" s="191">
        <f t="shared" si="13"/>
        <v>5.5216347116452694E-2</v>
      </c>
      <c r="I56" s="191">
        <f t="shared" si="13"/>
        <v>6.5707375197641055E-2</v>
      </c>
      <c r="J56" s="191">
        <f t="shared" si="13"/>
        <v>3.9610687473797764E-2</v>
      </c>
      <c r="K56" s="191">
        <f t="shared" si="13"/>
        <v>1</v>
      </c>
    </row>
    <row r="57" spans="1:11" x14ac:dyDescent="0.2">
      <c r="A57" s="182" t="s">
        <v>80</v>
      </c>
      <c r="B57" s="220">
        <f t="shared" si="12"/>
        <v>1296</v>
      </c>
      <c r="C57" s="193">
        <f t="shared" si="13"/>
        <v>0.59774195290045928</v>
      </c>
      <c r="D57" s="193">
        <f t="shared" si="13"/>
        <v>1.2679808490723593E-2</v>
      </c>
      <c r="E57" s="193">
        <f t="shared" si="13"/>
        <v>0.1198660555516327</v>
      </c>
      <c r="F57" s="193">
        <f t="shared" si="13"/>
        <v>9.2403707221382306E-3</v>
      </c>
      <c r="G57" s="193">
        <f t="shared" si="13"/>
        <v>0.14407906813883273</v>
      </c>
      <c r="H57" s="193">
        <f t="shared" si="13"/>
        <v>6.4129734831519444E-2</v>
      </c>
      <c r="I57" s="193">
        <f t="shared" si="13"/>
        <v>3.4976877065757868E-2</v>
      </c>
      <c r="J57" s="193">
        <f t="shared" si="13"/>
        <v>1.7286132298936187E-2</v>
      </c>
      <c r="K57" s="193">
        <f t="shared" si="13"/>
        <v>1</v>
      </c>
    </row>
    <row r="58" spans="1:11" x14ac:dyDescent="0.2">
      <c r="A58" s="182" t="s">
        <v>219</v>
      </c>
      <c r="B58" s="214">
        <f>SUM(B52:B57)</f>
        <v>94798</v>
      </c>
      <c r="C58" s="191">
        <f t="shared" si="13"/>
        <v>0.5438784743143783</v>
      </c>
      <c r="D58" s="191">
        <f t="shared" si="13"/>
        <v>0.10043584692031796</v>
      </c>
      <c r="E58" s="191">
        <f t="shared" si="13"/>
        <v>5.2263528993727847E-2</v>
      </c>
      <c r="F58" s="191">
        <f t="shared" si="13"/>
        <v>5.0247018449446831E-2</v>
      </c>
      <c r="G58" s="191">
        <f t="shared" si="13"/>
        <v>9.2410998275982092E-2</v>
      </c>
      <c r="H58" s="191">
        <f t="shared" si="13"/>
        <v>4.4730335161266579E-2</v>
      </c>
      <c r="I58" s="191">
        <f t="shared" si="13"/>
        <v>4.4890984531400384E-2</v>
      </c>
      <c r="J58" s="191">
        <f t="shared" si="13"/>
        <v>7.1142813353479967E-2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21877</v>
      </c>
      <c r="C60" s="191">
        <f t="shared" ref="C60:K65" si="14">C36/$K36</f>
        <v>0.50381427299077131</v>
      </c>
      <c r="D60" s="191">
        <f t="shared" si="14"/>
        <v>8.4670451641374031E-2</v>
      </c>
      <c r="E60" s="191">
        <f t="shared" si="14"/>
        <v>3.7559649571835496E-2</v>
      </c>
      <c r="F60" s="191">
        <f t="shared" si="14"/>
        <v>5.4539624209688525E-2</v>
      </c>
      <c r="G60" s="191">
        <f t="shared" si="14"/>
        <v>9.4033114303397572E-2</v>
      </c>
      <c r="H60" s="191">
        <f t="shared" si="14"/>
        <v>3.9239713355891652E-2</v>
      </c>
      <c r="I60" s="191">
        <f t="shared" si="14"/>
        <v>7.1536767258935055E-2</v>
      </c>
      <c r="J60" s="191">
        <f t="shared" si="14"/>
        <v>0.11460640666810638</v>
      </c>
      <c r="K60" s="191">
        <f t="shared" si="14"/>
        <v>1</v>
      </c>
    </row>
    <row r="61" spans="1:11" x14ac:dyDescent="0.2">
      <c r="A61" s="182" t="s">
        <v>82</v>
      </c>
      <c r="B61" s="214">
        <f>B37</f>
        <v>6459</v>
      </c>
      <c r="C61" s="191">
        <f t="shared" si="14"/>
        <v>0.42189517366812912</v>
      </c>
      <c r="D61" s="191">
        <f t="shared" si="14"/>
        <v>8.6112843198821384E-2</v>
      </c>
      <c r="E61" s="191">
        <f t="shared" si="14"/>
        <v>5.3151532059476349E-2</v>
      </c>
      <c r="F61" s="191">
        <f t="shared" si="14"/>
        <v>5.5368741681810933E-2</v>
      </c>
      <c r="G61" s="191">
        <f t="shared" si="14"/>
        <v>9.7427822967430661E-2</v>
      </c>
      <c r="H61" s="191">
        <f t="shared" si="14"/>
        <v>4.9250866147374853E-2</v>
      </c>
      <c r="I61" s="191">
        <f t="shared" si="14"/>
        <v>0.11222601875190172</v>
      </c>
      <c r="J61" s="191">
        <f t="shared" si="14"/>
        <v>0.12456700152505505</v>
      </c>
      <c r="K61" s="191">
        <f t="shared" si="14"/>
        <v>1</v>
      </c>
    </row>
    <row r="62" spans="1:11" x14ac:dyDescent="0.2">
      <c r="A62" s="182" t="s">
        <v>83</v>
      </c>
      <c r="B62" s="214">
        <f>B38</f>
        <v>4724</v>
      </c>
      <c r="C62" s="191">
        <f t="shared" si="14"/>
        <v>0.43009091844666092</v>
      </c>
      <c r="D62" s="191">
        <f t="shared" si="14"/>
        <v>5.9934885468456343E-2</v>
      </c>
      <c r="E62" s="191">
        <f t="shared" si="14"/>
        <v>6.492393590721883E-2</v>
      </c>
      <c r="F62" s="191">
        <f t="shared" si="14"/>
        <v>6.4099252835206441E-2</v>
      </c>
      <c r="G62" s="191">
        <f t="shared" si="14"/>
        <v>0.11198098965798263</v>
      </c>
      <c r="H62" s="191">
        <f t="shared" si="14"/>
        <v>6.5377426411235132E-2</v>
      </c>
      <c r="I62" s="191">
        <f t="shared" si="14"/>
        <v>0.10286939449054458</v>
      </c>
      <c r="J62" s="191">
        <f t="shared" si="14"/>
        <v>0.10072319678269523</v>
      </c>
      <c r="K62" s="191">
        <f t="shared" si="14"/>
        <v>1</v>
      </c>
    </row>
    <row r="63" spans="1:11" x14ac:dyDescent="0.2">
      <c r="A63" s="182" t="s">
        <v>84</v>
      </c>
      <c r="B63" s="214">
        <f>B39</f>
        <v>3916</v>
      </c>
      <c r="C63" s="191">
        <f t="shared" si="14"/>
        <v>0.41988899072931507</v>
      </c>
      <c r="D63" s="191">
        <f t="shared" si="14"/>
        <v>5.5708503146546733E-2</v>
      </c>
      <c r="E63" s="191">
        <f t="shared" si="14"/>
        <v>8.6864614218852929E-2</v>
      </c>
      <c r="F63" s="191">
        <f t="shared" si="14"/>
        <v>5.5005721458386392E-2</v>
      </c>
      <c r="G63" s="191">
        <f t="shared" si="14"/>
        <v>0.13035766452082376</v>
      </c>
      <c r="H63" s="191">
        <f t="shared" si="14"/>
        <v>8.8159433263634596E-2</v>
      </c>
      <c r="I63" s="191">
        <f t="shared" si="14"/>
        <v>8.7608290503491212E-2</v>
      </c>
      <c r="J63" s="191">
        <f t="shared" si="14"/>
        <v>7.6406782158949429E-2</v>
      </c>
      <c r="K63" s="191">
        <f t="shared" si="14"/>
        <v>1</v>
      </c>
    </row>
    <row r="64" spans="1:11" x14ac:dyDescent="0.2">
      <c r="A64" s="182" t="s">
        <v>85</v>
      </c>
      <c r="B64" s="220">
        <f>B40</f>
        <v>1465</v>
      </c>
      <c r="C64" s="193">
        <f t="shared" si="14"/>
        <v>0.41706823597593801</v>
      </c>
      <c r="D64" s="193">
        <f t="shared" si="14"/>
        <v>3.140710939243941E-2</v>
      </c>
      <c r="E64" s="193">
        <f t="shared" si="14"/>
        <v>0.13964929946366542</v>
      </c>
      <c r="F64" s="193">
        <f t="shared" si="14"/>
        <v>3.4705286115570666E-2</v>
      </c>
      <c r="G64" s="193">
        <f t="shared" si="14"/>
        <v>0.16808430943291411</v>
      </c>
      <c r="H64" s="193">
        <f t="shared" si="14"/>
        <v>8.0347315344648729E-2</v>
      </c>
      <c r="I64" s="193">
        <f t="shared" si="14"/>
        <v>9.4722059571583028E-2</v>
      </c>
      <c r="J64" s="193">
        <f t="shared" si="14"/>
        <v>3.4016384703240636E-2</v>
      </c>
      <c r="K64" s="193">
        <f t="shared" si="14"/>
        <v>1</v>
      </c>
    </row>
    <row r="65" spans="1:11" x14ac:dyDescent="0.2">
      <c r="A65" s="182" t="s">
        <v>220</v>
      </c>
      <c r="B65" s="214">
        <f>SUM(B60:B64)</f>
        <v>38441</v>
      </c>
      <c r="C65" s="191">
        <f t="shared" si="14"/>
        <v>0.46369815311114593</v>
      </c>
      <c r="D65" s="191">
        <f t="shared" si="14"/>
        <v>7.4256123105339841E-2</v>
      </c>
      <c r="E65" s="191">
        <f t="shared" si="14"/>
        <v>5.727362383690196E-2</v>
      </c>
      <c r="F65" s="191">
        <f t="shared" si="14"/>
        <v>5.4540527728212607E-2</v>
      </c>
      <c r="G65" s="191">
        <f t="shared" si="14"/>
        <v>0.10684141908706835</v>
      </c>
      <c r="H65" s="191">
        <f t="shared" si="14"/>
        <v>5.3522500634984822E-2</v>
      </c>
      <c r="I65" s="191">
        <f t="shared" si="14"/>
        <v>8.602828708554866E-2</v>
      </c>
      <c r="J65" s="191">
        <f t="shared" si="14"/>
        <v>0.10383936541079766</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14270</v>
      </c>
      <c r="C67" s="191">
        <f t="shared" ref="C67:K69" si="15">C43/$K43</f>
        <v>0.49460987835628401</v>
      </c>
      <c r="D67" s="191">
        <f t="shared" si="15"/>
        <v>6.0549702850270365E-2</v>
      </c>
      <c r="E67" s="191">
        <f t="shared" si="15"/>
        <v>5.5779253791801077E-2</v>
      </c>
      <c r="F67" s="191">
        <f t="shared" si="15"/>
        <v>5.0111127308537659E-2</v>
      </c>
      <c r="G67" s="191">
        <f t="shared" si="15"/>
        <v>9.3360084575193403E-2</v>
      </c>
      <c r="H67" s="191">
        <f t="shared" si="15"/>
        <v>5.0973908867944853E-2</v>
      </c>
      <c r="I67" s="191">
        <f t="shared" si="15"/>
        <v>6.6288180521666129E-2</v>
      </c>
      <c r="J67" s="191">
        <f t="shared" si="15"/>
        <v>0.12832786372830235</v>
      </c>
      <c r="K67" s="191">
        <f t="shared" si="15"/>
        <v>1</v>
      </c>
    </row>
    <row r="68" spans="1:11" x14ac:dyDescent="0.2">
      <c r="A68" s="182" t="s">
        <v>87</v>
      </c>
      <c r="B68" s="220">
        <f>B44</f>
        <v>7660</v>
      </c>
      <c r="C68" s="193">
        <f t="shared" si="15"/>
        <v>0.49363780618406522</v>
      </c>
      <c r="D68" s="193">
        <f t="shared" si="15"/>
        <v>3.0727980747008173E-2</v>
      </c>
      <c r="E68" s="193">
        <f t="shared" si="15"/>
        <v>9.7752520452958541E-2</v>
      </c>
      <c r="F68" s="193">
        <f t="shared" si="15"/>
        <v>3.717826525459042E-2</v>
      </c>
      <c r="G68" s="193">
        <f t="shared" si="15"/>
        <v>0.1500663477856217</v>
      </c>
      <c r="H68" s="193">
        <f t="shared" si="15"/>
        <v>5.8957372129065544E-2</v>
      </c>
      <c r="I68" s="193">
        <f t="shared" si="15"/>
        <v>8.9952915339447839E-2</v>
      </c>
      <c r="J68" s="193">
        <f t="shared" si="15"/>
        <v>4.1726792107242457E-2</v>
      </c>
      <c r="K68" s="193">
        <f t="shared" si="15"/>
        <v>1</v>
      </c>
    </row>
    <row r="69" spans="1:11" x14ac:dyDescent="0.2">
      <c r="A69" s="182" t="s">
        <v>221</v>
      </c>
      <c r="B69" s="214">
        <f>SUM(B67:B68)</f>
        <v>21930</v>
      </c>
      <c r="C69" s="191">
        <f t="shared" si="15"/>
        <v>0.49419008203195119</v>
      </c>
      <c r="D69" s="191">
        <f t="shared" si="15"/>
        <v>4.7670978736969107E-2</v>
      </c>
      <c r="E69" s="191">
        <f t="shared" si="15"/>
        <v>7.3905709386528101E-2</v>
      </c>
      <c r="F69" s="191">
        <f t="shared" si="15"/>
        <v>4.4525978274842205E-2</v>
      </c>
      <c r="G69" s="191">
        <f t="shared" si="15"/>
        <v>0.11784909016831646</v>
      </c>
      <c r="H69" s="191">
        <f t="shared" si="15"/>
        <v>5.442162461194619E-2</v>
      </c>
      <c r="I69" s="191">
        <f t="shared" si="15"/>
        <v>7.6507965612457582E-2</v>
      </c>
      <c r="J69" s="191">
        <f t="shared" si="15"/>
        <v>9.0928571176988895E-2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155169</v>
      </c>
      <c r="C71" s="195">
        <f t="shared" ref="C71:K71" si="16">C47/$K47</f>
        <v>0.51471087179455866</v>
      </c>
      <c r="D71" s="195">
        <f t="shared" si="16"/>
        <v>8.5117543646557423E-2</v>
      </c>
      <c r="E71" s="195">
        <f t="shared" si="16"/>
        <v>5.7025779373469303E-2</v>
      </c>
      <c r="F71" s="195">
        <f t="shared" si="16"/>
        <v>5.0479690158027744E-2</v>
      </c>
      <c r="G71" s="195">
        <f t="shared" si="16"/>
        <v>0.10027631264201813</v>
      </c>
      <c r="H71" s="195">
        <f t="shared" si="16"/>
        <v>4.8601525498537038E-2</v>
      </c>
      <c r="I71" s="195">
        <f t="shared" si="16"/>
        <v>6.0826846724198955E-2</v>
      </c>
      <c r="J71" s="195">
        <f t="shared" si="16"/>
        <v>8.2961430162632674E-2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564-C785-4E5B-8F83-EB90154158D1}">
  <dimension ref="A1:X75"/>
  <sheetViews>
    <sheetView zoomScaleNormal="100" workbookViewId="0">
      <selection activeCell="D1" sqref="D1"/>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1355</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ANB20</v>
      </c>
      <c r="C3" s="12" t="str">
        <f>RIGHT(D1,2)&amp;"/Pupil Instruction"</f>
        <v>20/Pupil Instruction</v>
      </c>
      <c r="D3" s="12" t="str">
        <f>RIGHT(D1,2)&amp;"/Pupil Student Services"</f>
        <v>20/Pupil Student Services</v>
      </c>
      <c r="E3" s="12" t="str">
        <f>RIGHT(D1,2)&amp;"/Pupil General Admin"</f>
        <v>20/Pupil General Admin</v>
      </c>
      <c r="F3" s="12" t="str">
        <f>RIGHT(D1,2)&amp;"/Pupil Bldg Admin"</f>
        <v>20/Pupil Bldg Admin</v>
      </c>
      <c r="G3" s="12" t="str">
        <f>RIGHT(D1,2)&amp;"/Pupil Bldg OM"</f>
        <v>20/Pupil Bldg OM</v>
      </c>
      <c r="H3" s="12" t="str">
        <f>RIGHT(D1,2)&amp;"/Pupil Transport"</f>
        <v>20/Pupil Transport</v>
      </c>
      <c r="I3" s="12" t="str">
        <f>RIGHT(D1,2)&amp;"/Pupil Other"</f>
        <v>20/Pupil Other</v>
      </c>
      <c r="J3" s="12" t="str">
        <f>RIGHT(D1,2)&amp;"/Pupil Bonds/ Facilities"</f>
        <v>20/Pupil Bonds/ Facilities</v>
      </c>
      <c r="K3" s="12" t="str">
        <f>RIGHT(D1,2)&amp;"/Pupil Total"</f>
        <v>20/Pupil Total</v>
      </c>
    </row>
    <row r="4" spans="1:24" ht="15" x14ac:dyDescent="0.25">
      <c r="A4" s="33" t="s">
        <v>102</v>
      </c>
      <c r="B4" s="214">
        <v>41686</v>
      </c>
      <c r="C4" s="214">
        <v>253905782.49000001</v>
      </c>
      <c r="D4" s="214">
        <v>58322577.759999998</v>
      </c>
      <c r="E4" s="214">
        <v>14905634.789999999</v>
      </c>
      <c r="F4" s="214">
        <v>24620826.759999998</v>
      </c>
      <c r="G4" s="214">
        <v>34738085.140000001</v>
      </c>
      <c r="H4" s="214">
        <v>18279301.969999999</v>
      </c>
      <c r="I4" s="214">
        <v>14691398.77</v>
      </c>
      <c r="J4" s="214">
        <v>43265719.719999999</v>
      </c>
      <c r="K4" s="214">
        <f t="shared" ref="K4:K9" si="0">SUM(C4:J4)</f>
        <v>462729327.39999998</v>
      </c>
      <c r="N4" s="214"/>
      <c r="O4" s="294"/>
      <c r="P4" s="293"/>
      <c r="Q4" s="293"/>
      <c r="R4" s="293"/>
      <c r="S4" s="293"/>
      <c r="T4" s="293"/>
      <c r="U4" s="293"/>
      <c r="V4" s="293"/>
      <c r="W4" s="293"/>
      <c r="X4" s="293"/>
    </row>
    <row r="5" spans="1:24" ht="15" x14ac:dyDescent="0.25">
      <c r="A5" s="33" t="s">
        <v>76</v>
      </c>
      <c r="B5" s="214">
        <v>18011</v>
      </c>
      <c r="C5" s="214">
        <v>107653563.28000002</v>
      </c>
      <c r="D5" s="214">
        <v>27169261.710000005</v>
      </c>
      <c r="E5" s="214">
        <v>10331560.689999999</v>
      </c>
      <c r="F5" s="214">
        <v>12745768.84</v>
      </c>
      <c r="G5" s="214">
        <v>18662691.190000001</v>
      </c>
      <c r="H5" s="214">
        <v>9930240.160000002</v>
      </c>
      <c r="I5" s="214">
        <v>10364425.949999997</v>
      </c>
      <c r="J5" s="214">
        <v>29789951.760000002</v>
      </c>
      <c r="K5" s="214">
        <f t="shared" si="0"/>
        <v>226647463.57999998</v>
      </c>
      <c r="N5" s="214"/>
      <c r="O5" s="294"/>
      <c r="P5" s="293"/>
      <c r="Q5" s="293"/>
      <c r="R5" s="293"/>
      <c r="S5" s="293"/>
      <c r="T5" s="293"/>
      <c r="U5" s="293"/>
      <c r="V5" s="293"/>
      <c r="W5" s="293"/>
      <c r="X5" s="293"/>
    </row>
    <row r="6" spans="1:24" ht="15" x14ac:dyDescent="0.25">
      <c r="A6" s="33" t="s">
        <v>77</v>
      </c>
      <c r="B6" s="214">
        <v>16102</v>
      </c>
      <c r="C6" s="214">
        <v>103473771.37999998</v>
      </c>
      <c r="D6" s="214">
        <v>16519898.310000002</v>
      </c>
      <c r="E6" s="214">
        <v>11282233.449999999</v>
      </c>
      <c r="F6" s="214">
        <v>10486009.43</v>
      </c>
      <c r="G6" s="214">
        <v>16786418.189999998</v>
      </c>
      <c r="H6" s="214">
        <v>8021661.5300000003</v>
      </c>
      <c r="I6" s="214">
        <v>10401740.129999999</v>
      </c>
      <c r="J6" s="214">
        <v>10940971.510000002</v>
      </c>
      <c r="K6" s="214">
        <f t="shared" si="0"/>
        <v>187912703.92999998</v>
      </c>
      <c r="N6" s="214"/>
      <c r="O6" s="294"/>
      <c r="P6" s="293"/>
      <c r="Q6" s="293"/>
      <c r="R6" s="293"/>
      <c r="S6" s="293"/>
      <c r="T6" s="293"/>
      <c r="U6" s="293"/>
      <c r="V6" s="293"/>
      <c r="W6" s="293"/>
      <c r="X6" s="293"/>
    </row>
    <row r="7" spans="1:24" ht="15" x14ac:dyDescent="0.25">
      <c r="A7" s="33" t="s">
        <v>78</v>
      </c>
      <c r="B7" s="214">
        <v>11739</v>
      </c>
      <c r="C7" s="214">
        <v>73563181.150000006</v>
      </c>
      <c r="D7" s="214">
        <v>7371599.1399999987</v>
      </c>
      <c r="E7" s="214">
        <v>11514743.950000005</v>
      </c>
      <c r="F7" s="214">
        <v>5997193.6099999994</v>
      </c>
      <c r="G7" s="214">
        <v>13515902.4</v>
      </c>
      <c r="H7" s="214">
        <v>6974169.3200000012</v>
      </c>
      <c r="I7" s="214">
        <v>9205670.4499999955</v>
      </c>
      <c r="J7" s="214">
        <v>7112787.5</v>
      </c>
      <c r="K7" s="214">
        <f t="shared" si="0"/>
        <v>135255247.52000001</v>
      </c>
      <c r="N7" s="214"/>
      <c r="O7" s="294"/>
      <c r="P7" s="293"/>
      <c r="Q7" s="293"/>
      <c r="R7" s="293"/>
      <c r="S7" s="293"/>
      <c r="T7" s="293"/>
      <c r="U7" s="293"/>
      <c r="V7" s="293"/>
      <c r="W7" s="293"/>
      <c r="X7" s="293"/>
    </row>
    <row r="8" spans="1:24" ht="15" x14ac:dyDescent="0.25">
      <c r="A8" s="33" t="s">
        <v>79</v>
      </c>
      <c r="B8" s="214">
        <v>4752</v>
      </c>
      <c r="C8" s="214">
        <v>37233944.510000005</v>
      </c>
      <c r="D8" s="214">
        <v>3079840.83</v>
      </c>
      <c r="E8" s="214">
        <v>7193552.3399999989</v>
      </c>
      <c r="F8" s="214">
        <v>3050983.66</v>
      </c>
      <c r="G8" s="214">
        <v>7435383.1700000018</v>
      </c>
      <c r="H8" s="214">
        <v>4391074.1900000004</v>
      </c>
      <c r="I8" s="214">
        <v>4891361.1899999995</v>
      </c>
      <c r="J8" s="214">
        <v>2433446.36</v>
      </c>
      <c r="K8" s="214">
        <f t="shared" si="0"/>
        <v>69709586.25</v>
      </c>
      <c r="N8" s="214"/>
      <c r="O8" s="294"/>
      <c r="P8" s="293"/>
      <c r="Q8" s="293"/>
      <c r="R8" s="293"/>
      <c r="S8" s="293"/>
      <c r="T8" s="293"/>
      <c r="U8" s="293"/>
      <c r="V8" s="293"/>
      <c r="W8" s="293"/>
      <c r="X8" s="293"/>
    </row>
    <row r="9" spans="1:24" ht="15" x14ac:dyDescent="0.25">
      <c r="A9" s="33" t="s">
        <v>80</v>
      </c>
      <c r="B9" s="220">
        <v>1577</v>
      </c>
      <c r="C9" s="220">
        <v>14061272.659999996</v>
      </c>
      <c r="D9" s="220">
        <v>313840.17000000004</v>
      </c>
      <c r="E9" s="220">
        <v>3031026.8099999996</v>
      </c>
      <c r="F9" s="220">
        <v>209875.14</v>
      </c>
      <c r="G9" s="220">
        <v>3300276.0799999996</v>
      </c>
      <c r="H9" s="220">
        <v>1423601.1400000001</v>
      </c>
      <c r="I9" s="220">
        <v>902793.32000000018</v>
      </c>
      <c r="J9" s="220">
        <v>385178.82</v>
      </c>
      <c r="K9" s="220">
        <f t="shared" si="0"/>
        <v>23627864.139999997</v>
      </c>
      <c r="N9" s="214"/>
      <c r="O9" s="294"/>
      <c r="P9" s="293"/>
      <c r="Q9" s="293"/>
      <c r="R9" s="293"/>
      <c r="S9" s="293"/>
      <c r="T9" s="293"/>
      <c r="U9" s="293"/>
      <c r="V9" s="293"/>
      <c r="W9" s="293"/>
      <c r="X9" s="293"/>
    </row>
    <row r="10" spans="1:24" x14ac:dyDescent="0.2">
      <c r="A10" s="182" t="s">
        <v>103</v>
      </c>
      <c r="B10" s="214">
        <f t="shared" ref="B10:K10" si="1">SUM(B4:B9)</f>
        <v>93867</v>
      </c>
      <c r="C10" s="214">
        <f t="shared" si="1"/>
        <v>589891515.47000003</v>
      </c>
      <c r="D10" s="214">
        <f t="shared" si="1"/>
        <v>112777017.92</v>
      </c>
      <c r="E10" s="214">
        <f t="shared" si="1"/>
        <v>58258752.029999994</v>
      </c>
      <c r="F10" s="214">
        <f t="shared" si="1"/>
        <v>57110657.439999998</v>
      </c>
      <c r="G10" s="214">
        <f t="shared" si="1"/>
        <v>94438756.170000002</v>
      </c>
      <c r="H10" s="214">
        <f t="shared" si="1"/>
        <v>49020048.310000002</v>
      </c>
      <c r="I10" s="214">
        <f t="shared" si="1"/>
        <v>50457389.809999987</v>
      </c>
      <c r="J10" s="214">
        <f t="shared" si="1"/>
        <v>93928055.670000002</v>
      </c>
      <c r="K10" s="214">
        <f t="shared" si="1"/>
        <v>1105882192.8199999</v>
      </c>
      <c r="N10" s="214"/>
    </row>
    <row r="11" spans="1:24" x14ac:dyDescent="0.2">
      <c r="A11" s="33"/>
      <c r="B11" s="214"/>
      <c r="C11" s="214"/>
      <c r="D11" s="214"/>
      <c r="E11" s="214"/>
      <c r="F11" s="214"/>
      <c r="G11" s="214"/>
      <c r="H11" s="214"/>
      <c r="I11" s="214"/>
      <c r="J11" s="214"/>
      <c r="K11" s="182"/>
      <c r="N11" s="214"/>
    </row>
    <row r="12" spans="1:24" ht="15" x14ac:dyDescent="0.25">
      <c r="A12" s="33" t="s">
        <v>81</v>
      </c>
      <c r="B12" s="214">
        <v>20514</v>
      </c>
      <c r="C12" s="214">
        <v>125778742.45</v>
      </c>
      <c r="D12" s="214">
        <v>20888507.789999999</v>
      </c>
      <c r="E12" s="214">
        <v>8934664.540000001</v>
      </c>
      <c r="F12" s="214">
        <v>14125314.920000002</v>
      </c>
      <c r="G12" s="214">
        <v>21274681.350000001</v>
      </c>
      <c r="H12" s="214">
        <v>9472199.6899999995</v>
      </c>
      <c r="I12" s="214">
        <v>18115198.140000001</v>
      </c>
      <c r="J12" s="214">
        <v>32164300.120000001</v>
      </c>
      <c r="K12" s="214">
        <f>SUM(C12:J12)</f>
        <v>250753609</v>
      </c>
      <c r="N12" s="214"/>
      <c r="O12" s="294"/>
      <c r="P12" s="293"/>
      <c r="Q12" s="293"/>
      <c r="R12" s="293"/>
      <c r="S12" s="293"/>
      <c r="T12" s="293"/>
      <c r="U12" s="293"/>
      <c r="V12" s="293"/>
      <c r="W12" s="293"/>
      <c r="X12" s="293"/>
    </row>
    <row r="13" spans="1:24" ht="15" x14ac:dyDescent="0.25">
      <c r="A13" s="33" t="s">
        <v>82</v>
      </c>
      <c r="B13" s="214">
        <v>8088</v>
      </c>
      <c r="C13" s="214">
        <v>46051379.170000002</v>
      </c>
      <c r="D13" s="214">
        <v>9331845.9500000011</v>
      </c>
      <c r="E13" s="214">
        <v>5218258.75</v>
      </c>
      <c r="F13" s="214">
        <v>7010915.96</v>
      </c>
      <c r="G13" s="214">
        <v>11377456.579999998</v>
      </c>
      <c r="H13" s="214">
        <v>5540644.5299999993</v>
      </c>
      <c r="I13" s="214">
        <v>10271229.380000003</v>
      </c>
      <c r="J13" s="214">
        <v>12948283.680000002</v>
      </c>
      <c r="K13" s="214">
        <f>SUM(C13:J13)</f>
        <v>107750014</v>
      </c>
      <c r="N13" s="214"/>
      <c r="O13" s="294"/>
      <c r="P13" s="293"/>
      <c r="Q13" s="293"/>
      <c r="R13" s="293"/>
      <c r="S13" s="293"/>
      <c r="T13" s="293"/>
      <c r="U13" s="293"/>
      <c r="V13" s="293"/>
      <c r="W13" s="293"/>
      <c r="X13" s="293"/>
    </row>
    <row r="14" spans="1:24" ht="15" x14ac:dyDescent="0.25">
      <c r="A14" s="33" t="s">
        <v>83</v>
      </c>
      <c r="B14" s="214">
        <v>4253</v>
      </c>
      <c r="C14" s="214">
        <v>25037373.979999997</v>
      </c>
      <c r="D14" s="214">
        <v>3385488.3800000008</v>
      </c>
      <c r="E14" s="214">
        <v>4121079.96</v>
      </c>
      <c r="F14" s="214">
        <v>3861550.7199999997</v>
      </c>
      <c r="G14" s="214">
        <v>6264235.2800000003</v>
      </c>
      <c r="H14" s="214">
        <v>4221173.2700000005</v>
      </c>
      <c r="I14" s="214">
        <v>7160724.5399999991</v>
      </c>
      <c r="J14" s="214">
        <v>4903221.0999999996</v>
      </c>
      <c r="K14" s="214">
        <f>SUM(C14:J14)</f>
        <v>58954847.230000004</v>
      </c>
      <c r="N14" s="214"/>
      <c r="O14" s="294"/>
      <c r="P14" s="293"/>
      <c r="Q14" s="293"/>
      <c r="R14" s="293"/>
      <c r="S14" s="293"/>
      <c r="T14" s="293"/>
      <c r="U14" s="293"/>
      <c r="V14" s="293"/>
      <c r="W14" s="293"/>
      <c r="X14" s="293"/>
    </row>
    <row r="15" spans="1:24" ht="15" x14ac:dyDescent="0.25">
      <c r="A15" s="33" t="s">
        <v>84</v>
      </c>
      <c r="B15" s="214">
        <v>3947</v>
      </c>
      <c r="C15" s="214">
        <v>29262356.670000002</v>
      </c>
      <c r="D15" s="214">
        <v>4055097.83</v>
      </c>
      <c r="E15" s="214">
        <v>6261384.0500000017</v>
      </c>
      <c r="F15" s="214">
        <v>4094778.6099999994</v>
      </c>
      <c r="G15" s="214">
        <v>10742333.02</v>
      </c>
      <c r="H15" s="214">
        <v>5481370.0300000003</v>
      </c>
      <c r="I15" s="214">
        <v>6834036.0299999993</v>
      </c>
      <c r="J15" s="214">
        <v>5203506.3500000006</v>
      </c>
      <c r="K15" s="214">
        <f>SUM(C15:J15)</f>
        <v>71934862.590000004</v>
      </c>
      <c r="N15" s="214"/>
      <c r="O15" s="294"/>
      <c r="P15" s="293"/>
      <c r="Q15" s="293"/>
      <c r="R15" s="293"/>
      <c r="S15" s="293"/>
      <c r="T15" s="293"/>
      <c r="U15" s="293"/>
      <c r="V15" s="293"/>
      <c r="W15" s="293"/>
      <c r="X15" s="293"/>
    </row>
    <row r="16" spans="1:24" ht="15" x14ac:dyDescent="0.25">
      <c r="A16" s="33" t="s">
        <v>85</v>
      </c>
      <c r="B16" s="220">
        <v>1455</v>
      </c>
      <c r="C16" s="220">
        <v>15238469.930000002</v>
      </c>
      <c r="D16" s="220">
        <v>1312451.51</v>
      </c>
      <c r="E16" s="220">
        <v>5017814.0199999986</v>
      </c>
      <c r="F16" s="220">
        <v>1361804.7399999998</v>
      </c>
      <c r="G16" s="220">
        <v>5939642.7699999986</v>
      </c>
      <c r="H16" s="220">
        <v>2936053.22</v>
      </c>
      <c r="I16" s="220">
        <v>3710332.6299999994</v>
      </c>
      <c r="J16" s="220">
        <v>1166064.8599999999</v>
      </c>
      <c r="K16" s="220">
        <f>SUM(C16:J16)</f>
        <v>36682633.68</v>
      </c>
      <c r="N16" s="214"/>
      <c r="O16" s="294"/>
      <c r="P16" s="293"/>
      <c r="Q16" s="293"/>
      <c r="R16" s="293"/>
      <c r="S16" s="293"/>
      <c r="T16" s="293"/>
      <c r="U16" s="293"/>
      <c r="V16" s="293"/>
      <c r="W16" s="293"/>
      <c r="X16" s="293"/>
    </row>
    <row r="17" spans="1:24" x14ac:dyDescent="0.2">
      <c r="A17" s="182" t="s">
        <v>104</v>
      </c>
      <c r="B17" s="214">
        <f t="shared" ref="B17:K17" si="2">SUM(B12:B16)</f>
        <v>38257</v>
      </c>
      <c r="C17" s="214">
        <f t="shared" si="2"/>
        <v>241368322.19999999</v>
      </c>
      <c r="D17" s="214">
        <f t="shared" si="2"/>
        <v>38973391.460000001</v>
      </c>
      <c r="E17" s="214">
        <f t="shared" si="2"/>
        <v>29553201.32</v>
      </c>
      <c r="F17" s="214">
        <f t="shared" si="2"/>
        <v>30454364.949999999</v>
      </c>
      <c r="G17" s="214">
        <f t="shared" si="2"/>
        <v>55598349</v>
      </c>
      <c r="H17" s="214">
        <f t="shared" si="2"/>
        <v>27651440.739999998</v>
      </c>
      <c r="I17" s="214">
        <f t="shared" si="2"/>
        <v>46091520.720000006</v>
      </c>
      <c r="J17" s="214">
        <f t="shared" si="2"/>
        <v>56385376.110000007</v>
      </c>
      <c r="K17" s="214">
        <f t="shared" si="2"/>
        <v>526075966.50000006</v>
      </c>
    </row>
    <row r="18" spans="1:24" x14ac:dyDescent="0.2">
      <c r="A18" s="33"/>
      <c r="B18" s="214"/>
      <c r="C18" s="214"/>
      <c r="D18" s="214"/>
      <c r="E18" s="214"/>
      <c r="F18" s="214"/>
      <c r="G18" s="214"/>
      <c r="H18" s="214"/>
      <c r="I18" s="214"/>
      <c r="J18" s="214"/>
      <c r="K18" s="182"/>
    </row>
    <row r="19" spans="1:24" ht="15" x14ac:dyDescent="0.25">
      <c r="A19" s="33" t="s">
        <v>86</v>
      </c>
      <c r="B19" s="214">
        <v>13573</v>
      </c>
      <c r="C19" s="214">
        <v>79919626.960000008</v>
      </c>
      <c r="D19" s="214">
        <v>9490900.8900000006</v>
      </c>
      <c r="E19" s="214">
        <v>8993378.4400000013</v>
      </c>
      <c r="F19" s="214">
        <v>8610489.3000000007</v>
      </c>
      <c r="G19" s="214">
        <v>16362620.029999999</v>
      </c>
      <c r="H19" s="214">
        <v>8880370.9500000011</v>
      </c>
      <c r="I19" s="214">
        <v>10908843.140000001</v>
      </c>
      <c r="J19" s="214">
        <v>16848335.859999999</v>
      </c>
      <c r="K19" s="214">
        <f>SUM(C19:J19)</f>
        <v>160014565.56999999</v>
      </c>
      <c r="O19" s="294"/>
      <c r="P19" s="293"/>
      <c r="Q19" s="293"/>
      <c r="R19" s="293"/>
      <c r="S19" s="293"/>
      <c r="T19" s="293"/>
      <c r="U19" s="293"/>
      <c r="V19" s="293"/>
      <c r="W19" s="293"/>
      <c r="X19" s="293"/>
    </row>
    <row r="20" spans="1:24" ht="15" x14ac:dyDescent="0.25">
      <c r="A20" s="33" t="s">
        <v>87</v>
      </c>
      <c r="B20" s="233">
        <v>7917</v>
      </c>
      <c r="C20" s="234">
        <v>68551319.090000004</v>
      </c>
      <c r="D20" s="234">
        <v>4300354.6800000006</v>
      </c>
      <c r="E20" s="234">
        <v>13296108.589999996</v>
      </c>
      <c r="F20" s="234">
        <v>5128848.91</v>
      </c>
      <c r="G20" s="234">
        <v>17993973.609999996</v>
      </c>
      <c r="H20" s="234">
        <v>8684567.9099999983</v>
      </c>
      <c r="I20" s="234">
        <v>12367752.16</v>
      </c>
      <c r="J20" s="220">
        <v>7540019.3000000007</v>
      </c>
      <c r="K20" s="220">
        <f>SUM(C20:J20)</f>
        <v>137862944.25</v>
      </c>
      <c r="O20" s="294"/>
      <c r="P20" s="293"/>
      <c r="Q20" s="293"/>
      <c r="R20" s="293"/>
      <c r="S20" s="293"/>
      <c r="T20" s="293"/>
      <c r="U20" s="293"/>
      <c r="V20" s="293"/>
      <c r="W20" s="293"/>
      <c r="X20" s="293"/>
    </row>
    <row r="21" spans="1:24" x14ac:dyDescent="0.2">
      <c r="A21" s="182" t="s">
        <v>105</v>
      </c>
      <c r="B21" s="214">
        <f t="shared" ref="B21:K21" si="3">SUM(B19:B20)</f>
        <v>21490</v>
      </c>
      <c r="C21" s="214">
        <f t="shared" si="3"/>
        <v>148470946.05000001</v>
      </c>
      <c r="D21" s="214">
        <f t="shared" si="3"/>
        <v>13791255.57</v>
      </c>
      <c r="E21" s="214">
        <f t="shared" si="3"/>
        <v>22289487.029999997</v>
      </c>
      <c r="F21" s="214">
        <f t="shared" si="3"/>
        <v>13739338.210000001</v>
      </c>
      <c r="G21" s="214">
        <f t="shared" si="3"/>
        <v>34356593.639999993</v>
      </c>
      <c r="H21" s="214">
        <f t="shared" si="3"/>
        <v>17564938.859999999</v>
      </c>
      <c r="I21" s="214">
        <f t="shared" si="3"/>
        <v>23276595.300000001</v>
      </c>
      <c r="J21" s="214">
        <f t="shared" si="3"/>
        <v>24388355.16</v>
      </c>
      <c r="K21" s="214">
        <f t="shared" si="3"/>
        <v>297877509.81999999</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153614</v>
      </c>
      <c r="C23" s="222">
        <f t="shared" si="4"/>
        <v>979730783.72000003</v>
      </c>
      <c r="D23" s="222">
        <f t="shared" si="4"/>
        <v>165541664.94999999</v>
      </c>
      <c r="E23" s="222">
        <f t="shared" si="4"/>
        <v>110101440.38</v>
      </c>
      <c r="F23" s="222">
        <f t="shared" si="4"/>
        <v>101304360.59999999</v>
      </c>
      <c r="G23" s="222">
        <f t="shared" si="4"/>
        <v>184393698.81</v>
      </c>
      <c r="H23" s="222">
        <f t="shared" si="4"/>
        <v>94236427.909999996</v>
      </c>
      <c r="I23" s="222">
        <f t="shared" si="4"/>
        <v>119825505.83</v>
      </c>
      <c r="J23" s="222">
        <f t="shared" si="4"/>
        <v>174701786.94</v>
      </c>
      <c r="K23" s="222">
        <f t="shared" si="4"/>
        <v>1929835669.1399999</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FY2020</v>
      </c>
      <c r="C26" s="22"/>
      <c r="D26" s="22"/>
      <c r="E26" s="22"/>
      <c r="F26" s="22"/>
      <c r="G26" s="22"/>
      <c r="H26" s="22"/>
      <c r="I26" s="22"/>
      <c r="J26" s="22"/>
      <c r="K26" s="22"/>
    </row>
    <row r="27" spans="1:24" ht="39" customHeight="1" x14ac:dyDescent="0.2">
      <c r="A27" s="21" t="s">
        <v>245</v>
      </c>
      <c r="B27" s="21" t="str">
        <f>B3</f>
        <v>ANB20</v>
      </c>
      <c r="C27" s="21" t="str">
        <f t="shared" ref="C27:K27" si="5">C3</f>
        <v>20/Pupil Instruction</v>
      </c>
      <c r="D27" s="21" t="str">
        <f t="shared" si="5"/>
        <v>20/Pupil Student Services</v>
      </c>
      <c r="E27" s="21" t="str">
        <f t="shared" si="5"/>
        <v>20/Pupil General Admin</v>
      </c>
      <c r="F27" s="21" t="str">
        <f t="shared" si="5"/>
        <v>20/Pupil Bldg Admin</v>
      </c>
      <c r="G27" s="21" t="str">
        <f t="shared" si="5"/>
        <v>20/Pupil Bldg OM</v>
      </c>
      <c r="H27" s="21" t="str">
        <f t="shared" si="5"/>
        <v>20/Pupil Transport</v>
      </c>
      <c r="I27" s="21" t="str">
        <f t="shared" si="5"/>
        <v>20/Pupil Other</v>
      </c>
      <c r="J27" s="21" t="str">
        <f t="shared" si="5"/>
        <v>20/Pupil Bonds/ Facilities</v>
      </c>
      <c r="K27" s="21" t="str">
        <f t="shared" si="5"/>
        <v>20/Pupil Total</v>
      </c>
    </row>
    <row r="28" spans="1:24" x14ac:dyDescent="0.2">
      <c r="A28" s="182" t="s">
        <v>102</v>
      </c>
      <c r="B28" s="214">
        <f t="shared" ref="B28:B33" si="6">B4</f>
        <v>41686</v>
      </c>
      <c r="C28" s="182">
        <f t="shared" ref="C28:K34" si="7">C4/$B28</f>
        <v>6090.9125963153101</v>
      </c>
      <c r="D28" s="182">
        <f t="shared" si="7"/>
        <v>1399.0926872331238</v>
      </c>
      <c r="E28" s="182">
        <f t="shared" si="7"/>
        <v>357.56932279422347</v>
      </c>
      <c r="F28" s="182">
        <f t="shared" si="7"/>
        <v>590.62579187257109</v>
      </c>
      <c r="G28" s="182">
        <f t="shared" si="7"/>
        <v>833.32737945593249</v>
      </c>
      <c r="H28" s="182">
        <f t="shared" si="7"/>
        <v>438.49978338051142</v>
      </c>
      <c r="I28" s="182">
        <f t="shared" si="7"/>
        <v>352.43004294007579</v>
      </c>
      <c r="J28" s="182">
        <f t="shared" si="7"/>
        <v>1037.8956896799884</v>
      </c>
      <c r="K28" s="182">
        <f t="shared" si="7"/>
        <v>11100.353293671737</v>
      </c>
    </row>
    <row r="29" spans="1:24" ht="15" x14ac:dyDescent="0.25">
      <c r="A29" s="182" t="s">
        <v>76</v>
      </c>
      <c r="B29" s="214">
        <f t="shared" si="6"/>
        <v>18011</v>
      </c>
      <c r="C29" s="182">
        <f t="shared" si="7"/>
        <v>5977.1008428182786</v>
      </c>
      <c r="D29" s="182">
        <f t="shared" si="7"/>
        <v>1508.4815784798182</v>
      </c>
      <c r="E29" s="182">
        <f t="shared" si="7"/>
        <v>573.62504525012491</v>
      </c>
      <c r="F29" s="182">
        <f t="shared" si="7"/>
        <v>707.66580645161287</v>
      </c>
      <c r="G29" s="182">
        <f t="shared" si="7"/>
        <v>1036.1829543057022</v>
      </c>
      <c r="H29" s="182">
        <f t="shared" si="7"/>
        <v>551.3430770084949</v>
      </c>
      <c r="I29" s="182">
        <f t="shared" si="7"/>
        <v>575.4497779134972</v>
      </c>
      <c r="J29" s="182">
        <f t="shared" si="7"/>
        <v>1653.986550441397</v>
      </c>
      <c r="K29" s="182">
        <f t="shared" si="7"/>
        <v>12583.835632668925</v>
      </c>
      <c r="O29" s="247"/>
      <c r="P29" s="273"/>
      <c r="Q29" s="273"/>
      <c r="R29" s="273"/>
      <c r="S29" s="273"/>
      <c r="T29" s="273"/>
      <c r="U29" s="273"/>
    </row>
    <row r="30" spans="1:24" ht="15" x14ac:dyDescent="0.25">
      <c r="A30" s="182" t="s">
        <v>77</v>
      </c>
      <c r="B30" s="214">
        <f t="shared" si="6"/>
        <v>16102</v>
      </c>
      <c r="C30" s="182">
        <f t="shared" si="7"/>
        <v>6426.1440429760269</v>
      </c>
      <c r="D30" s="182">
        <f t="shared" si="7"/>
        <v>1025.9531927710846</v>
      </c>
      <c r="E30" s="182">
        <f t="shared" si="7"/>
        <v>700.67280151533964</v>
      </c>
      <c r="F30" s="182">
        <f t="shared" si="7"/>
        <v>651.22403614457835</v>
      </c>
      <c r="G30" s="182">
        <f t="shared" si="7"/>
        <v>1042.5051664389516</v>
      </c>
      <c r="H30" s="182">
        <f t="shared" si="7"/>
        <v>498.17796112284191</v>
      </c>
      <c r="I30" s="182">
        <f t="shared" si="7"/>
        <v>645.99056825239097</v>
      </c>
      <c r="J30" s="182">
        <f t="shared" si="7"/>
        <v>679.47904049186445</v>
      </c>
      <c r="K30" s="182">
        <f t="shared" si="7"/>
        <v>11670.146809713078</v>
      </c>
      <c r="O30" s="247"/>
      <c r="P30" s="273"/>
      <c r="Q30" s="273"/>
      <c r="R30" s="273"/>
      <c r="S30" s="273"/>
      <c r="T30" s="273"/>
      <c r="U30" s="273"/>
    </row>
    <row r="31" spans="1:24" ht="15" x14ac:dyDescent="0.25">
      <c r="A31" s="182" t="s">
        <v>78</v>
      </c>
      <c r="B31" s="214">
        <f t="shared" si="6"/>
        <v>11739</v>
      </c>
      <c r="C31" s="182">
        <f t="shared" si="7"/>
        <v>6266.5628375500473</v>
      </c>
      <c r="D31" s="182">
        <f t="shared" si="7"/>
        <v>627.95801516313134</v>
      </c>
      <c r="E31" s="182">
        <f t="shared" si="7"/>
        <v>980.89649459068107</v>
      </c>
      <c r="F31" s="182">
        <f t="shared" si="7"/>
        <v>510.87772467842228</v>
      </c>
      <c r="G31" s="182">
        <f t="shared" si="7"/>
        <v>1151.3674418604651</v>
      </c>
      <c r="H31" s="182">
        <f t="shared" si="7"/>
        <v>594.10250617599468</v>
      </c>
      <c r="I31" s="182">
        <f t="shared" si="7"/>
        <v>784.19545531987353</v>
      </c>
      <c r="J31" s="182">
        <f t="shared" si="7"/>
        <v>605.91085271317831</v>
      </c>
      <c r="K31" s="182">
        <f t="shared" si="7"/>
        <v>11521.871328051795</v>
      </c>
      <c r="O31" s="247"/>
      <c r="P31" s="273"/>
      <c r="Q31" s="273"/>
      <c r="R31" s="273"/>
      <c r="S31" s="273"/>
      <c r="T31" s="273"/>
      <c r="U31" s="273"/>
    </row>
    <row r="32" spans="1:24" ht="15" x14ac:dyDescent="0.25">
      <c r="A32" s="182" t="s">
        <v>79</v>
      </c>
      <c r="B32" s="214">
        <f t="shared" si="6"/>
        <v>4752</v>
      </c>
      <c r="C32" s="182">
        <f t="shared" si="7"/>
        <v>7835.4260332491594</v>
      </c>
      <c r="D32" s="182">
        <f t="shared" si="7"/>
        <v>648.11465277777779</v>
      </c>
      <c r="E32" s="182">
        <f t="shared" si="7"/>
        <v>1513.794684343434</v>
      </c>
      <c r="F32" s="182">
        <f t="shared" si="7"/>
        <v>642.04201599326598</v>
      </c>
      <c r="G32" s="182">
        <f t="shared" si="7"/>
        <v>1564.6850105218859</v>
      </c>
      <c r="H32" s="182">
        <f t="shared" si="7"/>
        <v>924.04759890572404</v>
      </c>
      <c r="I32" s="182">
        <f t="shared" si="7"/>
        <v>1029.3268497474746</v>
      </c>
      <c r="J32" s="182">
        <f t="shared" si="7"/>
        <v>512.08888047138043</v>
      </c>
      <c r="K32" s="182">
        <f t="shared" si="7"/>
        <v>14669.525726010101</v>
      </c>
      <c r="O32" s="247"/>
      <c r="P32" s="273"/>
      <c r="Q32" s="273"/>
      <c r="R32" s="273"/>
      <c r="S32" s="273"/>
      <c r="T32" s="273"/>
      <c r="U32" s="273"/>
    </row>
    <row r="33" spans="1:21" ht="15" x14ac:dyDescent="0.25">
      <c r="A33" s="182" t="s">
        <v>80</v>
      </c>
      <c r="B33" s="220">
        <f t="shared" si="6"/>
        <v>1577</v>
      </c>
      <c r="C33" s="183">
        <f t="shared" si="7"/>
        <v>8916.4696639188314</v>
      </c>
      <c r="D33" s="183">
        <f t="shared" si="7"/>
        <v>199.01088776157263</v>
      </c>
      <c r="E33" s="183">
        <f t="shared" si="7"/>
        <v>1922.0208053265692</v>
      </c>
      <c r="F33" s="183">
        <f t="shared" si="7"/>
        <v>133.08506024096386</v>
      </c>
      <c r="G33" s="183">
        <f t="shared" si="7"/>
        <v>2092.7559162967659</v>
      </c>
      <c r="H33" s="183">
        <f t="shared" si="7"/>
        <v>902.72741915028541</v>
      </c>
      <c r="I33" s="183">
        <f t="shared" si="7"/>
        <v>572.47515535827529</v>
      </c>
      <c r="J33" s="183">
        <f t="shared" si="7"/>
        <v>244.24782498414712</v>
      </c>
      <c r="K33" s="183">
        <f t="shared" si="7"/>
        <v>14982.792733037411</v>
      </c>
      <c r="O33" s="247"/>
      <c r="P33" s="273"/>
      <c r="Q33" s="273"/>
      <c r="R33" s="273"/>
      <c r="S33" s="273"/>
      <c r="T33" s="273"/>
      <c r="U33" s="273"/>
    </row>
    <row r="34" spans="1:21" ht="15" x14ac:dyDescent="0.25">
      <c r="A34" s="182" t="s">
        <v>219</v>
      </c>
      <c r="B34" s="214">
        <f>SUM(B28:B33)</f>
        <v>93867</v>
      </c>
      <c r="C34" s="182">
        <f t="shared" si="7"/>
        <v>6284.3333170336755</v>
      </c>
      <c r="D34" s="182">
        <f t="shared" si="7"/>
        <v>1201.4554414224381</v>
      </c>
      <c r="E34" s="182">
        <f t="shared" si="7"/>
        <v>620.65211448112746</v>
      </c>
      <c r="F34" s="182">
        <f t="shared" si="7"/>
        <v>608.42103657302346</v>
      </c>
      <c r="G34" s="182">
        <f t="shared" si="7"/>
        <v>1006.0911307488254</v>
      </c>
      <c r="H34" s="182">
        <f t="shared" si="7"/>
        <v>522.22877379696808</v>
      </c>
      <c r="I34" s="182">
        <f t="shared" si="7"/>
        <v>537.54130642291739</v>
      </c>
      <c r="J34" s="182">
        <f t="shared" si="7"/>
        <v>1000.6504487199975</v>
      </c>
      <c r="K34" s="182">
        <f t="shared" si="7"/>
        <v>11781.373569198973</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20514</v>
      </c>
      <c r="C36" s="182">
        <f t="shared" ref="C36:K41" si="8">C12/$B36</f>
        <v>6131.361141171883</v>
      </c>
      <c r="D36" s="182">
        <f t="shared" si="8"/>
        <v>1018.2562050307107</v>
      </c>
      <c r="E36" s="182">
        <f t="shared" si="8"/>
        <v>435.53985278346499</v>
      </c>
      <c r="F36" s="182">
        <f t="shared" si="8"/>
        <v>688.56950960319796</v>
      </c>
      <c r="G36" s="182">
        <f t="shared" si="8"/>
        <v>1037.0810836501903</v>
      </c>
      <c r="H36" s="182">
        <f t="shared" si="8"/>
        <v>461.74318465438233</v>
      </c>
      <c r="I36" s="182">
        <f t="shared" si="8"/>
        <v>883.0651330798479</v>
      </c>
      <c r="J36" s="182">
        <f t="shared" si="8"/>
        <v>1567.9194754801599</v>
      </c>
      <c r="K36" s="182">
        <f t="shared" si="8"/>
        <v>12223.535585453836</v>
      </c>
      <c r="O36" s="247"/>
      <c r="P36" s="273"/>
      <c r="Q36" s="273"/>
      <c r="R36" s="273"/>
      <c r="S36" s="273"/>
      <c r="T36" s="273"/>
      <c r="U36" s="273"/>
    </row>
    <row r="37" spans="1:21" ht="15" x14ac:dyDescent="0.25">
      <c r="A37" s="182" t="s">
        <v>82</v>
      </c>
      <c r="B37" s="214">
        <f>B13</f>
        <v>8088</v>
      </c>
      <c r="C37" s="182">
        <f t="shared" si="8"/>
        <v>5693.7906985657764</v>
      </c>
      <c r="D37" s="182">
        <f t="shared" si="8"/>
        <v>1153.7890640454996</v>
      </c>
      <c r="E37" s="182">
        <f t="shared" si="8"/>
        <v>645.1853053907023</v>
      </c>
      <c r="F37" s="182">
        <f t="shared" si="8"/>
        <v>866.829371909001</v>
      </c>
      <c r="G37" s="182">
        <f t="shared" si="8"/>
        <v>1406.7082814045498</v>
      </c>
      <c r="H37" s="182">
        <f t="shared" si="8"/>
        <v>685.04507047477739</v>
      </c>
      <c r="I37" s="182">
        <f t="shared" si="8"/>
        <v>1269.9343941641941</v>
      </c>
      <c r="J37" s="182">
        <f t="shared" si="8"/>
        <v>1600.9252818991099</v>
      </c>
      <c r="K37" s="182">
        <f t="shared" si="8"/>
        <v>13322.20746785361</v>
      </c>
      <c r="O37" s="247"/>
      <c r="P37" s="273"/>
      <c r="Q37" s="273"/>
      <c r="R37" s="273"/>
      <c r="S37" s="273"/>
      <c r="T37" s="273"/>
      <c r="U37" s="273"/>
    </row>
    <row r="38" spans="1:21" ht="15" x14ac:dyDescent="0.25">
      <c r="A38" s="182" t="s">
        <v>83</v>
      </c>
      <c r="B38" s="214">
        <f>B14</f>
        <v>4253</v>
      </c>
      <c r="C38" s="182">
        <f t="shared" si="8"/>
        <v>5886.9912955560776</v>
      </c>
      <c r="D38" s="182">
        <f t="shared" si="8"/>
        <v>796.02360216317913</v>
      </c>
      <c r="E38" s="182">
        <f t="shared" si="8"/>
        <v>968.98188572772165</v>
      </c>
      <c r="F38" s="182">
        <f t="shared" si="8"/>
        <v>907.95925699506222</v>
      </c>
      <c r="G38" s="182">
        <f t="shared" si="8"/>
        <v>1472.8980202210205</v>
      </c>
      <c r="H38" s="182">
        <f t="shared" si="8"/>
        <v>992.51664001881034</v>
      </c>
      <c r="I38" s="182">
        <f t="shared" si="8"/>
        <v>1683.687876792852</v>
      </c>
      <c r="J38" s="182">
        <f t="shared" si="8"/>
        <v>1152.8852809781331</v>
      </c>
      <c r="K38" s="182">
        <f t="shared" si="8"/>
        <v>13861.943858452858</v>
      </c>
      <c r="O38" s="247"/>
      <c r="P38" s="273"/>
      <c r="Q38" s="273"/>
      <c r="R38" s="273"/>
      <c r="S38" s="273"/>
      <c r="T38" s="273"/>
      <c r="U38" s="273"/>
    </row>
    <row r="39" spans="1:21" ht="15" x14ac:dyDescent="0.25">
      <c r="A39" s="182" t="s">
        <v>84</v>
      </c>
      <c r="B39" s="214">
        <f>B15</f>
        <v>3947</v>
      </c>
      <c r="C39" s="182">
        <f t="shared" si="8"/>
        <v>7413.8223131492277</v>
      </c>
      <c r="D39" s="182">
        <f t="shared" si="8"/>
        <v>1027.3873397517102</v>
      </c>
      <c r="E39" s="182">
        <f t="shared" si="8"/>
        <v>1586.3653534329876</v>
      </c>
      <c r="F39" s="182">
        <f t="shared" si="8"/>
        <v>1037.4407423359512</v>
      </c>
      <c r="G39" s="182">
        <f t="shared" si="8"/>
        <v>2721.6450519381806</v>
      </c>
      <c r="H39" s="182">
        <f t="shared" si="8"/>
        <v>1388.7433569799848</v>
      </c>
      <c r="I39" s="182">
        <f t="shared" si="8"/>
        <v>1731.4507296681022</v>
      </c>
      <c r="J39" s="182">
        <f t="shared" si="8"/>
        <v>1318.3446541677224</v>
      </c>
      <c r="K39" s="182">
        <f t="shared" si="8"/>
        <v>18225.199541423866</v>
      </c>
      <c r="O39" s="247"/>
      <c r="P39" s="273"/>
      <c r="Q39" s="273"/>
      <c r="R39" s="273"/>
      <c r="S39" s="273"/>
      <c r="T39" s="273"/>
      <c r="U39" s="273"/>
    </row>
    <row r="40" spans="1:21" ht="15" x14ac:dyDescent="0.25">
      <c r="A40" s="182" t="s">
        <v>85</v>
      </c>
      <c r="B40" s="220">
        <f>B16</f>
        <v>1455</v>
      </c>
      <c r="C40" s="183">
        <f t="shared" si="8"/>
        <v>10473.175209621993</v>
      </c>
      <c r="D40" s="183">
        <f t="shared" si="8"/>
        <v>902.02852920962198</v>
      </c>
      <c r="E40" s="183">
        <f t="shared" si="8"/>
        <v>3448.6694295532639</v>
      </c>
      <c r="F40" s="183">
        <f t="shared" si="8"/>
        <v>935.94827491408921</v>
      </c>
      <c r="G40" s="183">
        <f t="shared" si="8"/>
        <v>4082.2287079037792</v>
      </c>
      <c r="H40" s="183">
        <f t="shared" si="8"/>
        <v>2017.9059931271479</v>
      </c>
      <c r="I40" s="183">
        <f t="shared" si="8"/>
        <v>2550.0567903780066</v>
      </c>
      <c r="J40" s="183">
        <f t="shared" si="8"/>
        <v>801.41914776632291</v>
      </c>
      <c r="K40" s="183">
        <f t="shared" si="8"/>
        <v>25211.432082474228</v>
      </c>
      <c r="O40" s="247"/>
      <c r="P40" s="273"/>
      <c r="Q40" s="273"/>
      <c r="R40" s="273"/>
      <c r="S40" s="273"/>
      <c r="T40" s="273"/>
      <c r="U40" s="273"/>
    </row>
    <row r="41" spans="1:21" ht="15" x14ac:dyDescent="0.25">
      <c r="A41" s="182" t="s">
        <v>220</v>
      </c>
      <c r="B41" s="214">
        <f>SUM(B36:B40)</f>
        <v>38257</v>
      </c>
      <c r="C41" s="182">
        <f t="shared" si="8"/>
        <v>6309.1283216143447</v>
      </c>
      <c r="D41" s="182">
        <f t="shared" si="8"/>
        <v>1018.7257615599759</v>
      </c>
      <c r="E41" s="182">
        <f t="shared" si="8"/>
        <v>772.49134328358207</v>
      </c>
      <c r="F41" s="182">
        <f t="shared" si="8"/>
        <v>796.04686593303188</v>
      </c>
      <c r="G41" s="182">
        <f t="shared" si="8"/>
        <v>1453.2856470711242</v>
      </c>
      <c r="H41" s="182">
        <f t="shared" si="8"/>
        <v>722.78120971325507</v>
      </c>
      <c r="I41" s="182">
        <f t="shared" si="8"/>
        <v>1204.7865938259667</v>
      </c>
      <c r="J41" s="182">
        <f t="shared" si="8"/>
        <v>1473.8577543978881</v>
      </c>
      <c r="K41" s="182">
        <f t="shared" si="8"/>
        <v>13751.10349739917</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13573</v>
      </c>
      <c r="C43" s="182">
        <f t="shared" ref="C43:K45" si="9">C19/$B43</f>
        <v>5888.1328343033974</v>
      </c>
      <c r="D43" s="182">
        <f t="shared" si="9"/>
        <v>699.24857363884189</v>
      </c>
      <c r="E43" s="182">
        <f t="shared" si="9"/>
        <v>662.59326898990651</v>
      </c>
      <c r="F43" s="182">
        <f t="shared" si="9"/>
        <v>634.38365136668392</v>
      </c>
      <c r="G43" s="182">
        <f t="shared" si="9"/>
        <v>1205.5271516982243</v>
      </c>
      <c r="H43" s="182">
        <f t="shared" si="9"/>
        <v>654.26736535769555</v>
      </c>
      <c r="I43" s="182">
        <f t="shared" si="9"/>
        <v>803.716432623591</v>
      </c>
      <c r="J43" s="182">
        <f t="shared" si="9"/>
        <v>1241.3125955941944</v>
      </c>
      <c r="K43" s="182">
        <f t="shared" si="9"/>
        <v>11789.181873572534</v>
      </c>
    </row>
    <row r="44" spans="1:21" x14ac:dyDescent="0.2">
      <c r="A44" s="182" t="s">
        <v>87</v>
      </c>
      <c r="B44" s="220">
        <f>B20</f>
        <v>7917</v>
      </c>
      <c r="C44" s="183">
        <f t="shared" si="9"/>
        <v>8658.7494113932044</v>
      </c>
      <c r="D44" s="183">
        <f t="shared" si="9"/>
        <v>543.17982569154992</v>
      </c>
      <c r="E44" s="183">
        <f t="shared" si="9"/>
        <v>1679.4377403056708</v>
      </c>
      <c r="F44" s="183">
        <f t="shared" si="9"/>
        <v>647.82732221801189</v>
      </c>
      <c r="G44" s="183">
        <f t="shared" si="9"/>
        <v>2272.8272843248701</v>
      </c>
      <c r="H44" s="183">
        <f t="shared" si="9"/>
        <v>1096.9518643425538</v>
      </c>
      <c r="I44" s="183">
        <f t="shared" si="9"/>
        <v>1562.1766022483264</v>
      </c>
      <c r="J44" s="183">
        <f t="shared" si="9"/>
        <v>952.38339017304543</v>
      </c>
      <c r="K44" s="183">
        <f t="shared" si="9"/>
        <v>17413.533440697232</v>
      </c>
    </row>
    <row r="45" spans="1:21" x14ac:dyDescent="0.2">
      <c r="A45" s="182" t="s">
        <v>221</v>
      </c>
      <c r="B45" s="214">
        <f>SUM(B43:B44)</f>
        <v>21490</v>
      </c>
      <c r="C45" s="182">
        <f t="shared" si="9"/>
        <v>6908.8388110749192</v>
      </c>
      <c r="D45" s="182">
        <f t="shared" si="9"/>
        <v>641.75223685435083</v>
      </c>
      <c r="E45" s="182">
        <f t="shared" si="9"/>
        <v>1037.202746859004</v>
      </c>
      <c r="F45" s="182">
        <f t="shared" si="9"/>
        <v>639.33635225686373</v>
      </c>
      <c r="G45" s="182">
        <f t="shared" si="9"/>
        <v>1598.7246924150766</v>
      </c>
      <c r="H45" s="182">
        <f t="shared" si="9"/>
        <v>817.35406514657973</v>
      </c>
      <c r="I45" s="182">
        <f t="shared" si="9"/>
        <v>1083.1361237785018</v>
      </c>
      <c r="J45" s="182">
        <f t="shared" si="9"/>
        <v>1134.8699469520707</v>
      </c>
      <c r="K45" s="182">
        <f t="shared" si="9"/>
        <v>13861.214975337365</v>
      </c>
    </row>
    <row r="46" spans="1:21" x14ac:dyDescent="0.2">
      <c r="A46" s="182"/>
      <c r="B46" s="214"/>
      <c r="C46" s="182"/>
      <c r="D46" s="182"/>
      <c r="E46" s="182"/>
      <c r="F46" s="182"/>
      <c r="G46" s="182"/>
      <c r="H46" s="182"/>
      <c r="I46" s="182"/>
      <c r="J46" s="182"/>
      <c r="K46" s="182"/>
    </row>
    <row r="47" spans="1:21" ht="13.5" thickBot="1" x14ac:dyDescent="0.25">
      <c r="A47" s="182" t="s">
        <v>222</v>
      </c>
      <c r="B47" s="222">
        <f>B45+B41+B34</f>
        <v>153614</v>
      </c>
      <c r="C47" s="222">
        <f t="shared" ref="C47:K47" si="10">C23/$B47</f>
        <v>6377.8743065085218</v>
      </c>
      <c r="D47" s="222">
        <f t="shared" si="10"/>
        <v>1077.6469914851509</v>
      </c>
      <c r="E47" s="222">
        <f t="shared" si="10"/>
        <v>716.74092452510831</v>
      </c>
      <c r="F47" s="222">
        <f t="shared" si="10"/>
        <v>659.47348939549772</v>
      </c>
      <c r="G47" s="222">
        <f t="shared" si="10"/>
        <v>1200.3704012004114</v>
      </c>
      <c r="H47" s="222">
        <f t="shared" si="10"/>
        <v>613.46249632194974</v>
      </c>
      <c r="I47" s="222">
        <f t="shared" si="10"/>
        <v>780.04287258973795</v>
      </c>
      <c r="J47" s="222">
        <f t="shared" si="10"/>
        <v>1137.2777672607965</v>
      </c>
      <c r="K47" s="222">
        <f t="shared" si="10"/>
        <v>12562.889249287173</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FY2020</v>
      </c>
      <c r="D50" s="182"/>
      <c r="E50" s="182"/>
      <c r="F50" s="182"/>
      <c r="G50" s="182"/>
      <c r="H50" s="182"/>
      <c r="I50" s="182"/>
      <c r="J50" s="182"/>
      <c r="K50" s="182"/>
    </row>
    <row r="51" spans="1:11" ht="40.5" customHeight="1" x14ac:dyDescent="0.2">
      <c r="A51" s="21" t="s">
        <v>1207</v>
      </c>
      <c r="B51" s="21" t="str">
        <f>B3</f>
        <v>ANB20</v>
      </c>
      <c r="C51" s="21" t="str">
        <f t="shared" ref="C51:K51" si="11">C3</f>
        <v>20/Pupil Instruction</v>
      </c>
      <c r="D51" s="21" t="str">
        <f t="shared" si="11"/>
        <v>20/Pupil Student Services</v>
      </c>
      <c r="E51" s="21" t="str">
        <f t="shared" si="11"/>
        <v>20/Pupil General Admin</v>
      </c>
      <c r="F51" s="21" t="str">
        <f t="shared" si="11"/>
        <v>20/Pupil Bldg Admin</v>
      </c>
      <c r="G51" s="21" t="str">
        <f t="shared" si="11"/>
        <v>20/Pupil Bldg OM</v>
      </c>
      <c r="H51" s="21" t="str">
        <f t="shared" si="11"/>
        <v>20/Pupil Transport</v>
      </c>
      <c r="I51" s="21" t="str">
        <f t="shared" si="11"/>
        <v>20/Pupil Other</v>
      </c>
      <c r="J51" s="21" t="str">
        <f t="shared" si="11"/>
        <v>20/Pupil Bonds/ Facilities</v>
      </c>
      <c r="K51" s="21" t="str">
        <f t="shared" si="11"/>
        <v>20/Pupil Total</v>
      </c>
    </row>
    <row r="52" spans="1:11" x14ac:dyDescent="0.2">
      <c r="A52" s="182" t="s">
        <v>102</v>
      </c>
      <c r="B52" s="214">
        <f t="shared" ref="B52:B57" si="12">B4</f>
        <v>41686</v>
      </c>
      <c r="C52" s="191">
        <f t="shared" ref="C52:K58" si="13">C28/$K28</f>
        <v>0.54871339994085711</v>
      </c>
      <c r="D52" s="191">
        <f t="shared" si="13"/>
        <v>0.12604037459156733</v>
      </c>
      <c r="E52" s="191">
        <f t="shared" si="13"/>
        <v>3.2212427238516111E-2</v>
      </c>
      <c r="F52" s="191">
        <f t="shared" si="13"/>
        <v>5.3207837286519906E-2</v>
      </c>
      <c r="G52" s="191">
        <f t="shared" si="13"/>
        <v>7.5072149273934269E-2</v>
      </c>
      <c r="H52" s="191">
        <f t="shared" si="13"/>
        <v>3.9503227670284892E-2</v>
      </c>
      <c r="I52" s="191">
        <f t="shared" si="13"/>
        <v>3.1749443789414758E-2</v>
      </c>
      <c r="J52" s="191">
        <f t="shared" si="13"/>
        <v>9.3501140208905625E-2</v>
      </c>
      <c r="K52" s="191">
        <f t="shared" si="13"/>
        <v>1</v>
      </c>
    </row>
    <row r="53" spans="1:11" x14ac:dyDescent="0.2">
      <c r="A53" s="182" t="s">
        <v>76</v>
      </c>
      <c r="B53" s="214">
        <f t="shared" si="12"/>
        <v>18011</v>
      </c>
      <c r="C53" s="191">
        <f t="shared" si="13"/>
        <v>0.47498243121525791</v>
      </c>
      <c r="D53" s="191">
        <f t="shared" si="13"/>
        <v>0.11987454560862554</v>
      </c>
      <c r="E53" s="191">
        <f t="shared" si="13"/>
        <v>4.5584276685952226E-2</v>
      </c>
      <c r="F53" s="191">
        <f t="shared" si="13"/>
        <v>5.6236097411701727E-2</v>
      </c>
      <c r="G53" s="191">
        <f t="shared" si="13"/>
        <v>8.2342378313943101E-2</v>
      </c>
      <c r="H53" s="191">
        <f t="shared" si="13"/>
        <v>4.3813594924678761E-2</v>
      </c>
      <c r="I53" s="191">
        <f t="shared" si="13"/>
        <v>4.5729282764912373E-2</v>
      </c>
      <c r="J53" s="191">
        <f t="shared" si="13"/>
        <v>0.13143739307492849</v>
      </c>
      <c r="K53" s="191">
        <f t="shared" si="13"/>
        <v>1</v>
      </c>
    </row>
    <row r="54" spans="1:11" x14ac:dyDescent="0.2">
      <c r="A54" s="182" t="s">
        <v>77</v>
      </c>
      <c r="B54" s="214">
        <f t="shared" si="12"/>
        <v>16102</v>
      </c>
      <c r="C54" s="191">
        <f t="shared" si="13"/>
        <v>0.55064808933059339</v>
      </c>
      <c r="D54" s="191">
        <f t="shared" si="13"/>
        <v>8.7912620937825939E-2</v>
      </c>
      <c r="E54" s="191">
        <f t="shared" si="13"/>
        <v>6.0039758962772326E-2</v>
      </c>
      <c r="F54" s="191">
        <f t="shared" si="13"/>
        <v>5.5802557308239152E-2</v>
      </c>
      <c r="G54" s="191">
        <f t="shared" si="13"/>
        <v>8.9330938456684467E-2</v>
      </c>
      <c r="H54" s="191">
        <f t="shared" si="13"/>
        <v>4.2688234282383469E-2</v>
      </c>
      <c r="I54" s="191">
        <f t="shared" si="13"/>
        <v>5.5354108117537319E-2</v>
      </c>
      <c r="J54" s="191">
        <f t="shared" si="13"/>
        <v>5.8223692603963914E-2</v>
      </c>
      <c r="K54" s="191">
        <f t="shared" si="13"/>
        <v>1</v>
      </c>
    </row>
    <row r="55" spans="1:11" x14ac:dyDescent="0.2">
      <c r="A55" s="182" t="s">
        <v>78</v>
      </c>
      <c r="B55" s="214">
        <f t="shared" si="12"/>
        <v>11739</v>
      </c>
      <c r="C55" s="191">
        <f t="shared" si="13"/>
        <v>0.54388411909210632</v>
      </c>
      <c r="D55" s="191">
        <f t="shared" si="13"/>
        <v>5.4501391074752714E-2</v>
      </c>
      <c r="E55" s="191">
        <f t="shared" si="13"/>
        <v>8.5133435937835497E-2</v>
      </c>
      <c r="F55" s="191">
        <f t="shared" si="13"/>
        <v>4.4339822076871371E-2</v>
      </c>
      <c r="G55" s="191">
        <f t="shared" si="13"/>
        <v>9.992885782861341E-2</v>
      </c>
      <c r="H55" s="191">
        <f t="shared" si="13"/>
        <v>5.1563022122071381E-2</v>
      </c>
      <c r="I55" s="191">
        <f t="shared" si="13"/>
        <v>6.8061466144881108E-2</v>
      </c>
      <c r="J55" s="191">
        <f t="shared" si="13"/>
        <v>5.25878857228681E-2</v>
      </c>
      <c r="K55" s="191">
        <f t="shared" si="13"/>
        <v>1</v>
      </c>
    </row>
    <row r="56" spans="1:11" x14ac:dyDescent="0.2">
      <c r="A56" s="182" t="s">
        <v>79</v>
      </c>
      <c r="B56" s="214">
        <f t="shared" si="12"/>
        <v>4752</v>
      </c>
      <c r="C56" s="191">
        <f t="shared" si="13"/>
        <v>0.53412947218575701</v>
      </c>
      <c r="D56" s="191">
        <f t="shared" si="13"/>
        <v>4.4181022950770997E-2</v>
      </c>
      <c r="E56" s="191">
        <f t="shared" si="13"/>
        <v>0.10319315788508211</v>
      </c>
      <c r="F56" s="191">
        <f t="shared" si="13"/>
        <v>4.3767060229825995E-2</v>
      </c>
      <c r="G56" s="191">
        <f t="shared" si="13"/>
        <v>0.10666227659614035</v>
      </c>
      <c r="H56" s="191">
        <f t="shared" si="13"/>
        <v>6.2990966181498464E-2</v>
      </c>
      <c r="I56" s="191">
        <f t="shared" si="13"/>
        <v>7.01676979183046E-2</v>
      </c>
      <c r="J56" s="191">
        <f t="shared" si="13"/>
        <v>3.4908346052620561E-2</v>
      </c>
      <c r="K56" s="191">
        <f t="shared" si="13"/>
        <v>1</v>
      </c>
    </row>
    <row r="57" spans="1:11" x14ac:dyDescent="0.2">
      <c r="A57" s="182" t="s">
        <v>80</v>
      </c>
      <c r="B57" s="220">
        <f t="shared" si="12"/>
        <v>1577</v>
      </c>
      <c r="C57" s="193">
        <f t="shared" si="13"/>
        <v>0.59511399662212539</v>
      </c>
      <c r="D57" s="193">
        <f t="shared" si="13"/>
        <v>1.3282629701120334E-2</v>
      </c>
      <c r="E57" s="193">
        <f t="shared" si="13"/>
        <v>0.12828187905773186</v>
      </c>
      <c r="F57" s="193">
        <f t="shared" si="13"/>
        <v>8.8825269502332601E-3</v>
      </c>
      <c r="G57" s="193">
        <f t="shared" si="13"/>
        <v>0.13967729204997875</v>
      </c>
      <c r="H57" s="193">
        <f t="shared" si="13"/>
        <v>6.025094488290892E-2</v>
      </c>
      <c r="I57" s="193">
        <f t="shared" si="13"/>
        <v>3.8208841673151764E-2</v>
      </c>
      <c r="J57" s="193">
        <f t="shared" si="13"/>
        <v>1.6301889062749625E-2</v>
      </c>
      <c r="K57" s="193">
        <f t="shared" si="13"/>
        <v>1</v>
      </c>
    </row>
    <row r="58" spans="1:11" x14ac:dyDescent="0.2">
      <c r="A58" s="182" t="s">
        <v>219</v>
      </c>
      <c r="B58" s="214">
        <f>SUM(B52:B57)</f>
        <v>93867</v>
      </c>
      <c r="C58" s="191">
        <f t="shared" si="13"/>
        <v>0.5334126178176144</v>
      </c>
      <c r="D58" s="191">
        <f t="shared" si="13"/>
        <v>0.10197923309753144</v>
      </c>
      <c r="E58" s="191">
        <f t="shared" si="13"/>
        <v>5.2680794037780962E-2</v>
      </c>
      <c r="F58" s="191">
        <f t="shared" si="13"/>
        <v>5.1642623247570157E-2</v>
      </c>
      <c r="G58" s="191">
        <f t="shared" si="13"/>
        <v>8.5396759965165131E-2</v>
      </c>
      <c r="H58" s="191">
        <f t="shared" si="13"/>
        <v>4.4326645847329239E-2</v>
      </c>
      <c r="I58" s="191">
        <f t="shared" si="13"/>
        <v>4.5626369732325305E-2</v>
      </c>
      <c r="J58" s="191">
        <f t="shared" si="13"/>
        <v>8.493495625468335E-2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20514</v>
      </c>
      <c r="C60" s="191">
        <f t="shared" ref="C60:K65" si="14">C36/$K36</f>
        <v>0.50160291990054673</v>
      </c>
      <c r="D60" s="191">
        <f t="shared" si="14"/>
        <v>8.3302919839530601E-2</v>
      </c>
      <c r="E60" s="191">
        <f t="shared" si="14"/>
        <v>3.5631250037162977E-2</v>
      </c>
      <c r="F60" s="191">
        <f t="shared" si="14"/>
        <v>5.6331452122788804E-2</v>
      </c>
      <c r="G60" s="191">
        <f t="shared" si="14"/>
        <v>8.4842971691785327E-2</v>
      </c>
      <c r="H60" s="191">
        <f t="shared" si="14"/>
        <v>3.7774928655164443E-2</v>
      </c>
      <c r="I60" s="191">
        <f t="shared" si="14"/>
        <v>7.2243020597960769E-2</v>
      </c>
      <c r="J60" s="191">
        <f t="shared" si="14"/>
        <v>0.12827053715506045</v>
      </c>
      <c r="K60" s="191">
        <f t="shared" si="14"/>
        <v>1</v>
      </c>
    </row>
    <row r="61" spans="1:11" x14ac:dyDescent="0.2">
      <c r="A61" s="182" t="s">
        <v>82</v>
      </c>
      <c r="B61" s="214">
        <f>B37</f>
        <v>8088</v>
      </c>
      <c r="C61" s="191">
        <f t="shared" si="14"/>
        <v>0.42739093444572546</v>
      </c>
      <c r="D61" s="191">
        <f t="shared" si="14"/>
        <v>8.6606447679904719E-2</v>
      </c>
      <c r="E61" s="191">
        <f t="shared" si="14"/>
        <v>4.8429309252804371E-2</v>
      </c>
      <c r="F61" s="191">
        <f t="shared" si="14"/>
        <v>6.5066496975118723E-2</v>
      </c>
      <c r="G61" s="191">
        <f t="shared" si="14"/>
        <v>0.10559123064243869</v>
      </c>
      <c r="H61" s="191">
        <f t="shared" si="14"/>
        <v>5.1421288260807087E-2</v>
      </c>
      <c r="I61" s="191">
        <f t="shared" si="14"/>
        <v>9.5324622231603637E-2</v>
      </c>
      <c r="J61" s="191">
        <f t="shared" si="14"/>
        <v>0.12016967051159734</v>
      </c>
      <c r="K61" s="191">
        <f t="shared" si="14"/>
        <v>1</v>
      </c>
    </row>
    <row r="62" spans="1:11" x14ac:dyDescent="0.2">
      <c r="A62" s="182" t="s">
        <v>83</v>
      </c>
      <c r="B62" s="214">
        <f>B38</f>
        <v>4253</v>
      </c>
      <c r="C62" s="191">
        <f t="shared" si="14"/>
        <v>0.42468728453017479</v>
      </c>
      <c r="D62" s="191">
        <f t="shared" si="14"/>
        <v>5.7425106485175445E-2</v>
      </c>
      <c r="E62" s="191">
        <f t="shared" si="14"/>
        <v>6.9902309201522794E-2</v>
      </c>
      <c r="F62" s="191">
        <f t="shared" si="14"/>
        <v>6.550013953789019E-2</v>
      </c>
      <c r="G62" s="191">
        <f t="shared" si="14"/>
        <v>0.10625479624366418</v>
      </c>
      <c r="H62" s="191">
        <f t="shared" si="14"/>
        <v>7.1600105306557332E-2</v>
      </c>
      <c r="I62" s="191">
        <f t="shared" si="14"/>
        <v>0.1214611669175213</v>
      </c>
      <c r="J62" s="191">
        <f t="shared" si="14"/>
        <v>8.3169091777493862E-2</v>
      </c>
      <c r="K62" s="191">
        <f t="shared" si="14"/>
        <v>1</v>
      </c>
    </row>
    <row r="63" spans="1:11" x14ac:dyDescent="0.2">
      <c r="A63" s="182" t="s">
        <v>84</v>
      </c>
      <c r="B63" s="214">
        <f>B39</f>
        <v>3947</v>
      </c>
      <c r="C63" s="191">
        <f t="shared" si="14"/>
        <v>0.40678963740827245</v>
      </c>
      <c r="D63" s="191">
        <f t="shared" si="14"/>
        <v>5.637180198859125E-2</v>
      </c>
      <c r="E63" s="191">
        <f t="shared" si="14"/>
        <v>8.7042413435713242E-2</v>
      </c>
      <c r="F63" s="191">
        <f t="shared" si="14"/>
        <v>5.692342297695907E-2</v>
      </c>
      <c r="G63" s="191">
        <f t="shared" si="14"/>
        <v>0.14933417029274121</v>
      </c>
      <c r="H63" s="191">
        <f t="shared" si="14"/>
        <v>7.6199075561478744E-2</v>
      </c>
      <c r="I63" s="191">
        <f t="shared" si="14"/>
        <v>9.5003115095267182E-2</v>
      </c>
      <c r="J63" s="191">
        <f t="shared" si="14"/>
        <v>7.2336363240976906E-2</v>
      </c>
      <c r="K63" s="191">
        <f t="shared" si="14"/>
        <v>1</v>
      </c>
    </row>
    <row r="64" spans="1:11" x14ac:dyDescent="0.2">
      <c r="A64" s="182" t="s">
        <v>85</v>
      </c>
      <c r="B64" s="220">
        <f>B40</f>
        <v>1455</v>
      </c>
      <c r="C64" s="193">
        <f t="shared" si="14"/>
        <v>0.41541373672709531</v>
      </c>
      <c r="D64" s="193">
        <f t="shared" si="14"/>
        <v>3.577855181961951E-2</v>
      </c>
      <c r="E64" s="193">
        <f t="shared" si="14"/>
        <v>0.13678990619301681</v>
      </c>
      <c r="F64" s="193">
        <f t="shared" si="14"/>
        <v>3.712396312324976E-2</v>
      </c>
      <c r="G64" s="193">
        <f t="shared" si="14"/>
        <v>0.1619197471428665</v>
      </c>
      <c r="H64" s="193">
        <f t="shared" si="14"/>
        <v>8.0039324482876123E-2</v>
      </c>
      <c r="I64" s="193">
        <f t="shared" si="14"/>
        <v>0.10114684409977183</v>
      </c>
      <c r="J64" s="193">
        <f t="shared" si="14"/>
        <v>3.178792641150404E-2</v>
      </c>
      <c r="K64" s="193">
        <f t="shared" si="14"/>
        <v>1</v>
      </c>
    </row>
    <row r="65" spans="1:11" x14ac:dyDescent="0.2">
      <c r="A65" s="182" t="s">
        <v>220</v>
      </c>
      <c r="B65" s="214">
        <f>SUM(B60:B64)</f>
        <v>38257</v>
      </c>
      <c r="C65" s="191">
        <f t="shared" si="14"/>
        <v>0.45880887470650111</v>
      </c>
      <c r="D65" s="191">
        <f t="shared" si="14"/>
        <v>7.4083200795678233E-2</v>
      </c>
      <c r="E65" s="191">
        <f t="shared" si="14"/>
        <v>5.6176680179135303E-2</v>
      </c>
      <c r="F65" s="191">
        <f t="shared" si="14"/>
        <v>5.7889671624069522E-2</v>
      </c>
      <c r="G65" s="191">
        <f t="shared" si="14"/>
        <v>0.10568501992192794</v>
      </c>
      <c r="H65" s="191">
        <f t="shared" si="14"/>
        <v>5.2561687856538863E-2</v>
      </c>
      <c r="I65" s="191">
        <f t="shared" si="14"/>
        <v>8.7613811797273969E-2</v>
      </c>
      <c r="J65" s="191">
        <f t="shared" si="14"/>
        <v>0.10718105311887499</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13573</v>
      </c>
      <c r="C67" s="191">
        <f t="shared" ref="C67:K69" si="15">C43/$K43</f>
        <v>0.49945220096253273</v>
      </c>
      <c r="D67" s="191">
        <f t="shared" si="15"/>
        <v>5.9312731039150995E-2</v>
      </c>
      <c r="E67" s="191">
        <f t="shared" si="15"/>
        <v>5.6203498775027179E-2</v>
      </c>
      <c r="F67" s="191">
        <f t="shared" si="15"/>
        <v>5.381065948170359E-2</v>
      </c>
      <c r="G67" s="191">
        <f t="shared" si="15"/>
        <v>0.10225706623464852</v>
      </c>
      <c r="H67" s="191">
        <f t="shared" si="15"/>
        <v>5.5497266254272287E-2</v>
      </c>
      <c r="I67" s="191">
        <f t="shared" si="15"/>
        <v>6.8174063411919936E-2</v>
      </c>
      <c r="J67" s="191">
        <f t="shared" si="15"/>
        <v>0.10529251384074485</v>
      </c>
      <c r="K67" s="191">
        <f t="shared" si="15"/>
        <v>1</v>
      </c>
    </row>
    <row r="68" spans="1:11" x14ac:dyDescent="0.2">
      <c r="A68" s="182" t="s">
        <v>87</v>
      </c>
      <c r="B68" s="220">
        <f>B44</f>
        <v>7917</v>
      </c>
      <c r="C68" s="193">
        <f t="shared" si="15"/>
        <v>0.49724252925927198</v>
      </c>
      <c r="D68" s="193">
        <f t="shared" si="15"/>
        <v>3.1192969970246381E-2</v>
      </c>
      <c r="E68" s="193">
        <f t="shared" si="15"/>
        <v>9.6444397458166117E-2</v>
      </c>
      <c r="F68" s="193">
        <f t="shared" si="15"/>
        <v>3.7202519777173558E-2</v>
      </c>
      <c r="G68" s="193">
        <f t="shared" si="15"/>
        <v>0.13052074078274298</v>
      </c>
      <c r="H68" s="193">
        <f t="shared" si="15"/>
        <v>6.2994214705377582E-2</v>
      </c>
      <c r="I68" s="193">
        <f t="shared" si="15"/>
        <v>8.971048911861608E-2</v>
      </c>
      <c r="J68" s="193">
        <f t="shared" si="15"/>
        <v>5.4692138928405347E-2</v>
      </c>
      <c r="K68" s="193">
        <f t="shared" si="15"/>
        <v>1</v>
      </c>
    </row>
    <row r="69" spans="1:11" x14ac:dyDescent="0.2">
      <c r="A69" s="182" t="s">
        <v>221</v>
      </c>
      <c r="B69" s="214">
        <f>SUM(B67:B68)</f>
        <v>21490</v>
      </c>
      <c r="C69" s="191">
        <f t="shared" si="15"/>
        <v>0.49842952608176877</v>
      </c>
      <c r="D69" s="191">
        <f t="shared" si="15"/>
        <v>4.6298411646900482E-2</v>
      </c>
      <c r="E69" s="191">
        <f t="shared" si="15"/>
        <v>7.4827693582738025E-2</v>
      </c>
      <c r="F69" s="191">
        <f t="shared" si="15"/>
        <v>4.6124120677329232E-2</v>
      </c>
      <c r="G69" s="191">
        <f t="shared" si="15"/>
        <v>0.11533799131314357</v>
      </c>
      <c r="H69" s="191">
        <f t="shared" si="15"/>
        <v>5.8966985693596194E-2</v>
      </c>
      <c r="I69" s="191">
        <f t="shared" si="15"/>
        <v>7.8141499551495089E-2</v>
      </c>
      <c r="J69" s="191">
        <f t="shared" si="15"/>
        <v>8.1873771453028724E-2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153614</v>
      </c>
      <c r="C71" s="195">
        <f t="shared" ref="C71:K71" si="16">C47/$K47</f>
        <v>0.50767575674285337</v>
      </c>
      <c r="D71" s="195">
        <f t="shared" si="16"/>
        <v>8.5780187192711049E-2</v>
      </c>
      <c r="E71" s="195">
        <f t="shared" si="16"/>
        <v>5.7052236177738865E-2</v>
      </c>
      <c r="F71" s="195">
        <f t="shared" si="16"/>
        <v>5.2493775620358722E-2</v>
      </c>
      <c r="G71" s="195">
        <f t="shared" si="16"/>
        <v>9.5548912147619319E-2</v>
      </c>
      <c r="H71" s="195">
        <f t="shared" si="16"/>
        <v>4.8831322488714773E-2</v>
      </c>
      <c r="I71" s="195">
        <f t="shared" si="16"/>
        <v>6.2091041090249058E-2</v>
      </c>
      <c r="J71" s="195">
        <f t="shared" si="16"/>
        <v>9.0526768539755012E-2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75"/>
  <sheetViews>
    <sheetView topLeftCell="A22" zoomScaleNormal="100" workbookViewId="0">
      <selection activeCell="K47" sqref="K47"/>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1345</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ANB19</v>
      </c>
      <c r="C3" s="12" t="str">
        <f>RIGHT(D1,2)&amp;"/Pupil Instruction"</f>
        <v>19/Pupil Instruction</v>
      </c>
      <c r="D3" s="12" t="str">
        <f>RIGHT(D1,2)&amp;"/Pupil Student Services"</f>
        <v>19/Pupil Student Services</v>
      </c>
      <c r="E3" s="12" t="str">
        <f>RIGHT(D1,2)&amp;"/Pupil General Admin"</f>
        <v>19/Pupil General Admin</v>
      </c>
      <c r="F3" s="12" t="str">
        <f>RIGHT(D1,2)&amp;"/Pupil Bldg Admin"</f>
        <v>19/Pupil Bldg Admin</v>
      </c>
      <c r="G3" s="12" t="str">
        <f>RIGHT(D1,2)&amp;"/Pupil Bldg OM"</f>
        <v>19/Pupil Bldg OM</v>
      </c>
      <c r="H3" s="12" t="str">
        <f>RIGHT(D1,2)&amp;"/Pupil Transport"</f>
        <v>19/Pupil Transport</v>
      </c>
      <c r="I3" s="12" t="str">
        <f>RIGHT(D1,2)&amp;"/Pupil Other"</f>
        <v>19/Pupil Other</v>
      </c>
      <c r="J3" s="12" t="str">
        <f>RIGHT(D1,2)&amp;"/Pupil Bonds/ Facilities"</f>
        <v>19/Pupil Bonds/ Facilities</v>
      </c>
      <c r="K3" s="12" t="str">
        <f>RIGHT(D1,2)&amp;"/Pupil Total"</f>
        <v>19/Pupil Total</v>
      </c>
    </row>
    <row r="4" spans="1:24" ht="15" x14ac:dyDescent="0.25">
      <c r="A4" s="33" t="s">
        <v>102</v>
      </c>
      <c r="B4" s="214">
        <v>41234</v>
      </c>
      <c r="C4" s="214">
        <v>244863749.88999999</v>
      </c>
      <c r="D4" s="214">
        <v>57724851.510000005</v>
      </c>
      <c r="E4" s="214">
        <v>14661653.129999999</v>
      </c>
      <c r="F4" s="214">
        <v>23429078.739999998</v>
      </c>
      <c r="G4" s="214">
        <v>33568527.420000002</v>
      </c>
      <c r="H4" s="214">
        <v>18612017.640000001</v>
      </c>
      <c r="I4" s="214">
        <v>15322758.169999998</v>
      </c>
      <c r="J4" s="214">
        <v>37874331.619999997</v>
      </c>
      <c r="K4" s="214">
        <f t="shared" ref="K4:K9" si="0">SUM(C4:J4)</f>
        <v>446056968.12</v>
      </c>
      <c r="N4" s="214"/>
      <c r="O4" s="294"/>
      <c r="P4" s="293"/>
      <c r="Q4" s="293"/>
      <c r="R4" s="293"/>
      <c r="S4" s="293"/>
      <c r="T4" s="293"/>
      <c r="U4" s="293"/>
      <c r="V4" s="293"/>
      <c r="W4" s="293"/>
      <c r="X4" s="293"/>
    </row>
    <row r="5" spans="1:24" ht="15" x14ac:dyDescent="0.25">
      <c r="A5" s="33" t="s">
        <v>76</v>
      </c>
      <c r="B5" s="214">
        <v>18111</v>
      </c>
      <c r="C5" s="214">
        <v>109637675.46000001</v>
      </c>
      <c r="D5" s="214">
        <v>26781995.679999996</v>
      </c>
      <c r="E5" s="214">
        <v>9071294.2400000002</v>
      </c>
      <c r="F5" s="214">
        <v>12146374.999999998</v>
      </c>
      <c r="G5" s="214">
        <v>17290115.93</v>
      </c>
      <c r="H5" s="214">
        <v>9221977.0899999999</v>
      </c>
      <c r="I5" s="214">
        <v>9823220.9000000004</v>
      </c>
      <c r="J5" s="214">
        <v>15525723.83</v>
      </c>
      <c r="K5" s="214">
        <f t="shared" si="0"/>
        <v>209498378.13000005</v>
      </c>
      <c r="N5" s="214"/>
      <c r="O5" s="294"/>
      <c r="P5" s="293"/>
      <c r="Q5" s="293"/>
      <c r="R5" s="293"/>
      <c r="S5" s="293"/>
      <c r="T5" s="293"/>
      <c r="U5" s="293"/>
      <c r="V5" s="293"/>
      <c r="W5" s="293"/>
      <c r="X5" s="293"/>
    </row>
    <row r="6" spans="1:24" ht="15" x14ac:dyDescent="0.25">
      <c r="A6" s="33" t="s">
        <v>77</v>
      </c>
      <c r="B6" s="214">
        <v>15624</v>
      </c>
      <c r="C6" s="214">
        <v>96405421.090000004</v>
      </c>
      <c r="D6" s="214">
        <v>16035827.889999997</v>
      </c>
      <c r="E6" s="214">
        <v>10396556.179999998</v>
      </c>
      <c r="F6" s="214">
        <v>10064215.130000001</v>
      </c>
      <c r="G6" s="214">
        <v>15959591.430000002</v>
      </c>
      <c r="H6" s="214">
        <v>7883794.75</v>
      </c>
      <c r="I6" s="214">
        <v>10682216.280000001</v>
      </c>
      <c r="J6" s="214">
        <v>9054019.9099999983</v>
      </c>
      <c r="K6" s="214">
        <f t="shared" si="0"/>
        <v>176481642.66</v>
      </c>
      <c r="N6" s="214"/>
      <c r="O6" s="294"/>
      <c r="P6" s="293"/>
      <c r="Q6" s="293"/>
      <c r="R6" s="293"/>
      <c r="S6" s="293"/>
      <c r="T6" s="293"/>
      <c r="U6" s="293"/>
      <c r="V6" s="293"/>
      <c r="W6" s="293"/>
      <c r="X6" s="293"/>
    </row>
    <row r="7" spans="1:24" ht="15" x14ac:dyDescent="0.25">
      <c r="A7" s="33" t="s">
        <v>78</v>
      </c>
      <c r="B7" s="214">
        <v>12187</v>
      </c>
      <c r="C7" s="214">
        <v>74920741.709999993</v>
      </c>
      <c r="D7" s="214">
        <v>8559067.3500000015</v>
      </c>
      <c r="E7" s="214">
        <v>11105754.959999999</v>
      </c>
      <c r="F7" s="214">
        <v>6427530.3600000003</v>
      </c>
      <c r="G7" s="214">
        <v>13586347.469999995</v>
      </c>
      <c r="H7" s="214">
        <v>7604238.6499999994</v>
      </c>
      <c r="I7" s="214">
        <v>10336002.649999999</v>
      </c>
      <c r="J7" s="214">
        <v>7568402.1600000001</v>
      </c>
      <c r="K7" s="214">
        <f t="shared" si="0"/>
        <v>140108085.31</v>
      </c>
      <c r="N7" s="214"/>
      <c r="O7" s="294"/>
      <c r="P7" s="293"/>
      <c r="Q7" s="293"/>
      <c r="R7" s="293"/>
      <c r="S7" s="293"/>
      <c r="T7" s="293"/>
      <c r="U7" s="293"/>
      <c r="V7" s="293"/>
      <c r="W7" s="293"/>
      <c r="X7" s="293"/>
    </row>
    <row r="8" spans="1:24" ht="15" x14ac:dyDescent="0.25">
      <c r="A8" s="33" t="s">
        <v>79</v>
      </c>
      <c r="B8" s="214">
        <v>5057</v>
      </c>
      <c r="C8" s="214">
        <v>38396453.300000004</v>
      </c>
      <c r="D8" s="214">
        <v>3380826.5499999984</v>
      </c>
      <c r="E8" s="214">
        <v>7642404.1499999994</v>
      </c>
      <c r="F8" s="214">
        <v>3113861.1000000006</v>
      </c>
      <c r="G8" s="214">
        <v>7975144.7600000016</v>
      </c>
      <c r="H8" s="214">
        <v>5561332.3500000006</v>
      </c>
      <c r="I8" s="214">
        <v>5272429.1899999985</v>
      </c>
      <c r="J8" s="214">
        <v>3031129.7599999988</v>
      </c>
      <c r="K8" s="214">
        <f t="shared" si="0"/>
        <v>74373581.160000011</v>
      </c>
      <c r="N8" s="214"/>
      <c r="O8" s="294"/>
      <c r="P8" s="293"/>
      <c r="Q8" s="293"/>
      <c r="R8" s="293"/>
      <c r="S8" s="293"/>
      <c r="T8" s="293"/>
      <c r="U8" s="293"/>
      <c r="V8" s="293"/>
      <c r="W8" s="293"/>
      <c r="X8" s="293"/>
    </row>
    <row r="9" spans="1:24" ht="15" x14ac:dyDescent="0.25">
      <c r="A9" s="33" t="s">
        <v>80</v>
      </c>
      <c r="B9" s="220">
        <v>1434</v>
      </c>
      <c r="C9" s="220">
        <v>13350028.449999999</v>
      </c>
      <c r="D9" s="220">
        <v>244844.07000000004</v>
      </c>
      <c r="E9" s="220">
        <v>2584637.9500000002</v>
      </c>
      <c r="F9" s="220">
        <v>141559.86000000002</v>
      </c>
      <c r="G9" s="220">
        <v>2795758.6199999992</v>
      </c>
      <c r="H9" s="220">
        <v>1586981.51</v>
      </c>
      <c r="I9" s="220">
        <v>812148.20999999985</v>
      </c>
      <c r="J9" s="220">
        <v>260814.92</v>
      </c>
      <c r="K9" s="220">
        <f t="shared" si="0"/>
        <v>21776773.59</v>
      </c>
      <c r="N9" s="214"/>
      <c r="O9" s="294"/>
      <c r="P9" s="293"/>
      <c r="Q9" s="293"/>
      <c r="R9" s="293"/>
      <c r="S9" s="293"/>
      <c r="T9" s="293"/>
      <c r="U9" s="293"/>
      <c r="V9" s="293"/>
      <c r="W9" s="293"/>
      <c r="X9" s="293"/>
    </row>
    <row r="10" spans="1:24" x14ac:dyDescent="0.2">
      <c r="A10" s="182" t="s">
        <v>103</v>
      </c>
      <c r="B10" s="214">
        <f t="shared" ref="B10:K10" si="1">SUM(B4:B9)</f>
        <v>93647</v>
      </c>
      <c r="C10" s="214">
        <f t="shared" si="1"/>
        <v>577574069.9000001</v>
      </c>
      <c r="D10" s="214">
        <f t="shared" si="1"/>
        <v>112727413.05</v>
      </c>
      <c r="E10" s="214">
        <f t="shared" si="1"/>
        <v>55462300.609999999</v>
      </c>
      <c r="F10" s="214">
        <f t="shared" si="1"/>
        <v>55322620.189999998</v>
      </c>
      <c r="G10" s="214">
        <f t="shared" si="1"/>
        <v>91175485.63000001</v>
      </c>
      <c r="H10" s="214">
        <f t="shared" si="1"/>
        <v>50470341.990000002</v>
      </c>
      <c r="I10" s="214">
        <f t="shared" si="1"/>
        <v>52248775.399999999</v>
      </c>
      <c r="J10" s="214">
        <f t="shared" si="1"/>
        <v>73314422.200000003</v>
      </c>
      <c r="K10" s="214">
        <f t="shared" si="1"/>
        <v>1068295428.97</v>
      </c>
      <c r="N10" s="214"/>
    </row>
    <row r="11" spans="1:24" x14ac:dyDescent="0.2">
      <c r="A11" s="33"/>
      <c r="B11" s="214"/>
      <c r="C11" s="214"/>
      <c r="D11" s="214"/>
      <c r="E11" s="214"/>
      <c r="F11" s="214"/>
      <c r="G11" s="214"/>
      <c r="H11" s="214"/>
      <c r="I11" s="214"/>
      <c r="J11" s="214"/>
      <c r="K11" s="182"/>
      <c r="N11" s="214"/>
    </row>
    <row r="12" spans="1:24" ht="15" x14ac:dyDescent="0.25">
      <c r="A12" s="33" t="s">
        <v>81</v>
      </c>
      <c r="B12" s="214">
        <v>20388</v>
      </c>
      <c r="C12" s="214">
        <v>122550375.05999997</v>
      </c>
      <c r="D12" s="214">
        <v>24034139.069999997</v>
      </c>
      <c r="E12" s="214">
        <v>8919719</v>
      </c>
      <c r="F12" s="214">
        <v>13649191.74</v>
      </c>
      <c r="G12" s="214">
        <v>21186973.640000004</v>
      </c>
      <c r="H12" s="214">
        <v>9996615.8699999992</v>
      </c>
      <c r="I12" s="214">
        <v>19534280.260000002</v>
      </c>
      <c r="J12" s="214">
        <v>29804944.960000001</v>
      </c>
      <c r="K12" s="214">
        <f>SUM(C12:J12)</f>
        <v>249676239.59999999</v>
      </c>
      <c r="N12" s="214"/>
      <c r="O12" s="294"/>
      <c r="P12" s="293"/>
      <c r="Q12" s="293"/>
      <c r="R12" s="293"/>
      <c r="S12" s="293"/>
      <c r="T12" s="293"/>
      <c r="U12" s="293"/>
      <c r="V12" s="293"/>
      <c r="W12" s="293"/>
      <c r="X12" s="293"/>
    </row>
    <row r="13" spans="1:24" ht="15" x14ac:dyDescent="0.25">
      <c r="A13" s="33" t="s">
        <v>82</v>
      </c>
      <c r="B13" s="214">
        <v>7161</v>
      </c>
      <c r="C13" s="214">
        <v>42163648.959999993</v>
      </c>
      <c r="D13" s="214">
        <v>7819334.6600000011</v>
      </c>
      <c r="E13" s="214">
        <v>4434549.46</v>
      </c>
      <c r="F13" s="214">
        <v>5741169.8399999999</v>
      </c>
      <c r="G13" s="214">
        <v>9857078.1300000008</v>
      </c>
      <c r="H13" s="214">
        <v>5098042.05</v>
      </c>
      <c r="I13" s="214">
        <v>8995962.4399999995</v>
      </c>
      <c r="J13" s="214">
        <v>7396855.4999999991</v>
      </c>
      <c r="K13" s="214">
        <f>SUM(C13:J13)</f>
        <v>91506641.039999992</v>
      </c>
      <c r="N13" s="214"/>
      <c r="O13" s="294"/>
      <c r="P13" s="293"/>
      <c r="Q13" s="293"/>
      <c r="R13" s="293"/>
      <c r="S13" s="293"/>
      <c r="T13" s="293"/>
      <c r="U13" s="293"/>
      <c r="V13" s="293"/>
      <c r="W13" s="293"/>
      <c r="X13" s="293"/>
    </row>
    <row r="14" spans="1:24" ht="15" x14ac:dyDescent="0.25">
      <c r="A14" s="33" t="s">
        <v>83</v>
      </c>
      <c r="B14" s="214">
        <v>4666</v>
      </c>
      <c r="C14" s="214">
        <v>26845190.380000003</v>
      </c>
      <c r="D14" s="214">
        <v>4101994.2099999995</v>
      </c>
      <c r="E14" s="214">
        <v>3929747.3000000003</v>
      </c>
      <c r="F14" s="214">
        <v>4164431.46</v>
      </c>
      <c r="G14" s="214">
        <v>7510774.1200000001</v>
      </c>
      <c r="H14" s="214">
        <v>4274281.26</v>
      </c>
      <c r="I14" s="214">
        <v>7517028.6700000009</v>
      </c>
      <c r="J14" s="214">
        <v>6054123.6500000004</v>
      </c>
      <c r="K14" s="214">
        <f>SUM(C14:J14)</f>
        <v>64397571.049999997</v>
      </c>
      <c r="N14" s="214"/>
      <c r="O14" s="294"/>
      <c r="P14" s="293"/>
      <c r="Q14" s="293"/>
      <c r="R14" s="293"/>
      <c r="S14" s="293"/>
      <c r="T14" s="293"/>
      <c r="U14" s="293"/>
      <c r="V14" s="293"/>
      <c r="W14" s="293"/>
      <c r="X14" s="293"/>
    </row>
    <row r="15" spans="1:24" ht="15" x14ac:dyDescent="0.25">
      <c r="A15" s="33" t="s">
        <v>84</v>
      </c>
      <c r="B15" s="214">
        <v>4303</v>
      </c>
      <c r="C15" s="214">
        <v>32506487.309999999</v>
      </c>
      <c r="D15" s="214">
        <v>4070116.4600000009</v>
      </c>
      <c r="E15" s="214">
        <v>6192045.3100000015</v>
      </c>
      <c r="F15" s="214">
        <v>4508222.0300000012</v>
      </c>
      <c r="G15" s="214">
        <v>10140922.790000003</v>
      </c>
      <c r="H15" s="214">
        <v>6414207.7699999996</v>
      </c>
      <c r="I15" s="214">
        <v>7350128.7299999995</v>
      </c>
      <c r="J15" s="214">
        <v>4706101.79</v>
      </c>
      <c r="K15" s="214">
        <f>SUM(C15:J15)</f>
        <v>75888232.190000013</v>
      </c>
      <c r="N15" s="214"/>
      <c r="O15" s="294"/>
      <c r="P15" s="293"/>
      <c r="Q15" s="293"/>
      <c r="R15" s="293"/>
      <c r="S15" s="293"/>
      <c r="T15" s="293"/>
      <c r="U15" s="293"/>
      <c r="V15" s="293"/>
      <c r="W15" s="293"/>
      <c r="X15" s="293"/>
    </row>
    <row r="16" spans="1:24" ht="15" x14ac:dyDescent="0.25">
      <c r="A16" s="33" t="s">
        <v>85</v>
      </c>
      <c r="B16" s="220">
        <v>1583</v>
      </c>
      <c r="C16" s="220">
        <v>15697018.9</v>
      </c>
      <c r="D16" s="220">
        <v>1488795.11</v>
      </c>
      <c r="E16" s="220">
        <v>4974388.8000000007</v>
      </c>
      <c r="F16" s="220">
        <v>1202990.2800000003</v>
      </c>
      <c r="G16" s="220">
        <v>6161973.4799999995</v>
      </c>
      <c r="H16" s="220">
        <v>4744296.290000001</v>
      </c>
      <c r="I16" s="220">
        <v>4286833.7500000009</v>
      </c>
      <c r="J16" s="220">
        <v>2198828.4900000002</v>
      </c>
      <c r="K16" s="220">
        <f>SUM(C16:J16)</f>
        <v>40755125.100000009</v>
      </c>
      <c r="N16" s="214"/>
      <c r="O16" s="294"/>
      <c r="P16" s="293"/>
      <c r="Q16" s="293"/>
      <c r="R16" s="293"/>
      <c r="S16" s="293"/>
      <c r="T16" s="293"/>
      <c r="U16" s="293"/>
      <c r="V16" s="293"/>
      <c r="W16" s="293"/>
      <c r="X16" s="293"/>
    </row>
    <row r="17" spans="1:24" x14ac:dyDescent="0.2">
      <c r="A17" s="182" t="s">
        <v>104</v>
      </c>
      <c r="B17" s="214">
        <f t="shared" ref="B17:K17" si="2">SUM(B12:B16)</f>
        <v>38101</v>
      </c>
      <c r="C17" s="214">
        <f t="shared" si="2"/>
        <v>239762720.60999998</v>
      </c>
      <c r="D17" s="214">
        <f t="shared" si="2"/>
        <v>41514379.509999998</v>
      </c>
      <c r="E17" s="214">
        <f t="shared" si="2"/>
        <v>28450449.870000005</v>
      </c>
      <c r="F17" s="214">
        <f t="shared" si="2"/>
        <v>29266005.350000001</v>
      </c>
      <c r="G17" s="214">
        <f t="shared" si="2"/>
        <v>54857722.160000004</v>
      </c>
      <c r="H17" s="214">
        <f t="shared" si="2"/>
        <v>30527443.240000002</v>
      </c>
      <c r="I17" s="214">
        <f t="shared" si="2"/>
        <v>47684233.850000001</v>
      </c>
      <c r="J17" s="214">
        <f t="shared" si="2"/>
        <v>50160854.390000001</v>
      </c>
      <c r="K17" s="214">
        <f t="shared" si="2"/>
        <v>522223808.98000002</v>
      </c>
    </row>
    <row r="18" spans="1:24" x14ac:dyDescent="0.2">
      <c r="A18" s="33"/>
      <c r="B18" s="214"/>
      <c r="C18" s="214"/>
      <c r="D18" s="214"/>
      <c r="E18" s="214"/>
      <c r="F18" s="214"/>
      <c r="G18" s="214"/>
      <c r="H18" s="214"/>
      <c r="I18" s="214"/>
      <c r="J18" s="214"/>
      <c r="K18" s="182"/>
    </row>
    <row r="19" spans="1:24" ht="15" x14ac:dyDescent="0.25">
      <c r="A19" s="33" t="s">
        <v>86</v>
      </c>
      <c r="B19" s="214">
        <v>13277</v>
      </c>
      <c r="C19" s="214">
        <v>77895649.959999979</v>
      </c>
      <c r="D19" s="214">
        <v>10221279.639999999</v>
      </c>
      <c r="E19" s="214">
        <v>7688705.2200000007</v>
      </c>
      <c r="F19" s="214">
        <v>8408068.9499999993</v>
      </c>
      <c r="G19" s="214">
        <v>14139132.049999999</v>
      </c>
      <c r="H19" s="214">
        <v>8855197.3699999992</v>
      </c>
      <c r="I19" s="214">
        <v>10537052.719999999</v>
      </c>
      <c r="J19" s="214">
        <v>14004873.189999999</v>
      </c>
      <c r="K19" s="214">
        <f>SUM(C19:J19)</f>
        <v>151749959.09999996</v>
      </c>
      <c r="O19" s="294"/>
      <c r="P19" s="293"/>
      <c r="Q19" s="293"/>
      <c r="R19" s="293"/>
      <c r="S19" s="293"/>
      <c r="T19" s="293"/>
      <c r="U19" s="293"/>
      <c r="V19" s="293"/>
      <c r="W19" s="293"/>
      <c r="X19" s="293"/>
    </row>
    <row r="20" spans="1:24" ht="15" x14ac:dyDescent="0.25">
      <c r="A20" s="33" t="s">
        <v>87</v>
      </c>
      <c r="B20" s="233">
        <v>7603</v>
      </c>
      <c r="C20" s="234">
        <v>62766233.590000004</v>
      </c>
      <c r="D20" s="234">
        <v>4755239.6100000003</v>
      </c>
      <c r="E20" s="234">
        <v>12190046.320000002</v>
      </c>
      <c r="F20" s="234">
        <v>4871597.4800000004</v>
      </c>
      <c r="G20" s="234">
        <v>16257678.239999998</v>
      </c>
      <c r="H20" s="234">
        <v>9271098.6100000013</v>
      </c>
      <c r="I20" s="234">
        <v>12021652.850000001</v>
      </c>
      <c r="J20" s="220">
        <v>4854134.620000001</v>
      </c>
      <c r="K20" s="220">
        <f>SUM(C20:J20)</f>
        <v>126987681.32000002</v>
      </c>
      <c r="O20" s="294"/>
      <c r="P20" s="293"/>
      <c r="Q20" s="293"/>
      <c r="R20" s="293"/>
      <c r="S20" s="293"/>
      <c r="T20" s="293"/>
      <c r="U20" s="293"/>
      <c r="V20" s="293"/>
      <c r="W20" s="293"/>
      <c r="X20" s="293"/>
    </row>
    <row r="21" spans="1:24" x14ac:dyDescent="0.2">
      <c r="A21" s="182" t="s">
        <v>105</v>
      </c>
      <c r="B21" s="214">
        <f t="shared" ref="B21:K21" si="3">SUM(B19:B20)</f>
        <v>20880</v>
      </c>
      <c r="C21" s="214">
        <f t="shared" si="3"/>
        <v>140661883.54999998</v>
      </c>
      <c r="D21" s="214">
        <f t="shared" si="3"/>
        <v>14976519.25</v>
      </c>
      <c r="E21" s="214">
        <f t="shared" si="3"/>
        <v>19878751.540000003</v>
      </c>
      <c r="F21" s="214">
        <f t="shared" si="3"/>
        <v>13279666.43</v>
      </c>
      <c r="G21" s="214">
        <f t="shared" si="3"/>
        <v>30396810.289999999</v>
      </c>
      <c r="H21" s="214">
        <f t="shared" si="3"/>
        <v>18126295.98</v>
      </c>
      <c r="I21" s="214">
        <f t="shared" si="3"/>
        <v>22558705.57</v>
      </c>
      <c r="J21" s="214">
        <f t="shared" si="3"/>
        <v>18859007.810000002</v>
      </c>
      <c r="K21" s="214">
        <f t="shared" si="3"/>
        <v>278737640.41999996</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152628</v>
      </c>
      <c r="C23" s="222">
        <f t="shared" si="4"/>
        <v>957998674.06000006</v>
      </c>
      <c r="D23" s="222">
        <f t="shared" si="4"/>
        <v>169218311.81</v>
      </c>
      <c r="E23" s="222">
        <f t="shared" si="4"/>
        <v>103791502.02000001</v>
      </c>
      <c r="F23" s="222">
        <f t="shared" si="4"/>
        <v>97868291.969999999</v>
      </c>
      <c r="G23" s="222">
        <f t="shared" si="4"/>
        <v>176430018.08000001</v>
      </c>
      <c r="H23" s="222">
        <f t="shared" si="4"/>
        <v>99124081.210000008</v>
      </c>
      <c r="I23" s="222">
        <f t="shared" si="4"/>
        <v>122491714.81999999</v>
      </c>
      <c r="J23" s="222">
        <f t="shared" si="4"/>
        <v>142334284.40000001</v>
      </c>
      <c r="K23" s="222">
        <f t="shared" si="4"/>
        <v>1869256878.3699999</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FY2019</v>
      </c>
      <c r="C26" s="22"/>
      <c r="D26" s="22"/>
      <c r="E26" s="22"/>
      <c r="F26" s="22"/>
      <c r="G26" s="22"/>
      <c r="H26" s="22"/>
      <c r="I26" s="22"/>
      <c r="J26" s="22"/>
      <c r="K26" s="22"/>
    </row>
    <row r="27" spans="1:24" ht="39" customHeight="1" x14ac:dyDescent="0.2">
      <c r="A27" s="21" t="s">
        <v>245</v>
      </c>
      <c r="B27" s="21" t="str">
        <f>B3</f>
        <v>ANB19</v>
      </c>
      <c r="C27" s="21" t="str">
        <f t="shared" ref="C27:K27" si="5">C3</f>
        <v>19/Pupil Instruction</v>
      </c>
      <c r="D27" s="21" t="str">
        <f t="shared" si="5"/>
        <v>19/Pupil Student Services</v>
      </c>
      <c r="E27" s="21" t="str">
        <f t="shared" si="5"/>
        <v>19/Pupil General Admin</v>
      </c>
      <c r="F27" s="21" t="str">
        <f t="shared" si="5"/>
        <v>19/Pupil Bldg Admin</v>
      </c>
      <c r="G27" s="21" t="str">
        <f t="shared" si="5"/>
        <v>19/Pupil Bldg OM</v>
      </c>
      <c r="H27" s="21" t="str">
        <f t="shared" si="5"/>
        <v>19/Pupil Transport</v>
      </c>
      <c r="I27" s="21" t="str">
        <f t="shared" si="5"/>
        <v>19/Pupil Other</v>
      </c>
      <c r="J27" s="21" t="str">
        <f t="shared" si="5"/>
        <v>19/Pupil Bonds/ Facilities</v>
      </c>
      <c r="K27" s="21" t="str">
        <f t="shared" si="5"/>
        <v>19/Pupil Total</v>
      </c>
    </row>
    <row r="28" spans="1:24" x14ac:dyDescent="0.2">
      <c r="A28" s="182" t="s">
        <v>102</v>
      </c>
      <c r="B28" s="214">
        <f t="shared" ref="B28:B33" si="6">B4</f>
        <v>41234</v>
      </c>
      <c r="C28" s="182">
        <f t="shared" ref="C28:K34" si="7">C4/$B28</f>
        <v>5938.3942836009119</v>
      </c>
      <c r="D28" s="182">
        <f t="shared" si="7"/>
        <v>1399.9333440849784</v>
      </c>
      <c r="E28" s="182">
        <f t="shared" si="7"/>
        <v>355.57193408352327</v>
      </c>
      <c r="F28" s="182">
        <f t="shared" si="7"/>
        <v>568.19805839840899</v>
      </c>
      <c r="G28" s="182">
        <f t="shared" si="7"/>
        <v>814.09825435320374</v>
      </c>
      <c r="H28" s="182">
        <f t="shared" si="7"/>
        <v>451.37550662074989</v>
      </c>
      <c r="I28" s="182">
        <f t="shared" si="7"/>
        <v>371.6049417956055</v>
      </c>
      <c r="J28" s="182">
        <f t="shared" si="7"/>
        <v>918.52189018770912</v>
      </c>
      <c r="K28" s="182">
        <f t="shared" si="7"/>
        <v>10817.698213125092</v>
      </c>
    </row>
    <row r="29" spans="1:24" ht="15" x14ac:dyDescent="0.25">
      <c r="A29" s="182" t="s">
        <v>76</v>
      </c>
      <c r="B29" s="214">
        <f t="shared" si="6"/>
        <v>18111</v>
      </c>
      <c r="C29" s="182">
        <f t="shared" si="7"/>
        <v>6053.6511214179236</v>
      </c>
      <c r="D29" s="182">
        <f t="shared" si="7"/>
        <v>1478.7695698746616</v>
      </c>
      <c r="E29" s="182">
        <f t="shared" si="7"/>
        <v>500.87207995141074</v>
      </c>
      <c r="F29" s="182">
        <f t="shared" si="7"/>
        <v>670.66285682734235</v>
      </c>
      <c r="G29" s="182">
        <f t="shared" si="7"/>
        <v>954.67483463088729</v>
      </c>
      <c r="H29" s="182">
        <f t="shared" si="7"/>
        <v>509.19204295731873</v>
      </c>
      <c r="I29" s="182">
        <f t="shared" si="7"/>
        <v>542.38975760587493</v>
      </c>
      <c r="J29" s="182">
        <f t="shared" si="7"/>
        <v>857.25381425652915</v>
      </c>
      <c r="K29" s="182">
        <f t="shared" si="7"/>
        <v>11567.466077521951</v>
      </c>
      <c r="O29" s="247"/>
      <c r="P29" s="273"/>
      <c r="Q29" s="273"/>
      <c r="R29" s="273"/>
      <c r="S29" s="273"/>
      <c r="T29" s="273"/>
      <c r="U29" s="273"/>
    </row>
    <row r="30" spans="1:24" ht="15" x14ac:dyDescent="0.25">
      <c r="A30" s="182" t="s">
        <v>77</v>
      </c>
      <c r="B30" s="214">
        <f t="shared" si="6"/>
        <v>15624</v>
      </c>
      <c r="C30" s="182">
        <f t="shared" si="7"/>
        <v>6170.3418516385054</v>
      </c>
      <c r="D30" s="182">
        <f t="shared" si="7"/>
        <v>1026.3586719150023</v>
      </c>
      <c r="E30" s="182">
        <f t="shared" si="7"/>
        <v>665.42218253968235</v>
      </c>
      <c r="F30" s="182">
        <f t="shared" si="7"/>
        <v>644.15099398361497</v>
      </c>
      <c r="G30" s="182">
        <f t="shared" si="7"/>
        <v>1021.4792261904763</v>
      </c>
      <c r="H30" s="182">
        <f t="shared" si="7"/>
        <v>504.59515809011776</v>
      </c>
      <c r="I30" s="182">
        <f t="shared" si="7"/>
        <v>683.70559907834104</v>
      </c>
      <c r="J30" s="182">
        <f t="shared" si="7"/>
        <v>579.49436187916012</v>
      </c>
      <c r="K30" s="182">
        <f t="shared" si="7"/>
        <v>11295.548045314899</v>
      </c>
      <c r="O30" s="247"/>
      <c r="P30" s="273"/>
      <c r="Q30" s="273"/>
      <c r="R30" s="273"/>
      <c r="S30" s="273"/>
      <c r="T30" s="273"/>
      <c r="U30" s="273"/>
    </row>
    <row r="31" spans="1:24" ht="15" x14ac:dyDescent="0.25">
      <c r="A31" s="182" t="s">
        <v>78</v>
      </c>
      <c r="B31" s="214">
        <f t="shared" si="6"/>
        <v>12187</v>
      </c>
      <c r="C31" s="182">
        <f t="shared" si="7"/>
        <v>6147.5951185689664</v>
      </c>
      <c r="D31" s="182">
        <f t="shared" si="7"/>
        <v>702.31126200049243</v>
      </c>
      <c r="E31" s="182">
        <f t="shared" si="7"/>
        <v>911.27881841306305</v>
      </c>
      <c r="F31" s="182">
        <f t="shared" si="7"/>
        <v>527.40874374333305</v>
      </c>
      <c r="G31" s="182">
        <f t="shared" si="7"/>
        <v>1114.8229646344462</v>
      </c>
      <c r="H31" s="182">
        <f t="shared" si="7"/>
        <v>623.96312874374325</v>
      </c>
      <c r="I31" s="182">
        <f t="shared" si="7"/>
        <v>848.11706326413378</v>
      </c>
      <c r="J31" s="182">
        <f t="shared" si="7"/>
        <v>621.02257815705264</v>
      </c>
      <c r="K31" s="182">
        <f t="shared" si="7"/>
        <v>11496.519677525232</v>
      </c>
      <c r="O31" s="247"/>
      <c r="P31" s="273"/>
      <c r="Q31" s="273"/>
      <c r="R31" s="273"/>
      <c r="S31" s="273"/>
      <c r="T31" s="273"/>
      <c r="U31" s="273"/>
    </row>
    <row r="32" spans="1:24" ht="15" x14ac:dyDescent="0.25">
      <c r="A32" s="182" t="s">
        <v>79</v>
      </c>
      <c r="B32" s="214">
        <f t="shared" si="6"/>
        <v>5057</v>
      </c>
      <c r="C32" s="182">
        <f t="shared" si="7"/>
        <v>7592.7334981214171</v>
      </c>
      <c r="D32" s="182">
        <f t="shared" si="7"/>
        <v>668.54390943246949</v>
      </c>
      <c r="E32" s="182">
        <f t="shared" si="7"/>
        <v>1511.2525509195175</v>
      </c>
      <c r="F32" s="182">
        <f t="shared" si="7"/>
        <v>615.75263990508222</v>
      </c>
      <c r="G32" s="182">
        <f t="shared" si="7"/>
        <v>1577.0505754399844</v>
      </c>
      <c r="H32" s="182">
        <f t="shared" si="7"/>
        <v>1099.7295530947204</v>
      </c>
      <c r="I32" s="182">
        <f t="shared" si="7"/>
        <v>1042.6001957682417</v>
      </c>
      <c r="J32" s="182">
        <f t="shared" si="7"/>
        <v>599.39287324500674</v>
      </c>
      <c r="K32" s="182">
        <f t="shared" si="7"/>
        <v>14707.055795926441</v>
      </c>
      <c r="O32" s="247"/>
      <c r="P32" s="273"/>
      <c r="Q32" s="273"/>
      <c r="R32" s="273"/>
      <c r="S32" s="273"/>
      <c r="T32" s="273"/>
      <c r="U32" s="273"/>
    </row>
    <row r="33" spans="1:21" ht="15" x14ac:dyDescent="0.25">
      <c r="A33" s="182" t="s">
        <v>80</v>
      </c>
      <c r="B33" s="220">
        <f t="shared" si="6"/>
        <v>1434</v>
      </c>
      <c r="C33" s="183">
        <f t="shared" si="7"/>
        <v>9309.6432705718271</v>
      </c>
      <c r="D33" s="183">
        <f t="shared" si="7"/>
        <v>170.74202928870295</v>
      </c>
      <c r="E33" s="183">
        <f t="shared" si="7"/>
        <v>1802.3974546722457</v>
      </c>
      <c r="F33" s="183">
        <f t="shared" si="7"/>
        <v>98.716778242677833</v>
      </c>
      <c r="G33" s="183">
        <f t="shared" si="7"/>
        <v>1949.6224686192463</v>
      </c>
      <c r="H33" s="183">
        <f t="shared" si="7"/>
        <v>1106.6816666666666</v>
      </c>
      <c r="I33" s="183">
        <f t="shared" si="7"/>
        <v>566.35161087866095</v>
      </c>
      <c r="J33" s="183">
        <f t="shared" si="7"/>
        <v>181.87930264993028</v>
      </c>
      <c r="K33" s="183">
        <f t="shared" si="7"/>
        <v>15186.034581589958</v>
      </c>
      <c r="O33" s="247"/>
      <c r="P33" s="273"/>
      <c r="Q33" s="273"/>
      <c r="R33" s="273"/>
      <c r="S33" s="273"/>
      <c r="T33" s="273"/>
      <c r="U33" s="273"/>
    </row>
    <row r="34" spans="1:21" ht="15" x14ac:dyDescent="0.25">
      <c r="A34" s="182" t="s">
        <v>219</v>
      </c>
      <c r="B34" s="214">
        <f>SUM(B28:B33)</f>
        <v>93647</v>
      </c>
      <c r="C34" s="182">
        <f t="shared" si="7"/>
        <v>6167.5661783079022</v>
      </c>
      <c r="D34" s="182">
        <f t="shared" si="7"/>
        <v>1203.7482572853376</v>
      </c>
      <c r="E34" s="182">
        <f t="shared" si="7"/>
        <v>592.24855692120411</v>
      </c>
      <c r="F34" s="182">
        <f t="shared" si="7"/>
        <v>590.7569937104231</v>
      </c>
      <c r="G34" s="182">
        <f t="shared" si="7"/>
        <v>973.60818424509068</v>
      </c>
      <c r="H34" s="182">
        <f t="shared" si="7"/>
        <v>538.94243264600038</v>
      </c>
      <c r="I34" s="182">
        <f t="shared" si="7"/>
        <v>557.93325360128995</v>
      </c>
      <c r="J34" s="182">
        <f t="shared" si="7"/>
        <v>782.88062831697766</v>
      </c>
      <c r="K34" s="182">
        <f t="shared" si="7"/>
        <v>11407.684485034224</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20388</v>
      </c>
      <c r="C36" s="182">
        <f t="shared" ref="C36:K41" si="8">C12/$B36</f>
        <v>6010.9071542083566</v>
      </c>
      <c r="D36" s="182">
        <f t="shared" si="8"/>
        <v>1178.8375058858151</v>
      </c>
      <c r="E36" s="182">
        <f t="shared" si="8"/>
        <v>437.49847949774374</v>
      </c>
      <c r="F36" s="182">
        <f t="shared" si="8"/>
        <v>669.47183343143024</v>
      </c>
      <c r="G36" s="182">
        <f t="shared" si="8"/>
        <v>1039.1884265254073</v>
      </c>
      <c r="H36" s="182">
        <f t="shared" si="8"/>
        <v>490.31861241907001</v>
      </c>
      <c r="I36" s="182">
        <f t="shared" si="8"/>
        <v>958.12636158524629</v>
      </c>
      <c r="J36" s="182">
        <f t="shared" si="8"/>
        <v>1461.8866470472828</v>
      </c>
      <c r="K36" s="182">
        <f t="shared" si="8"/>
        <v>12246.235020600352</v>
      </c>
      <c r="O36" s="247"/>
      <c r="P36" s="273"/>
      <c r="Q36" s="273"/>
      <c r="R36" s="273"/>
      <c r="S36" s="273"/>
      <c r="T36" s="273"/>
      <c r="U36" s="273"/>
    </row>
    <row r="37" spans="1:21" ht="15" x14ac:dyDescent="0.25">
      <c r="A37" s="182" t="s">
        <v>82</v>
      </c>
      <c r="B37" s="214">
        <f>B13</f>
        <v>7161</v>
      </c>
      <c r="C37" s="182">
        <f t="shared" si="8"/>
        <v>5887.9554475631885</v>
      </c>
      <c r="D37" s="182">
        <f t="shared" si="8"/>
        <v>1091.9333417120515</v>
      </c>
      <c r="E37" s="182">
        <f t="shared" si="8"/>
        <v>619.26399385560671</v>
      </c>
      <c r="F37" s="182">
        <f t="shared" si="8"/>
        <v>801.72739002932553</v>
      </c>
      <c r="G37" s="182">
        <f t="shared" si="8"/>
        <v>1376.4946418098032</v>
      </c>
      <c r="H37" s="182">
        <f t="shared" si="8"/>
        <v>711.91761625471304</v>
      </c>
      <c r="I37" s="182">
        <f t="shared" si="8"/>
        <v>1256.243882139366</v>
      </c>
      <c r="J37" s="182">
        <f t="shared" si="8"/>
        <v>1032.9361122748219</v>
      </c>
      <c r="K37" s="182">
        <f t="shared" si="8"/>
        <v>12778.472425638876</v>
      </c>
      <c r="O37" s="247"/>
      <c r="P37" s="273"/>
      <c r="Q37" s="273"/>
      <c r="R37" s="273"/>
      <c r="S37" s="273"/>
      <c r="T37" s="273"/>
      <c r="U37" s="273"/>
    </row>
    <row r="38" spans="1:21" ht="15" x14ac:dyDescent="0.25">
      <c r="A38" s="182" t="s">
        <v>83</v>
      </c>
      <c r="B38" s="214">
        <f>B14</f>
        <v>4666</v>
      </c>
      <c r="C38" s="182">
        <f t="shared" si="8"/>
        <v>5753.3627046720967</v>
      </c>
      <c r="D38" s="182">
        <f t="shared" si="8"/>
        <v>879.12434847835391</v>
      </c>
      <c r="E38" s="182">
        <f t="shared" si="8"/>
        <v>842.20902271753118</v>
      </c>
      <c r="F38" s="182">
        <f t="shared" si="8"/>
        <v>892.5056708101157</v>
      </c>
      <c r="G38" s="182">
        <f t="shared" si="8"/>
        <v>1609.6815516502359</v>
      </c>
      <c r="H38" s="182">
        <f t="shared" si="8"/>
        <v>916.04827689669946</v>
      </c>
      <c r="I38" s="182">
        <f t="shared" si="8"/>
        <v>1611.0220038576942</v>
      </c>
      <c r="J38" s="182">
        <f t="shared" si="8"/>
        <v>1297.4975675096443</v>
      </c>
      <c r="K38" s="182">
        <f t="shared" si="8"/>
        <v>13801.45114659237</v>
      </c>
      <c r="O38" s="247"/>
      <c r="P38" s="273"/>
      <c r="Q38" s="273"/>
      <c r="R38" s="273"/>
      <c r="S38" s="273"/>
      <c r="T38" s="273"/>
      <c r="U38" s="273"/>
    </row>
    <row r="39" spans="1:21" ht="15" x14ac:dyDescent="0.25">
      <c r="A39" s="182" t="s">
        <v>84</v>
      </c>
      <c r="B39" s="214">
        <f>B15</f>
        <v>4303</v>
      </c>
      <c r="C39" s="182">
        <f t="shared" si="8"/>
        <v>7554.3777155472926</v>
      </c>
      <c r="D39" s="182">
        <f t="shared" si="8"/>
        <v>945.87879618870579</v>
      </c>
      <c r="E39" s="182">
        <f t="shared" si="8"/>
        <v>1439.0065791308393</v>
      </c>
      <c r="F39" s="182">
        <f t="shared" si="8"/>
        <v>1047.6927794561936</v>
      </c>
      <c r="G39" s="182">
        <f t="shared" si="8"/>
        <v>2356.7099209853595</v>
      </c>
      <c r="H39" s="182">
        <f t="shared" si="8"/>
        <v>1490.636246804555</v>
      </c>
      <c r="I39" s="182">
        <f t="shared" si="8"/>
        <v>1708.1405368347664</v>
      </c>
      <c r="J39" s="182">
        <f t="shared" si="8"/>
        <v>1093.679244712991</v>
      </c>
      <c r="K39" s="182">
        <f t="shared" si="8"/>
        <v>17636.121819660704</v>
      </c>
      <c r="O39" s="247"/>
      <c r="P39" s="273"/>
      <c r="Q39" s="273"/>
      <c r="R39" s="273"/>
      <c r="S39" s="273"/>
      <c r="T39" s="273"/>
      <c r="U39" s="273"/>
    </row>
    <row r="40" spans="1:21" ht="15" x14ac:dyDescent="0.25">
      <c r="A40" s="182" t="s">
        <v>85</v>
      </c>
      <c r="B40" s="220">
        <f>B16</f>
        <v>1583</v>
      </c>
      <c r="C40" s="183">
        <f t="shared" si="8"/>
        <v>9915.9942514213526</v>
      </c>
      <c r="D40" s="183">
        <f t="shared" si="8"/>
        <v>940.48964624131406</v>
      </c>
      <c r="E40" s="183">
        <f t="shared" si="8"/>
        <v>3142.380795957044</v>
      </c>
      <c r="F40" s="183">
        <f t="shared" si="8"/>
        <v>759.94332280480114</v>
      </c>
      <c r="G40" s="183">
        <f t="shared" si="8"/>
        <v>3892.592217308907</v>
      </c>
      <c r="H40" s="183">
        <f t="shared" si="8"/>
        <v>2997.0286102337341</v>
      </c>
      <c r="I40" s="183">
        <f t="shared" si="8"/>
        <v>2708.0440619077708</v>
      </c>
      <c r="J40" s="183">
        <f t="shared" si="8"/>
        <v>1389.0262097283639</v>
      </c>
      <c r="K40" s="183">
        <f t="shared" si="8"/>
        <v>25745.499115603292</v>
      </c>
      <c r="O40" s="247"/>
      <c r="P40" s="273"/>
      <c r="Q40" s="273"/>
      <c r="R40" s="273"/>
      <c r="S40" s="273"/>
      <c r="T40" s="273"/>
      <c r="U40" s="273"/>
    </row>
    <row r="41" spans="1:21" ht="15" x14ac:dyDescent="0.25">
      <c r="A41" s="182" t="s">
        <v>220</v>
      </c>
      <c r="B41" s="214">
        <f>SUM(B36:B40)</f>
        <v>38101</v>
      </c>
      <c r="C41" s="182">
        <f t="shared" si="8"/>
        <v>6292.8196270439093</v>
      </c>
      <c r="D41" s="182">
        <f t="shared" si="8"/>
        <v>1089.587662003622</v>
      </c>
      <c r="E41" s="182">
        <f t="shared" si="8"/>
        <v>746.71136899293992</v>
      </c>
      <c r="F41" s="182">
        <f t="shared" si="8"/>
        <v>768.11646282249819</v>
      </c>
      <c r="G41" s="182">
        <f t="shared" si="8"/>
        <v>1439.7974373376028</v>
      </c>
      <c r="H41" s="182">
        <f t="shared" si="8"/>
        <v>801.22419988976674</v>
      </c>
      <c r="I41" s="182">
        <f t="shared" si="8"/>
        <v>1251.5218458833101</v>
      </c>
      <c r="J41" s="182">
        <f t="shared" si="8"/>
        <v>1316.5233035878323</v>
      </c>
      <c r="K41" s="182">
        <f t="shared" si="8"/>
        <v>13706.301907561481</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13277</v>
      </c>
      <c r="C43" s="182">
        <f t="shared" ref="C43:K45" si="9">C19/$B43</f>
        <v>5866.961660013556</v>
      </c>
      <c r="D43" s="182">
        <f t="shared" si="9"/>
        <v>769.84858326429151</v>
      </c>
      <c r="E43" s="182">
        <f t="shared" si="9"/>
        <v>579.09958725615729</v>
      </c>
      <c r="F43" s="182">
        <f t="shared" si="9"/>
        <v>633.28078255630032</v>
      </c>
      <c r="G43" s="182">
        <f t="shared" si="9"/>
        <v>1064.9342509603073</v>
      </c>
      <c r="H43" s="182">
        <f t="shared" si="9"/>
        <v>666.95769902839493</v>
      </c>
      <c r="I43" s="182">
        <f t="shared" si="9"/>
        <v>793.63204940875187</v>
      </c>
      <c r="J43" s="182">
        <f t="shared" si="9"/>
        <v>1054.8221126760563</v>
      </c>
      <c r="K43" s="182">
        <f t="shared" si="9"/>
        <v>11429.536725163814</v>
      </c>
    </row>
    <row r="44" spans="1:21" x14ac:dyDescent="0.2">
      <c r="A44" s="182" t="s">
        <v>87</v>
      </c>
      <c r="B44" s="220">
        <f>B20</f>
        <v>7603</v>
      </c>
      <c r="C44" s="183">
        <f t="shared" si="9"/>
        <v>8255.4562133368418</v>
      </c>
      <c r="D44" s="183">
        <f t="shared" si="9"/>
        <v>625.4425371563857</v>
      </c>
      <c r="E44" s="183">
        <f t="shared" si="9"/>
        <v>1603.320573457846</v>
      </c>
      <c r="F44" s="183">
        <f t="shared" si="9"/>
        <v>640.74674207549663</v>
      </c>
      <c r="G44" s="183">
        <f t="shared" si="9"/>
        <v>2138.3241141654607</v>
      </c>
      <c r="H44" s="183">
        <f t="shared" si="9"/>
        <v>1219.4000539260819</v>
      </c>
      <c r="I44" s="183">
        <f t="shared" si="9"/>
        <v>1581.1722806786797</v>
      </c>
      <c r="J44" s="183">
        <f t="shared" si="9"/>
        <v>638.44990398526909</v>
      </c>
      <c r="K44" s="183">
        <f t="shared" si="9"/>
        <v>16702.312418782061</v>
      </c>
    </row>
    <row r="45" spans="1:21" x14ac:dyDescent="0.2">
      <c r="A45" s="182" t="s">
        <v>221</v>
      </c>
      <c r="B45" s="214">
        <f>SUM(B43:B44)</f>
        <v>20880</v>
      </c>
      <c r="C45" s="182">
        <f t="shared" si="9"/>
        <v>6736.6802466475083</v>
      </c>
      <c r="D45" s="182">
        <f t="shared" si="9"/>
        <v>717.26624760536401</v>
      </c>
      <c r="E45" s="182">
        <f t="shared" si="9"/>
        <v>952.04748754789284</v>
      </c>
      <c r="F45" s="182">
        <f t="shared" si="9"/>
        <v>635.99935009578542</v>
      </c>
      <c r="G45" s="182">
        <f t="shared" si="9"/>
        <v>1455.7859334291188</v>
      </c>
      <c r="H45" s="182">
        <f t="shared" si="9"/>
        <v>868.11762356321844</v>
      </c>
      <c r="I45" s="182">
        <f t="shared" si="9"/>
        <v>1080.3977763409962</v>
      </c>
      <c r="J45" s="182">
        <f t="shared" si="9"/>
        <v>903.20918630268216</v>
      </c>
      <c r="K45" s="182">
        <f t="shared" si="9"/>
        <v>13349.503851532565</v>
      </c>
    </row>
    <row r="46" spans="1:21" x14ac:dyDescent="0.2">
      <c r="A46" s="182"/>
      <c r="B46" s="214"/>
      <c r="C46" s="182"/>
      <c r="D46" s="182"/>
      <c r="E46" s="182"/>
      <c r="F46" s="182"/>
      <c r="G46" s="182"/>
      <c r="H46" s="182"/>
      <c r="I46" s="182"/>
      <c r="J46" s="182"/>
      <c r="K46" s="182"/>
    </row>
    <row r="47" spans="1:21" ht="13.5" thickBot="1" x14ac:dyDescent="0.25">
      <c r="A47" s="182" t="s">
        <v>222</v>
      </c>
      <c r="B47" s="222">
        <f>B45+B41+B34</f>
        <v>152628</v>
      </c>
      <c r="C47" s="222">
        <f t="shared" ref="C47:K47" si="10">C23/$B47</f>
        <v>6276.6902145084787</v>
      </c>
      <c r="D47" s="222">
        <f t="shared" si="10"/>
        <v>1108.69769511492</v>
      </c>
      <c r="E47" s="222">
        <f t="shared" si="10"/>
        <v>680.02923460963916</v>
      </c>
      <c r="F47" s="222">
        <f t="shared" si="10"/>
        <v>641.22108636685277</v>
      </c>
      <c r="G47" s="222">
        <f t="shared" si="10"/>
        <v>1155.9479130958935</v>
      </c>
      <c r="H47" s="222">
        <f t="shared" si="10"/>
        <v>649.44886396991387</v>
      </c>
      <c r="I47" s="222">
        <f t="shared" si="10"/>
        <v>802.55074311397641</v>
      </c>
      <c r="J47" s="222">
        <f t="shared" si="10"/>
        <v>932.55683360851219</v>
      </c>
      <c r="K47" s="222">
        <f t="shared" si="10"/>
        <v>12247.142584388184</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FY2019</v>
      </c>
      <c r="D50" s="182"/>
      <c r="E50" s="182"/>
      <c r="F50" s="182"/>
      <c r="G50" s="182"/>
      <c r="H50" s="182"/>
      <c r="I50" s="182"/>
      <c r="J50" s="182"/>
      <c r="K50" s="182"/>
    </row>
    <row r="51" spans="1:11" ht="40.5" customHeight="1" x14ac:dyDescent="0.2">
      <c r="A51" s="21" t="s">
        <v>1207</v>
      </c>
      <c r="B51" s="21" t="str">
        <f>B3</f>
        <v>ANB19</v>
      </c>
      <c r="C51" s="21" t="str">
        <f t="shared" ref="C51:K51" si="11">C3</f>
        <v>19/Pupil Instruction</v>
      </c>
      <c r="D51" s="21" t="str">
        <f t="shared" si="11"/>
        <v>19/Pupil Student Services</v>
      </c>
      <c r="E51" s="21" t="str">
        <f t="shared" si="11"/>
        <v>19/Pupil General Admin</v>
      </c>
      <c r="F51" s="21" t="str">
        <f t="shared" si="11"/>
        <v>19/Pupil Bldg Admin</v>
      </c>
      <c r="G51" s="21" t="str">
        <f t="shared" si="11"/>
        <v>19/Pupil Bldg OM</v>
      </c>
      <c r="H51" s="21" t="str">
        <f t="shared" si="11"/>
        <v>19/Pupil Transport</v>
      </c>
      <c r="I51" s="21" t="str">
        <f t="shared" si="11"/>
        <v>19/Pupil Other</v>
      </c>
      <c r="J51" s="21" t="str">
        <f t="shared" si="11"/>
        <v>19/Pupil Bonds/ Facilities</v>
      </c>
      <c r="K51" s="21" t="str">
        <f t="shared" si="11"/>
        <v>19/Pupil Total</v>
      </c>
    </row>
    <row r="52" spans="1:11" x14ac:dyDescent="0.2">
      <c r="A52" s="182" t="s">
        <v>102</v>
      </c>
      <c r="B52" s="214">
        <f t="shared" ref="B52:B57" si="12">B4</f>
        <v>41234</v>
      </c>
      <c r="C52" s="191">
        <f t="shared" ref="C52:K58" si="13">C28/$K28</f>
        <v>0.54895174246919465</v>
      </c>
      <c r="D52" s="191">
        <f t="shared" si="13"/>
        <v>0.12941138831054116</v>
      </c>
      <c r="E52" s="191">
        <f t="shared" si="13"/>
        <v>3.2869463270116792E-2</v>
      </c>
      <c r="F52" s="191">
        <f t="shared" si="13"/>
        <v>5.2524857617955681E-2</v>
      </c>
      <c r="G52" s="191">
        <f t="shared" si="13"/>
        <v>7.525614398869622E-2</v>
      </c>
      <c r="H52" s="191">
        <f t="shared" si="13"/>
        <v>4.1725651587608249E-2</v>
      </c>
      <c r="I52" s="191">
        <f t="shared" si="13"/>
        <v>3.4351572254505858E-2</v>
      </c>
      <c r="J52" s="191">
        <f t="shared" si="13"/>
        <v>8.4909180501381368E-2</v>
      </c>
      <c r="K52" s="191">
        <f t="shared" si="13"/>
        <v>1</v>
      </c>
    </row>
    <row r="53" spans="1:11" x14ac:dyDescent="0.2">
      <c r="A53" s="182" t="s">
        <v>76</v>
      </c>
      <c r="B53" s="214">
        <f t="shared" si="12"/>
        <v>18111</v>
      </c>
      <c r="C53" s="191">
        <f t="shared" si="13"/>
        <v>0.52333424458286992</v>
      </c>
      <c r="D53" s="191">
        <f t="shared" si="13"/>
        <v>0.12783867788886155</v>
      </c>
      <c r="E53" s="191">
        <f t="shared" si="13"/>
        <v>4.3300069055288763E-2</v>
      </c>
      <c r="F53" s="191">
        <f t="shared" si="13"/>
        <v>5.7978372474381666E-2</v>
      </c>
      <c r="G53" s="191">
        <f t="shared" si="13"/>
        <v>8.2531025224791776E-2</v>
      </c>
      <c r="H53" s="191">
        <f t="shared" si="13"/>
        <v>4.4019324504161482E-2</v>
      </c>
      <c r="I53" s="191">
        <f t="shared" si="13"/>
        <v>4.6889245576423488E-2</v>
      </c>
      <c r="J53" s="191">
        <f t="shared" si="13"/>
        <v>7.410904069322112E-2</v>
      </c>
      <c r="K53" s="191">
        <f t="shared" si="13"/>
        <v>1</v>
      </c>
    </row>
    <row r="54" spans="1:11" x14ac:dyDescent="0.2">
      <c r="A54" s="182" t="s">
        <v>77</v>
      </c>
      <c r="B54" s="214">
        <f t="shared" si="12"/>
        <v>15624</v>
      </c>
      <c r="C54" s="191">
        <f t="shared" si="13"/>
        <v>0.54626316730136903</v>
      </c>
      <c r="D54" s="191">
        <f t="shared" si="13"/>
        <v>9.0863999497634768E-2</v>
      </c>
      <c r="E54" s="191">
        <f t="shared" si="13"/>
        <v>5.8910128120404234E-2</v>
      </c>
      <c r="F54" s="191">
        <f t="shared" si="13"/>
        <v>5.7026980134070794E-2</v>
      </c>
      <c r="G54" s="191">
        <f t="shared" si="13"/>
        <v>9.0432019950918582E-2</v>
      </c>
      <c r="H54" s="191">
        <f t="shared" si="13"/>
        <v>4.4672038582440517E-2</v>
      </c>
      <c r="I54" s="191">
        <f t="shared" si="13"/>
        <v>6.0528767292696739E-2</v>
      </c>
      <c r="J54" s="191">
        <f t="shared" si="13"/>
        <v>5.1302899120465373E-2</v>
      </c>
      <c r="K54" s="191">
        <f t="shared" si="13"/>
        <v>1</v>
      </c>
    </row>
    <row r="55" spans="1:11" x14ac:dyDescent="0.2">
      <c r="A55" s="182" t="s">
        <v>78</v>
      </c>
      <c r="B55" s="214">
        <f t="shared" si="12"/>
        <v>12187</v>
      </c>
      <c r="C55" s="191">
        <f t="shared" si="13"/>
        <v>0.53473531912331862</v>
      </c>
      <c r="D55" s="191">
        <f t="shared" si="13"/>
        <v>6.1089032307181997E-2</v>
      </c>
      <c r="E55" s="191">
        <f t="shared" si="13"/>
        <v>7.9265625073868196E-2</v>
      </c>
      <c r="F55" s="191">
        <f t="shared" si="13"/>
        <v>4.5875513506437482E-2</v>
      </c>
      <c r="G55" s="191">
        <f t="shared" si="13"/>
        <v>9.6970474187404315E-2</v>
      </c>
      <c r="H55" s="191">
        <f t="shared" si="13"/>
        <v>5.4274088702126161E-2</v>
      </c>
      <c r="I55" s="191">
        <f t="shared" si="13"/>
        <v>7.3771635856209092E-2</v>
      </c>
      <c r="J55" s="191">
        <f t="shared" si="13"/>
        <v>5.401831124345411E-2</v>
      </c>
      <c r="K55" s="191">
        <f t="shared" si="13"/>
        <v>1</v>
      </c>
    </row>
    <row r="56" spans="1:11" x14ac:dyDescent="0.2">
      <c r="A56" s="182" t="s">
        <v>79</v>
      </c>
      <c r="B56" s="214">
        <f t="shared" si="12"/>
        <v>5057</v>
      </c>
      <c r="C56" s="191">
        <f t="shared" si="13"/>
        <v>0.51626468298464279</v>
      </c>
      <c r="D56" s="191">
        <f t="shared" si="13"/>
        <v>4.5457358611343729E-2</v>
      </c>
      <c r="E56" s="191">
        <f t="shared" si="13"/>
        <v>0.10275697405990016</v>
      </c>
      <c r="F56" s="191">
        <f t="shared" si="13"/>
        <v>4.1867838706074217E-2</v>
      </c>
      <c r="G56" s="191">
        <f t="shared" si="13"/>
        <v>0.10723088273567274</v>
      </c>
      <c r="H56" s="191">
        <f t="shared" si="13"/>
        <v>7.4775642953589891E-2</v>
      </c>
      <c r="I56" s="191">
        <f t="shared" si="13"/>
        <v>7.0891156614570072E-2</v>
      </c>
      <c r="J56" s="191">
        <f t="shared" si="13"/>
        <v>4.0755463334206328E-2</v>
      </c>
      <c r="K56" s="191">
        <f t="shared" si="13"/>
        <v>1</v>
      </c>
    </row>
    <row r="57" spans="1:11" x14ac:dyDescent="0.2">
      <c r="A57" s="182" t="s">
        <v>80</v>
      </c>
      <c r="B57" s="220">
        <f t="shared" si="12"/>
        <v>1434</v>
      </c>
      <c r="C57" s="193">
        <f t="shared" si="13"/>
        <v>0.61303977812996124</v>
      </c>
      <c r="D57" s="193">
        <f t="shared" si="13"/>
        <v>1.1243358387692179E-2</v>
      </c>
      <c r="E57" s="193">
        <f t="shared" si="13"/>
        <v>0.11868782762139193</v>
      </c>
      <c r="F57" s="193">
        <f t="shared" si="13"/>
        <v>6.5004973953076773E-3</v>
      </c>
      <c r="G57" s="193">
        <f t="shared" si="13"/>
        <v>0.12838259113295944</v>
      </c>
      <c r="H57" s="193">
        <f t="shared" si="13"/>
        <v>7.2874960261732694E-2</v>
      </c>
      <c r="I57" s="193">
        <f t="shared" si="13"/>
        <v>3.7294239509058504E-2</v>
      </c>
      <c r="J57" s="193">
        <f t="shared" si="13"/>
        <v>1.1976747561896291E-2</v>
      </c>
      <c r="K57" s="193">
        <f t="shared" si="13"/>
        <v>1</v>
      </c>
    </row>
    <row r="58" spans="1:11" x14ac:dyDescent="0.2">
      <c r="A58" s="182" t="s">
        <v>219</v>
      </c>
      <c r="B58" s="214">
        <f>SUM(B52:B57)</f>
        <v>93647</v>
      </c>
      <c r="C58" s="191">
        <f t="shared" si="13"/>
        <v>0.54065013687914942</v>
      </c>
      <c r="D58" s="191">
        <f t="shared" si="13"/>
        <v>0.10552082316657149</v>
      </c>
      <c r="E58" s="191">
        <f t="shared" si="13"/>
        <v>5.1916631959638852E-2</v>
      </c>
      <c r="F58" s="191">
        <f t="shared" si="13"/>
        <v>5.1785881217651049E-2</v>
      </c>
      <c r="G58" s="191">
        <f t="shared" si="13"/>
        <v>8.5346696388944682E-2</v>
      </c>
      <c r="H58" s="191">
        <f t="shared" si="13"/>
        <v>4.7243805993498561E-2</v>
      </c>
      <c r="I58" s="191">
        <f t="shared" si="13"/>
        <v>4.8908545317259106E-2</v>
      </c>
      <c r="J58" s="191">
        <f t="shared" si="13"/>
        <v>6.8627479077286987E-2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20388</v>
      </c>
      <c r="C60" s="191">
        <f t="shared" ref="C60:K65" si="14">C36/$K36</f>
        <v>0.49083715477425827</v>
      </c>
      <c r="D60" s="191">
        <f t="shared" si="14"/>
        <v>9.6261218562505135E-2</v>
      </c>
      <c r="E60" s="191">
        <f t="shared" si="14"/>
        <v>3.5725141544465974E-2</v>
      </c>
      <c r="F60" s="191">
        <f t="shared" si="14"/>
        <v>5.4667563729199967E-2</v>
      </c>
      <c r="G60" s="191">
        <f t="shared" si="14"/>
        <v>8.4857788926744171E-2</v>
      </c>
      <c r="H60" s="191">
        <f t="shared" si="14"/>
        <v>4.0038314763212256E-2</v>
      </c>
      <c r="I60" s="191">
        <f t="shared" si="14"/>
        <v>7.8238443078505915E-2</v>
      </c>
      <c r="J60" s="191">
        <f t="shared" si="14"/>
        <v>0.11937437462110834</v>
      </c>
      <c r="K60" s="191">
        <f t="shared" si="14"/>
        <v>1</v>
      </c>
    </row>
    <row r="61" spans="1:11" x14ac:dyDescent="0.2">
      <c r="A61" s="182" t="s">
        <v>82</v>
      </c>
      <c r="B61" s="214">
        <f>B37</f>
        <v>7161</v>
      </c>
      <c r="C61" s="191">
        <f t="shared" si="14"/>
        <v>0.46077146402488028</v>
      </c>
      <c r="D61" s="191">
        <f t="shared" si="14"/>
        <v>8.5451007392807268E-2</v>
      </c>
      <c r="E61" s="191">
        <f t="shared" si="14"/>
        <v>4.846150410068642E-2</v>
      </c>
      <c r="F61" s="191">
        <f t="shared" si="14"/>
        <v>6.2740471890891297E-2</v>
      </c>
      <c r="G61" s="191">
        <f t="shared" si="14"/>
        <v>0.10771981156745999</v>
      </c>
      <c r="H61" s="191">
        <f t="shared" si="14"/>
        <v>5.5712262979596312E-2</v>
      </c>
      <c r="I61" s="191">
        <f t="shared" si="14"/>
        <v>9.8309394135313352E-2</v>
      </c>
      <c r="J61" s="191">
        <f t="shared" si="14"/>
        <v>8.0834083908365037E-2</v>
      </c>
      <c r="K61" s="191">
        <f t="shared" si="14"/>
        <v>1</v>
      </c>
    </row>
    <row r="62" spans="1:11" x14ac:dyDescent="0.2">
      <c r="A62" s="182" t="s">
        <v>83</v>
      </c>
      <c r="B62" s="214">
        <f>B38</f>
        <v>4666</v>
      </c>
      <c r="C62" s="191">
        <f t="shared" si="14"/>
        <v>0.4168665050915768</v>
      </c>
      <c r="D62" s="191">
        <f t="shared" si="14"/>
        <v>6.3697964738687135E-2</v>
      </c>
      <c r="E62" s="191">
        <f t="shared" si="14"/>
        <v>6.1023222396832943E-2</v>
      </c>
      <c r="F62" s="191">
        <f t="shared" si="14"/>
        <v>6.4667523822701689E-2</v>
      </c>
      <c r="G62" s="191">
        <f t="shared" si="14"/>
        <v>0.11663132626801148</v>
      </c>
      <c r="H62" s="191">
        <f t="shared" si="14"/>
        <v>6.6373330395976163E-2</v>
      </c>
      <c r="I62" s="191">
        <f t="shared" si="14"/>
        <v>0.11672845027281509</v>
      </c>
      <c r="J62" s="191">
        <f t="shared" si="14"/>
        <v>9.4011677013398798E-2</v>
      </c>
      <c r="K62" s="191">
        <f t="shared" si="14"/>
        <v>1</v>
      </c>
    </row>
    <row r="63" spans="1:11" x14ac:dyDescent="0.2">
      <c r="A63" s="182" t="s">
        <v>84</v>
      </c>
      <c r="B63" s="214">
        <f>B39</f>
        <v>4303</v>
      </c>
      <c r="C63" s="191">
        <f t="shared" si="14"/>
        <v>0.4283468776636421</v>
      </c>
      <c r="D63" s="191">
        <f t="shared" si="14"/>
        <v>5.3633038253015609E-2</v>
      </c>
      <c r="E63" s="191">
        <f t="shared" si="14"/>
        <v>8.1594275308681435E-2</v>
      </c>
      <c r="F63" s="191">
        <f t="shared" si="14"/>
        <v>5.9406075222741342E-2</v>
      </c>
      <c r="G63" s="191">
        <f t="shared" si="14"/>
        <v>0.13362971434899623</v>
      </c>
      <c r="H63" s="191">
        <f t="shared" si="14"/>
        <v>8.4521770831884224E-2</v>
      </c>
      <c r="I63" s="191">
        <f t="shared" si="14"/>
        <v>9.6854657407193442E-2</v>
      </c>
      <c r="J63" s="191">
        <f t="shared" si="14"/>
        <v>6.2013590963845587E-2</v>
      </c>
      <c r="K63" s="191">
        <f t="shared" si="14"/>
        <v>1</v>
      </c>
    </row>
    <row r="64" spans="1:11" x14ac:dyDescent="0.2">
      <c r="A64" s="182" t="s">
        <v>85</v>
      </c>
      <c r="B64" s="220">
        <f>B40</f>
        <v>1583</v>
      </c>
      <c r="C64" s="193">
        <f t="shared" si="14"/>
        <v>0.38515447717273715</v>
      </c>
      <c r="D64" s="193">
        <f t="shared" si="14"/>
        <v>3.6530254939641932E-2</v>
      </c>
      <c r="E64" s="193">
        <f t="shared" si="14"/>
        <v>0.12205553995465467</v>
      </c>
      <c r="F64" s="193">
        <f t="shared" si="14"/>
        <v>2.9517521466275658E-2</v>
      </c>
      <c r="G64" s="193">
        <f t="shared" si="14"/>
        <v>0.15119505742849501</v>
      </c>
      <c r="H64" s="193">
        <f t="shared" si="14"/>
        <v>0.11640980805135596</v>
      </c>
      <c r="I64" s="193">
        <f t="shared" si="14"/>
        <v>0.10518514516840484</v>
      </c>
      <c r="J64" s="193">
        <f t="shared" si="14"/>
        <v>5.3952195818434613E-2</v>
      </c>
      <c r="K64" s="193">
        <f t="shared" si="14"/>
        <v>1</v>
      </c>
    </row>
    <row r="65" spans="1:11" x14ac:dyDescent="0.2">
      <c r="A65" s="182" t="s">
        <v>220</v>
      </c>
      <c r="B65" s="214">
        <f>SUM(B60:B64)</f>
        <v>38101</v>
      </c>
      <c r="C65" s="191">
        <f t="shared" si="14"/>
        <v>0.45911870827624862</v>
      </c>
      <c r="D65" s="191">
        <f t="shared" si="14"/>
        <v>7.9495378793788221E-2</v>
      </c>
      <c r="E65" s="191">
        <f t="shared" si="14"/>
        <v>5.4479419323238083E-2</v>
      </c>
      <c r="F65" s="191">
        <f t="shared" si="14"/>
        <v>5.6041116561042943E-2</v>
      </c>
      <c r="G65" s="191">
        <f t="shared" si="14"/>
        <v>0.10504638282798197</v>
      </c>
      <c r="H65" s="191">
        <f t="shared" si="14"/>
        <v>5.8456628585406255E-2</v>
      </c>
      <c r="I65" s="191">
        <f t="shared" si="14"/>
        <v>9.130995758913435E-2</v>
      </c>
      <c r="J65" s="191">
        <f t="shared" si="14"/>
        <v>9.6052408043159607E-2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13277</v>
      </c>
      <c r="C67" s="191">
        <f t="shared" ref="C67:K69" si="15">C43/$K43</f>
        <v>0.51331578882778095</v>
      </c>
      <c r="D67" s="191">
        <f t="shared" si="15"/>
        <v>6.7356061910134643E-2</v>
      </c>
      <c r="E67" s="191">
        <f t="shared" si="15"/>
        <v>5.0666934380742129E-2</v>
      </c>
      <c r="F67" s="191">
        <f t="shared" si="15"/>
        <v>5.5407388574380191E-2</v>
      </c>
      <c r="G67" s="191">
        <f t="shared" si="15"/>
        <v>9.3173877171740221E-2</v>
      </c>
      <c r="H67" s="191">
        <f t="shared" si="15"/>
        <v>5.8353869895705304E-2</v>
      </c>
      <c r="I67" s="191">
        <f t="shared" si="15"/>
        <v>6.9436939439675938E-2</v>
      </c>
      <c r="J67" s="191">
        <f t="shared" si="15"/>
        <v>9.2289139799840672E-2</v>
      </c>
      <c r="K67" s="191">
        <f t="shared" si="15"/>
        <v>1</v>
      </c>
    </row>
    <row r="68" spans="1:11" x14ac:dyDescent="0.2">
      <c r="A68" s="182" t="s">
        <v>87</v>
      </c>
      <c r="B68" s="220">
        <f>B44</f>
        <v>7603</v>
      </c>
      <c r="C68" s="193">
        <f t="shared" si="15"/>
        <v>0.49427025470158414</v>
      </c>
      <c r="D68" s="193">
        <f t="shared" si="15"/>
        <v>3.744646378743724E-2</v>
      </c>
      <c r="E68" s="193">
        <f t="shared" si="15"/>
        <v>9.5993927862041556E-2</v>
      </c>
      <c r="F68" s="193">
        <f t="shared" si="15"/>
        <v>3.8362756366296019E-2</v>
      </c>
      <c r="G68" s="193">
        <f t="shared" si="15"/>
        <v>0.12802563265197192</v>
      </c>
      <c r="H68" s="193">
        <f t="shared" si="15"/>
        <v>7.3007858034965498E-2</v>
      </c>
      <c r="I68" s="193">
        <f t="shared" si="15"/>
        <v>9.466786640277558E-2</v>
      </c>
      <c r="J68" s="193">
        <f t="shared" si="15"/>
        <v>3.8225240192928035E-2</v>
      </c>
      <c r="K68" s="193">
        <f t="shared" si="15"/>
        <v>1</v>
      </c>
    </row>
    <row r="69" spans="1:11" x14ac:dyDescent="0.2">
      <c r="A69" s="182" t="s">
        <v>221</v>
      </c>
      <c r="B69" s="214">
        <f>SUM(B67:B68)</f>
        <v>20880</v>
      </c>
      <c r="C69" s="191">
        <f t="shared" si="15"/>
        <v>0.5046389979410445</v>
      </c>
      <c r="D69" s="191">
        <f t="shared" si="15"/>
        <v>5.3729805660381873E-2</v>
      </c>
      <c r="E69" s="191">
        <f t="shared" si="15"/>
        <v>7.1317069018905513E-2</v>
      </c>
      <c r="F69" s="191">
        <f t="shared" si="15"/>
        <v>4.7642171362254085E-2</v>
      </c>
      <c r="G69" s="191">
        <f t="shared" si="15"/>
        <v>0.10905168833386943</v>
      </c>
      <c r="H69" s="191">
        <f t="shared" si="15"/>
        <v>6.5029954162944853E-2</v>
      </c>
      <c r="I69" s="191">
        <f t="shared" si="15"/>
        <v>8.0931680185025237E-2</v>
      </c>
      <c r="J69" s="191">
        <f t="shared" si="15"/>
        <v>6.7658633335574564E-2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152628</v>
      </c>
      <c r="C71" s="195">
        <f t="shared" ref="C71:K71" si="16">C47/$K47</f>
        <v>0.5125024201571371</v>
      </c>
      <c r="D71" s="195">
        <f t="shared" si="16"/>
        <v>9.0527050491615205E-2</v>
      </c>
      <c r="E71" s="195">
        <f t="shared" si="16"/>
        <v>5.5525542380513611E-2</v>
      </c>
      <c r="F71" s="195">
        <f t="shared" si="16"/>
        <v>5.2356791141162783E-2</v>
      </c>
      <c r="G71" s="195">
        <f t="shared" si="16"/>
        <v>9.4385111068227168E-2</v>
      </c>
      <c r="H71" s="195">
        <f t="shared" si="16"/>
        <v>5.3028603161506968E-2</v>
      </c>
      <c r="I71" s="195">
        <f t="shared" si="16"/>
        <v>6.5529631714830602E-2</v>
      </c>
      <c r="J71" s="195">
        <f t="shared" si="16"/>
        <v>7.6144849885006777E-2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X75"/>
  <sheetViews>
    <sheetView topLeftCell="A19" zoomScaleNormal="100" workbookViewId="0">
      <selection activeCell="K25" sqref="K25"/>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1341</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ANB18</v>
      </c>
      <c r="C3" s="12" t="str">
        <f>RIGHT(D1,2)&amp;"/Pupil Instruction"</f>
        <v>18/Pupil Instruction</v>
      </c>
      <c r="D3" s="12" t="str">
        <f>RIGHT(D1,2)&amp;"/Pupil Student Services"</f>
        <v>18/Pupil Student Services</v>
      </c>
      <c r="E3" s="12" t="str">
        <f>RIGHT(D1,2)&amp;"/Pupil General Admin"</f>
        <v>18/Pupil General Admin</v>
      </c>
      <c r="F3" s="12" t="str">
        <f>RIGHT(D1,2)&amp;"/Pupil Bldg Admin"</f>
        <v>18/Pupil Bldg Admin</v>
      </c>
      <c r="G3" s="12" t="str">
        <f>RIGHT(D1,2)&amp;"/Pupil Bldg OM"</f>
        <v>18/Pupil Bldg OM</v>
      </c>
      <c r="H3" s="12" t="str">
        <f>RIGHT(D1,2)&amp;"/Pupil Transport"</f>
        <v>18/Pupil Transport</v>
      </c>
      <c r="I3" s="12" t="str">
        <f>RIGHT(D1,2)&amp;"/Pupil Other"</f>
        <v>18/Pupil Other</v>
      </c>
      <c r="J3" s="12" t="str">
        <f>RIGHT(D1,2)&amp;"/Pupil Bonds/ Facilities"</f>
        <v>18/Pupil Bonds/ Facilities</v>
      </c>
      <c r="K3" s="12" t="str">
        <f>RIGHT(D1,2)&amp;"/Pupil Total"</f>
        <v>18/Pupil Total</v>
      </c>
    </row>
    <row r="4" spans="1:24" ht="15" x14ac:dyDescent="0.25">
      <c r="A4" s="33" t="s">
        <v>102</v>
      </c>
      <c r="B4" s="214">
        <v>41164</v>
      </c>
      <c r="C4" s="214">
        <v>237678518.44999996</v>
      </c>
      <c r="D4" s="214">
        <v>54800279.939999998</v>
      </c>
      <c r="E4" s="214">
        <v>14506872.549999999</v>
      </c>
      <c r="F4" s="214">
        <v>22771727.059999999</v>
      </c>
      <c r="G4" s="214">
        <v>31915435.360000007</v>
      </c>
      <c r="H4" s="214">
        <v>18247676.540000003</v>
      </c>
      <c r="I4" s="214">
        <v>13848768.939999999</v>
      </c>
      <c r="J4" s="214">
        <v>36109887.530000001</v>
      </c>
      <c r="K4" s="214">
        <f t="shared" ref="K4:K9" si="0">SUM(C4:J4)</f>
        <v>429879166.37</v>
      </c>
      <c r="N4" s="214"/>
      <c r="O4" s="294"/>
      <c r="P4" s="293"/>
      <c r="Q4" s="293"/>
      <c r="R4" s="293"/>
      <c r="S4" s="293"/>
      <c r="T4" s="293"/>
      <c r="U4" s="293"/>
      <c r="V4" s="293"/>
      <c r="W4" s="293"/>
      <c r="X4" s="293"/>
    </row>
    <row r="5" spans="1:24" ht="15" x14ac:dyDescent="0.25">
      <c r="A5" s="33" t="s">
        <v>76</v>
      </c>
      <c r="B5" s="214">
        <v>20520</v>
      </c>
      <c r="C5" s="214">
        <v>117591594.32000001</v>
      </c>
      <c r="D5" s="214">
        <v>29950608.840000004</v>
      </c>
      <c r="E5" s="214">
        <v>9565866.4399999995</v>
      </c>
      <c r="F5" s="214">
        <v>12465143.450000001</v>
      </c>
      <c r="G5" s="214">
        <v>19407768.220000003</v>
      </c>
      <c r="H5" s="214">
        <v>10072193.210000001</v>
      </c>
      <c r="I5" s="214">
        <v>11188462.880000003</v>
      </c>
      <c r="J5" s="214">
        <v>13685918.34</v>
      </c>
      <c r="K5" s="214">
        <f t="shared" si="0"/>
        <v>223927555.70000002</v>
      </c>
      <c r="N5" s="214"/>
      <c r="O5" s="294"/>
      <c r="P5" s="293"/>
      <c r="Q5" s="293"/>
      <c r="R5" s="293"/>
      <c r="S5" s="293"/>
      <c r="T5" s="293"/>
      <c r="U5" s="293"/>
      <c r="V5" s="293"/>
      <c r="W5" s="293"/>
      <c r="X5" s="293"/>
    </row>
    <row r="6" spans="1:24" ht="15" x14ac:dyDescent="0.25">
      <c r="A6" s="33" t="s">
        <v>77</v>
      </c>
      <c r="B6" s="214">
        <v>15370</v>
      </c>
      <c r="C6" s="214">
        <v>94138242.720000029</v>
      </c>
      <c r="D6" s="214">
        <v>14406435.91</v>
      </c>
      <c r="E6" s="214">
        <v>10441343.510000002</v>
      </c>
      <c r="F6" s="214">
        <v>9694743.4800000004</v>
      </c>
      <c r="G6" s="214">
        <v>15252703.740000002</v>
      </c>
      <c r="H6" s="214">
        <v>8289607.0499999998</v>
      </c>
      <c r="I6" s="214">
        <v>10085935.23</v>
      </c>
      <c r="J6" s="214">
        <v>8024037.6700000018</v>
      </c>
      <c r="K6" s="214">
        <f t="shared" si="0"/>
        <v>170333049.31000006</v>
      </c>
      <c r="N6" s="214"/>
      <c r="O6" s="294"/>
      <c r="P6" s="293"/>
      <c r="Q6" s="293"/>
      <c r="R6" s="293"/>
      <c r="S6" s="293"/>
      <c r="T6" s="293"/>
      <c r="U6" s="293"/>
      <c r="V6" s="293"/>
      <c r="W6" s="293"/>
      <c r="X6" s="293"/>
    </row>
    <row r="7" spans="1:24" ht="15" x14ac:dyDescent="0.25">
      <c r="A7" s="33" t="s">
        <v>78</v>
      </c>
      <c r="B7" s="214">
        <v>12079</v>
      </c>
      <c r="C7" s="214">
        <v>72983851.159999996</v>
      </c>
      <c r="D7" s="214">
        <v>8376748.4000000004</v>
      </c>
      <c r="E7" s="214">
        <v>10616926.550000003</v>
      </c>
      <c r="F7" s="214">
        <v>5787399.4399999995</v>
      </c>
      <c r="G7" s="214">
        <v>13334315.34</v>
      </c>
      <c r="H7" s="214">
        <v>7173038.9099999992</v>
      </c>
      <c r="I7" s="214">
        <v>10096882.470000006</v>
      </c>
      <c r="J7" s="214">
        <v>7575273.5599999996</v>
      </c>
      <c r="K7" s="214">
        <f t="shared" si="0"/>
        <v>135944435.83000001</v>
      </c>
      <c r="N7" s="214"/>
      <c r="O7" s="294"/>
      <c r="P7" s="293"/>
      <c r="Q7" s="293"/>
      <c r="R7" s="293"/>
      <c r="S7" s="293"/>
      <c r="T7" s="293"/>
      <c r="U7" s="293"/>
      <c r="V7" s="293"/>
      <c r="W7" s="293"/>
      <c r="X7" s="293"/>
    </row>
    <row r="8" spans="1:24" ht="15" x14ac:dyDescent="0.25">
      <c r="A8" s="33" t="s">
        <v>79</v>
      </c>
      <c r="B8" s="214">
        <v>5086</v>
      </c>
      <c r="C8" s="214">
        <v>37793767.75</v>
      </c>
      <c r="D8" s="214">
        <v>3245316.4099999992</v>
      </c>
      <c r="E8" s="214">
        <v>6833163.6600000011</v>
      </c>
      <c r="F8" s="214">
        <v>2886069.41</v>
      </c>
      <c r="G8" s="214">
        <v>7365684.3700000001</v>
      </c>
      <c r="H8" s="214">
        <v>5077383.9000000004</v>
      </c>
      <c r="I8" s="214">
        <v>5431251.3800000008</v>
      </c>
      <c r="J8" s="214">
        <v>2842048.7699999996</v>
      </c>
      <c r="K8" s="214">
        <f t="shared" si="0"/>
        <v>71474685.649999991</v>
      </c>
      <c r="N8" s="214"/>
      <c r="O8" s="294"/>
      <c r="P8" s="293"/>
      <c r="Q8" s="293"/>
      <c r="R8" s="293"/>
      <c r="S8" s="293"/>
      <c r="T8" s="293"/>
      <c r="U8" s="293"/>
      <c r="V8" s="293"/>
      <c r="W8" s="293"/>
      <c r="X8" s="293"/>
    </row>
    <row r="9" spans="1:24" ht="15" x14ac:dyDescent="0.25">
      <c r="A9" s="33" t="s">
        <v>80</v>
      </c>
      <c r="B9" s="220">
        <v>1396</v>
      </c>
      <c r="C9" s="220">
        <v>12034455.620000003</v>
      </c>
      <c r="D9" s="220">
        <v>388540.5</v>
      </c>
      <c r="E9" s="220">
        <v>2470944.7899999996</v>
      </c>
      <c r="F9" s="220">
        <v>181661.02</v>
      </c>
      <c r="G9" s="220">
        <v>2627172.1199999996</v>
      </c>
      <c r="H9" s="220">
        <v>1386843.5</v>
      </c>
      <c r="I9" s="220">
        <v>756864.74999999988</v>
      </c>
      <c r="J9" s="220">
        <v>228346.88</v>
      </c>
      <c r="K9" s="220">
        <f t="shared" si="0"/>
        <v>20074829.18</v>
      </c>
      <c r="N9" s="214"/>
      <c r="O9" s="294"/>
      <c r="P9" s="293"/>
      <c r="Q9" s="293"/>
      <c r="R9" s="293"/>
      <c r="S9" s="293"/>
      <c r="T9" s="293"/>
      <c r="U9" s="293"/>
      <c r="V9" s="293"/>
      <c r="W9" s="293"/>
      <c r="X9" s="293"/>
    </row>
    <row r="10" spans="1:24" x14ac:dyDescent="0.2">
      <c r="A10" s="182" t="s">
        <v>103</v>
      </c>
      <c r="B10" s="214">
        <f t="shared" ref="B10:K10" si="1">SUM(B4:B9)</f>
        <v>95615</v>
      </c>
      <c r="C10" s="214">
        <f t="shared" si="1"/>
        <v>572220430.01999998</v>
      </c>
      <c r="D10" s="214">
        <f t="shared" si="1"/>
        <v>111167930</v>
      </c>
      <c r="E10" s="214">
        <f t="shared" si="1"/>
        <v>54435117.500000007</v>
      </c>
      <c r="F10" s="214">
        <f t="shared" si="1"/>
        <v>53786743.859999992</v>
      </c>
      <c r="G10" s="214">
        <f t="shared" si="1"/>
        <v>89903079.150000021</v>
      </c>
      <c r="H10" s="214">
        <f t="shared" si="1"/>
        <v>50246743.109999999</v>
      </c>
      <c r="I10" s="214">
        <f t="shared" si="1"/>
        <v>51408165.650000006</v>
      </c>
      <c r="J10" s="214">
        <f t="shared" si="1"/>
        <v>68465512.75</v>
      </c>
      <c r="K10" s="214">
        <f t="shared" si="1"/>
        <v>1051633722.0400001</v>
      </c>
      <c r="N10" s="214"/>
    </row>
    <row r="11" spans="1:24" x14ac:dyDescent="0.2">
      <c r="A11" s="33"/>
      <c r="B11" s="214"/>
      <c r="C11" s="214"/>
      <c r="D11" s="214"/>
      <c r="E11" s="214"/>
      <c r="F11" s="214"/>
      <c r="G11" s="214"/>
      <c r="H11" s="214"/>
      <c r="I11" s="214"/>
      <c r="J11" s="214"/>
      <c r="K11" s="182"/>
      <c r="N11" s="214"/>
    </row>
    <row r="12" spans="1:24" ht="15" x14ac:dyDescent="0.25">
      <c r="A12" s="33" t="s">
        <v>81</v>
      </c>
      <c r="B12" s="214">
        <v>20375</v>
      </c>
      <c r="C12" s="214">
        <v>116392796.84999999</v>
      </c>
      <c r="D12" s="214">
        <v>24467582.93</v>
      </c>
      <c r="E12" s="214">
        <v>8605224.5100000016</v>
      </c>
      <c r="F12" s="214">
        <v>13013526.92</v>
      </c>
      <c r="G12" s="214">
        <v>21310941.619999997</v>
      </c>
      <c r="H12" s="214">
        <v>9253159.1699999999</v>
      </c>
      <c r="I12" s="214">
        <v>20320454.560000002</v>
      </c>
      <c r="J12" s="214">
        <v>21546213.41</v>
      </c>
      <c r="K12" s="214">
        <f>SUM(C12:J12)</f>
        <v>234909899.96999997</v>
      </c>
      <c r="N12" s="214"/>
      <c r="O12" s="294"/>
      <c r="P12" s="293"/>
      <c r="Q12" s="293"/>
      <c r="R12" s="293"/>
      <c r="S12" s="293"/>
      <c r="T12" s="293"/>
      <c r="U12" s="293"/>
      <c r="V12" s="293"/>
      <c r="W12" s="293"/>
      <c r="X12" s="293"/>
    </row>
    <row r="13" spans="1:24" ht="15" x14ac:dyDescent="0.25">
      <c r="A13" s="33" t="s">
        <v>82</v>
      </c>
      <c r="B13" s="214">
        <v>7188</v>
      </c>
      <c r="C13" s="214">
        <v>39489062.310000002</v>
      </c>
      <c r="D13" s="214">
        <v>7810041.6999999993</v>
      </c>
      <c r="E13" s="214">
        <v>4260137.5</v>
      </c>
      <c r="F13" s="214">
        <v>5362671.07</v>
      </c>
      <c r="G13" s="214">
        <v>9238831.3800000008</v>
      </c>
      <c r="H13" s="214">
        <v>4990357.8999999994</v>
      </c>
      <c r="I13" s="214">
        <v>10429536.210000001</v>
      </c>
      <c r="J13" s="214">
        <v>10040228.030000001</v>
      </c>
      <c r="K13" s="214">
        <f>SUM(C13:J13)</f>
        <v>91620866.100000024</v>
      </c>
      <c r="N13" s="214"/>
      <c r="O13" s="294"/>
      <c r="P13" s="293"/>
      <c r="Q13" s="293"/>
      <c r="R13" s="293"/>
      <c r="S13" s="293"/>
      <c r="T13" s="293"/>
      <c r="U13" s="293"/>
      <c r="V13" s="293"/>
      <c r="W13" s="293"/>
      <c r="X13" s="293"/>
    </row>
    <row r="14" spans="1:24" ht="15" x14ac:dyDescent="0.25">
      <c r="A14" s="33" t="s">
        <v>83</v>
      </c>
      <c r="B14" s="214">
        <v>4611</v>
      </c>
      <c r="C14" s="214">
        <v>25837840.73</v>
      </c>
      <c r="D14" s="214">
        <v>3997530.5400000005</v>
      </c>
      <c r="E14" s="214">
        <v>3736097</v>
      </c>
      <c r="F14" s="214">
        <v>4025374.88</v>
      </c>
      <c r="G14" s="214">
        <v>7040695.3700000001</v>
      </c>
      <c r="H14" s="214">
        <v>4649413.45</v>
      </c>
      <c r="I14" s="214">
        <v>7415752.4699999997</v>
      </c>
      <c r="J14" s="214">
        <v>4206899.7699999996</v>
      </c>
      <c r="K14" s="214">
        <f>SUM(C14:J14)</f>
        <v>60909604.209999993</v>
      </c>
      <c r="N14" s="214"/>
      <c r="O14" s="294"/>
      <c r="P14" s="293"/>
      <c r="Q14" s="293"/>
      <c r="R14" s="293"/>
      <c r="S14" s="293"/>
      <c r="T14" s="293"/>
      <c r="U14" s="293"/>
      <c r="V14" s="293"/>
      <c r="W14" s="293"/>
      <c r="X14" s="293"/>
    </row>
    <row r="15" spans="1:24" ht="15" x14ac:dyDescent="0.25">
      <c r="A15" s="33" t="s">
        <v>84</v>
      </c>
      <c r="B15" s="214">
        <v>4159</v>
      </c>
      <c r="C15" s="214">
        <v>29166419.370000001</v>
      </c>
      <c r="D15" s="214">
        <v>4080120.9799999991</v>
      </c>
      <c r="E15" s="214">
        <v>5519965.21</v>
      </c>
      <c r="F15" s="214">
        <v>4058247.07</v>
      </c>
      <c r="G15" s="214">
        <v>8920205.5099999998</v>
      </c>
      <c r="H15" s="214">
        <v>5564372.0199999996</v>
      </c>
      <c r="I15" s="214">
        <v>6590869.3799999999</v>
      </c>
      <c r="J15" s="214">
        <v>4375566.68</v>
      </c>
      <c r="K15" s="214">
        <f>SUM(C15:J15)</f>
        <v>68275766.219999999</v>
      </c>
      <c r="N15" s="214"/>
      <c r="O15" s="294"/>
      <c r="P15" s="293"/>
      <c r="Q15" s="293"/>
      <c r="R15" s="293"/>
      <c r="S15" s="293"/>
      <c r="T15" s="293"/>
      <c r="U15" s="293"/>
      <c r="V15" s="293"/>
      <c r="W15" s="293"/>
      <c r="X15" s="293"/>
    </row>
    <row r="16" spans="1:24" ht="15" x14ac:dyDescent="0.25">
      <c r="A16" s="33" t="s">
        <v>85</v>
      </c>
      <c r="B16" s="220">
        <v>1795</v>
      </c>
      <c r="C16" s="220">
        <v>16720346.050000003</v>
      </c>
      <c r="D16" s="220">
        <v>1633329.0500000003</v>
      </c>
      <c r="E16" s="220">
        <v>5328673.0299999993</v>
      </c>
      <c r="F16" s="220">
        <v>1330962.02</v>
      </c>
      <c r="G16" s="220">
        <v>6426041.049999998</v>
      </c>
      <c r="H16" s="220">
        <v>3821997.5200000009</v>
      </c>
      <c r="I16" s="220">
        <v>4476732.6099999994</v>
      </c>
      <c r="J16" s="220">
        <v>1955385.15</v>
      </c>
      <c r="K16" s="220">
        <f>SUM(C16:J16)</f>
        <v>41693466.479999997</v>
      </c>
      <c r="N16" s="214"/>
      <c r="O16" s="294"/>
      <c r="P16" s="293"/>
      <c r="Q16" s="293"/>
      <c r="R16" s="293"/>
      <c r="S16" s="293"/>
      <c r="T16" s="293"/>
      <c r="U16" s="293"/>
      <c r="V16" s="293"/>
      <c r="W16" s="293"/>
      <c r="X16" s="293"/>
    </row>
    <row r="17" spans="1:24" x14ac:dyDescent="0.2">
      <c r="A17" s="182" t="s">
        <v>104</v>
      </c>
      <c r="B17" s="214">
        <f t="shared" ref="B17:K17" si="2">SUM(B12:B16)</f>
        <v>38128</v>
      </c>
      <c r="C17" s="214">
        <f t="shared" si="2"/>
        <v>227606465.31</v>
      </c>
      <c r="D17" s="214">
        <f t="shared" si="2"/>
        <v>41988605.199999996</v>
      </c>
      <c r="E17" s="214">
        <f t="shared" si="2"/>
        <v>27450097.25</v>
      </c>
      <c r="F17" s="214">
        <f t="shared" si="2"/>
        <v>27790781.960000001</v>
      </c>
      <c r="G17" s="214">
        <f t="shared" si="2"/>
        <v>52936714.929999992</v>
      </c>
      <c r="H17" s="214">
        <f t="shared" si="2"/>
        <v>28279300.059999999</v>
      </c>
      <c r="I17" s="214">
        <f t="shared" si="2"/>
        <v>49233345.230000004</v>
      </c>
      <c r="J17" s="214">
        <f t="shared" si="2"/>
        <v>42124293.039999999</v>
      </c>
      <c r="K17" s="214">
        <f t="shared" si="2"/>
        <v>497409602.98000002</v>
      </c>
    </row>
    <row r="18" spans="1:24" x14ac:dyDescent="0.2">
      <c r="A18" s="33"/>
      <c r="B18" s="214"/>
      <c r="C18" s="214"/>
      <c r="D18" s="214"/>
      <c r="E18" s="214"/>
      <c r="F18" s="214"/>
      <c r="G18" s="214"/>
      <c r="H18" s="214"/>
      <c r="I18" s="214"/>
      <c r="J18" s="214"/>
      <c r="K18" s="182"/>
    </row>
    <row r="19" spans="1:24" ht="15" x14ac:dyDescent="0.25">
      <c r="A19" s="33" t="s">
        <v>86</v>
      </c>
      <c r="B19" s="214">
        <v>10743</v>
      </c>
      <c r="C19" s="214">
        <v>63157920.069999985</v>
      </c>
      <c r="D19" s="214">
        <v>6803232.1900000013</v>
      </c>
      <c r="E19" s="214">
        <v>6361103.0800000001</v>
      </c>
      <c r="F19" s="214">
        <v>7108869.7799999984</v>
      </c>
      <c r="G19" s="214">
        <v>11217102.120000001</v>
      </c>
      <c r="H19" s="214">
        <v>7052638.2199999988</v>
      </c>
      <c r="I19" s="214">
        <v>8744882.2599999998</v>
      </c>
      <c r="J19" s="214">
        <v>7682232.7799999993</v>
      </c>
      <c r="K19" s="214">
        <f>SUM(C19:J19)</f>
        <v>118127980.5</v>
      </c>
      <c r="O19" s="294"/>
      <c r="P19" s="293"/>
      <c r="Q19" s="293"/>
      <c r="R19" s="293"/>
      <c r="S19" s="293"/>
      <c r="T19" s="293"/>
      <c r="U19" s="293"/>
      <c r="V19" s="293"/>
      <c r="W19" s="293"/>
      <c r="X19" s="293"/>
    </row>
    <row r="20" spans="1:24" ht="15" x14ac:dyDescent="0.25">
      <c r="A20" s="33" t="s">
        <v>87</v>
      </c>
      <c r="B20" s="233">
        <v>7735</v>
      </c>
      <c r="C20" s="234">
        <v>59768962.950000003</v>
      </c>
      <c r="D20" s="234">
        <v>4785338.03</v>
      </c>
      <c r="E20" s="234">
        <v>11861653.630000003</v>
      </c>
      <c r="F20" s="234">
        <v>4857598.92</v>
      </c>
      <c r="G20" s="234">
        <v>15701803.949999999</v>
      </c>
      <c r="H20" s="234">
        <v>9111758.5999999996</v>
      </c>
      <c r="I20" s="234">
        <v>11349785.749999998</v>
      </c>
      <c r="J20" s="220">
        <v>6826380.2000000011</v>
      </c>
      <c r="K20" s="220">
        <f>SUM(C20:J20)</f>
        <v>124263282.03000002</v>
      </c>
      <c r="O20" s="294"/>
      <c r="P20" s="293"/>
      <c r="Q20" s="293"/>
      <c r="R20" s="293"/>
      <c r="S20" s="293"/>
      <c r="T20" s="293"/>
      <c r="U20" s="293"/>
      <c r="V20" s="293"/>
      <c r="W20" s="293"/>
      <c r="X20" s="293"/>
    </row>
    <row r="21" spans="1:24" x14ac:dyDescent="0.2">
      <c r="A21" s="182" t="s">
        <v>105</v>
      </c>
      <c r="B21" s="214">
        <f t="shared" ref="B21:K21" si="3">SUM(B19:B20)</f>
        <v>18478</v>
      </c>
      <c r="C21" s="214">
        <f t="shared" si="3"/>
        <v>122926883.01999998</v>
      </c>
      <c r="D21" s="214">
        <f t="shared" si="3"/>
        <v>11588570.220000003</v>
      </c>
      <c r="E21" s="214">
        <f t="shared" si="3"/>
        <v>18222756.710000001</v>
      </c>
      <c r="F21" s="214">
        <f t="shared" si="3"/>
        <v>11966468.699999999</v>
      </c>
      <c r="G21" s="214">
        <f t="shared" si="3"/>
        <v>26918906.07</v>
      </c>
      <c r="H21" s="214">
        <f t="shared" si="3"/>
        <v>16164396.819999998</v>
      </c>
      <c r="I21" s="214">
        <f t="shared" si="3"/>
        <v>20094668.009999998</v>
      </c>
      <c r="J21" s="214">
        <f t="shared" si="3"/>
        <v>14508612.98</v>
      </c>
      <c r="K21" s="214">
        <f t="shared" si="3"/>
        <v>242391262.53000003</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152221</v>
      </c>
      <c r="C23" s="222">
        <f t="shared" si="4"/>
        <v>922753778.3499999</v>
      </c>
      <c r="D23" s="222">
        <f t="shared" si="4"/>
        <v>164745105.42000002</v>
      </c>
      <c r="E23" s="222">
        <f t="shared" si="4"/>
        <v>100107971.46000001</v>
      </c>
      <c r="F23" s="222">
        <f t="shared" si="4"/>
        <v>93543994.519999981</v>
      </c>
      <c r="G23" s="222">
        <f t="shared" si="4"/>
        <v>169758700.15000004</v>
      </c>
      <c r="H23" s="222">
        <f t="shared" si="4"/>
        <v>94690439.989999995</v>
      </c>
      <c r="I23" s="222">
        <f t="shared" si="4"/>
        <v>120736178.89000002</v>
      </c>
      <c r="J23" s="222">
        <f t="shared" si="4"/>
        <v>125098418.77</v>
      </c>
      <c r="K23" s="222">
        <f t="shared" si="4"/>
        <v>1791434587.5500002</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FY2018</v>
      </c>
      <c r="C26" s="22"/>
      <c r="D26" s="22"/>
      <c r="E26" s="22"/>
      <c r="F26" s="22"/>
      <c r="G26" s="22"/>
      <c r="H26" s="22"/>
      <c r="I26" s="22"/>
      <c r="J26" s="22"/>
      <c r="K26" s="22"/>
    </row>
    <row r="27" spans="1:24" ht="39" customHeight="1" x14ac:dyDescent="0.2">
      <c r="A27" s="21" t="s">
        <v>245</v>
      </c>
      <c r="B27" s="21" t="str">
        <f>B3</f>
        <v>ANB18</v>
      </c>
      <c r="C27" s="21" t="str">
        <f t="shared" ref="C27:K27" si="5">C3</f>
        <v>18/Pupil Instruction</v>
      </c>
      <c r="D27" s="21" t="str">
        <f t="shared" si="5"/>
        <v>18/Pupil Student Services</v>
      </c>
      <c r="E27" s="21" t="str">
        <f t="shared" si="5"/>
        <v>18/Pupil General Admin</v>
      </c>
      <c r="F27" s="21" t="str">
        <f t="shared" si="5"/>
        <v>18/Pupil Bldg Admin</v>
      </c>
      <c r="G27" s="21" t="str">
        <f t="shared" si="5"/>
        <v>18/Pupil Bldg OM</v>
      </c>
      <c r="H27" s="21" t="str">
        <f t="shared" si="5"/>
        <v>18/Pupil Transport</v>
      </c>
      <c r="I27" s="21" t="str">
        <f t="shared" si="5"/>
        <v>18/Pupil Other</v>
      </c>
      <c r="J27" s="21" t="str">
        <f t="shared" si="5"/>
        <v>18/Pupil Bonds/ Facilities</v>
      </c>
      <c r="K27" s="21" t="str">
        <f t="shared" si="5"/>
        <v>18/Pupil Total</v>
      </c>
    </row>
    <row r="28" spans="1:24" x14ac:dyDescent="0.2">
      <c r="A28" s="182" t="s">
        <v>102</v>
      </c>
      <c r="B28" s="214">
        <f t="shared" ref="B28:B33" si="6">B4</f>
        <v>41164</v>
      </c>
      <c r="C28" s="182">
        <f t="shared" ref="C28:K34" si="7">C4/$B28</f>
        <v>5773.9412702847139</v>
      </c>
      <c r="D28" s="182">
        <f t="shared" si="7"/>
        <v>1331.267125157905</v>
      </c>
      <c r="E28" s="182">
        <f t="shared" si="7"/>
        <v>352.41649378097367</v>
      </c>
      <c r="F28" s="182">
        <f t="shared" si="7"/>
        <v>553.19519628801868</v>
      </c>
      <c r="G28" s="182">
        <f t="shared" si="7"/>
        <v>775.323956855505</v>
      </c>
      <c r="H28" s="182">
        <f t="shared" si="7"/>
        <v>443.29211301136922</v>
      </c>
      <c r="I28" s="182">
        <f t="shared" si="7"/>
        <v>336.42913565251189</v>
      </c>
      <c r="J28" s="182">
        <f t="shared" si="7"/>
        <v>877.22008381109708</v>
      </c>
      <c r="K28" s="182">
        <f t="shared" si="7"/>
        <v>10443.085374842096</v>
      </c>
    </row>
    <row r="29" spans="1:24" ht="15" x14ac:dyDescent="0.25">
      <c r="A29" s="182" t="s">
        <v>76</v>
      </c>
      <c r="B29" s="214">
        <f t="shared" si="6"/>
        <v>20520</v>
      </c>
      <c r="C29" s="182">
        <f t="shared" si="7"/>
        <v>5730.584518518519</v>
      </c>
      <c r="D29" s="182">
        <f t="shared" si="7"/>
        <v>1459.5813274853804</v>
      </c>
      <c r="E29" s="182">
        <f t="shared" si="7"/>
        <v>466.17282846003894</v>
      </c>
      <c r="F29" s="182">
        <f t="shared" si="7"/>
        <v>607.46313109161804</v>
      </c>
      <c r="G29" s="182">
        <f t="shared" si="7"/>
        <v>945.79767153996113</v>
      </c>
      <c r="H29" s="182">
        <f t="shared" si="7"/>
        <v>490.84762231968813</v>
      </c>
      <c r="I29" s="182">
        <f t="shared" si="7"/>
        <v>545.24672904483441</v>
      </c>
      <c r="J29" s="182">
        <f t="shared" si="7"/>
        <v>666.95508479532168</v>
      </c>
      <c r="K29" s="182">
        <f t="shared" si="7"/>
        <v>10912.648913255362</v>
      </c>
      <c r="O29" s="247"/>
      <c r="P29" s="273"/>
      <c r="Q29" s="273"/>
      <c r="R29" s="273"/>
      <c r="S29" s="273"/>
      <c r="T29" s="273"/>
      <c r="U29" s="273"/>
    </row>
    <row r="30" spans="1:24" ht="15" x14ac:dyDescent="0.25">
      <c r="A30" s="182" t="s">
        <v>77</v>
      </c>
      <c r="B30" s="214">
        <f t="shared" si="6"/>
        <v>15370</v>
      </c>
      <c r="C30" s="182">
        <f t="shared" si="7"/>
        <v>6124.8043409238799</v>
      </c>
      <c r="D30" s="182">
        <f t="shared" si="7"/>
        <v>937.30877748861417</v>
      </c>
      <c r="E30" s="182">
        <f t="shared" si="7"/>
        <v>679.3326942094991</v>
      </c>
      <c r="F30" s="182">
        <f t="shared" si="7"/>
        <v>630.75754586857522</v>
      </c>
      <c r="G30" s="182">
        <f t="shared" si="7"/>
        <v>992.36849316851021</v>
      </c>
      <c r="H30" s="182">
        <f t="shared" si="7"/>
        <v>539.336828236825</v>
      </c>
      <c r="I30" s="182">
        <f t="shared" si="7"/>
        <v>656.20918867924536</v>
      </c>
      <c r="J30" s="182">
        <f t="shared" si="7"/>
        <v>522.05840403383229</v>
      </c>
      <c r="K30" s="182">
        <f t="shared" si="7"/>
        <v>11082.176272608982</v>
      </c>
      <c r="O30" s="247"/>
      <c r="P30" s="273"/>
      <c r="Q30" s="273"/>
      <c r="R30" s="273"/>
      <c r="S30" s="273"/>
      <c r="T30" s="273"/>
      <c r="U30" s="273"/>
    </row>
    <row r="31" spans="1:24" ht="15" x14ac:dyDescent="0.25">
      <c r="A31" s="182" t="s">
        <v>78</v>
      </c>
      <c r="B31" s="214">
        <f t="shared" si="6"/>
        <v>12079</v>
      </c>
      <c r="C31" s="182">
        <f t="shared" si="7"/>
        <v>6042.2097160360954</v>
      </c>
      <c r="D31" s="182">
        <f t="shared" si="7"/>
        <v>693.496845765378</v>
      </c>
      <c r="E31" s="182">
        <f t="shared" si="7"/>
        <v>878.95740955377119</v>
      </c>
      <c r="F31" s="182">
        <f t="shared" si="7"/>
        <v>479.12902061428923</v>
      </c>
      <c r="G31" s="182">
        <f t="shared" si="7"/>
        <v>1103.9254358804537</v>
      </c>
      <c r="H31" s="182">
        <f t="shared" si="7"/>
        <v>593.84377100753363</v>
      </c>
      <c r="I31" s="182">
        <f t="shared" si="7"/>
        <v>835.90383889394866</v>
      </c>
      <c r="J31" s="182">
        <f t="shared" si="7"/>
        <v>627.14409802135935</v>
      </c>
      <c r="K31" s="182">
        <f t="shared" si="7"/>
        <v>11254.610135772829</v>
      </c>
      <c r="O31" s="247"/>
      <c r="P31" s="273"/>
      <c r="Q31" s="273"/>
      <c r="R31" s="273"/>
      <c r="S31" s="273"/>
      <c r="T31" s="273"/>
      <c r="U31" s="273"/>
    </row>
    <row r="32" spans="1:24" ht="15" x14ac:dyDescent="0.25">
      <c r="A32" s="182" t="s">
        <v>79</v>
      </c>
      <c r="B32" s="214">
        <f t="shared" si="6"/>
        <v>5086</v>
      </c>
      <c r="C32" s="182">
        <f t="shared" si="7"/>
        <v>7430.9413586315377</v>
      </c>
      <c r="D32" s="182">
        <f t="shared" si="7"/>
        <v>638.08816555249689</v>
      </c>
      <c r="E32" s="182">
        <f t="shared" si="7"/>
        <v>1343.524117184428</v>
      </c>
      <c r="F32" s="182">
        <f t="shared" si="7"/>
        <v>567.4536787259143</v>
      </c>
      <c r="G32" s="182">
        <f t="shared" si="7"/>
        <v>1448.2273633503737</v>
      </c>
      <c r="H32" s="182">
        <f t="shared" si="7"/>
        <v>998.30591820684242</v>
      </c>
      <c r="I32" s="182">
        <f t="shared" si="7"/>
        <v>1067.8826936688952</v>
      </c>
      <c r="J32" s="182">
        <f t="shared" si="7"/>
        <v>558.79842115611473</v>
      </c>
      <c r="K32" s="182">
        <f t="shared" si="7"/>
        <v>14053.221716476601</v>
      </c>
      <c r="O32" s="247"/>
      <c r="P32" s="273"/>
      <c r="Q32" s="273"/>
      <c r="R32" s="273"/>
      <c r="S32" s="273"/>
      <c r="T32" s="273"/>
      <c r="U32" s="273"/>
    </row>
    <row r="33" spans="1:21" ht="15" x14ac:dyDescent="0.25">
      <c r="A33" s="182" t="s">
        <v>80</v>
      </c>
      <c r="B33" s="220">
        <f t="shared" si="6"/>
        <v>1396</v>
      </c>
      <c r="C33" s="183">
        <f t="shared" si="7"/>
        <v>8620.6702148997156</v>
      </c>
      <c r="D33" s="183">
        <f t="shared" si="7"/>
        <v>278.32414040114611</v>
      </c>
      <c r="E33" s="183">
        <f t="shared" si="7"/>
        <v>1770.0177578796558</v>
      </c>
      <c r="F33" s="183">
        <f t="shared" si="7"/>
        <v>130.12967048710601</v>
      </c>
      <c r="G33" s="183">
        <f t="shared" si="7"/>
        <v>1881.9284527220627</v>
      </c>
      <c r="H33" s="183">
        <f t="shared" si="7"/>
        <v>993.44090257879657</v>
      </c>
      <c r="I33" s="183">
        <f t="shared" si="7"/>
        <v>542.16672636103146</v>
      </c>
      <c r="J33" s="183">
        <f t="shared" si="7"/>
        <v>163.57226361031519</v>
      </c>
      <c r="K33" s="183">
        <f t="shared" si="7"/>
        <v>14380.250128939828</v>
      </c>
      <c r="O33" s="247"/>
      <c r="P33" s="273"/>
      <c r="Q33" s="273"/>
      <c r="R33" s="273"/>
      <c r="S33" s="273"/>
      <c r="T33" s="273"/>
      <c r="U33" s="273"/>
    </row>
    <row r="34" spans="1:21" ht="15" x14ac:dyDescent="0.25">
      <c r="A34" s="182" t="s">
        <v>219</v>
      </c>
      <c r="B34" s="214">
        <f>SUM(B28:B33)</f>
        <v>95615</v>
      </c>
      <c r="C34" s="182">
        <f t="shared" si="7"/>
        <v>5984.6303406369288</v>
      </c>
      <c r="D34" s="182">
        <f t="shared" si="7"/>
        <v>1162.6620300162108</v>
      </c>
      <c r="E34" s="182">
        <f t="shared" si="7"/>
        <v>569.31566699785606</v>
      </c>
      <c r="F34" s="182">
        <f t="shared" si="7"/>
        <v>562.53457992992719</v>
      </c>
      <c r="G34" s="182">
        <f t="shared" si="7"/>
        <v>940.26124718924882</v>
      </c>
      <c r="H34" s="182">
        <f t="shared" si="7"/>
        <v>525.51109250640593</v>
      </c>
      <c r="I34" s="182">
        <f t="shared" si="7"/>
        <v>537.65795795638769</v>
      </c>
      <c r="J34" s="182">
        <f t="shared" si="7"/>
        <v>716.05409977513989</v>
      </c>
      <c r="K34" s="182">
        <f t="shared" si="7"/>
        <v>10998.627015008105</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20375</v>
      </c>
      <c r="C36" s="182">
        <f t="shared" ref="C36:K41" si="8">C12/$B36</f>
        <v>5712.5299067484657</v>
      </c>
      <c r="D36" s="182">
        <f t="shared" si="8"/>
        <v>1200.8629658895704</v>
      </c>
      <c r="E36" s="182">
        <f t="shared" si="8"/>
        <v>422.3423072392639</v>
      </c>
      <c r="F36" s="182">
        <f t="shared" si="8"/>
        <v>638.70070773006137</v>
      </c>
      <c r="G36" s="182">
        <f t="shared" si="8"/>
        <v>1045.9357850306747</v>
      </c>
      <c r="H36" s="182">
        <f t="shared" si="8"/>
        <v>454.14278134969322</v>
      </c>
      <c r="I36" s="182">
        <f t="shared" si="8"/>
        <v>997.32292319018416</v>
      </c>
      <c r="J36" s="182">
        <f t="shared" si="8"/>
        <v>1057.4828667484662</v>
      </c>
      <c r="K36" s="182">
        <f t="shared" si="8"/>
        <v>11529.320243926379</v>
      </c>
      <c r="O36" s="247"/>
      <c r="P36" s="273"/>
      <c r="Q36" s="273"/>
      <c r="R36" s="273"/>
      <c r="S36" s="273"/>
      <c r="T36" s="273"/>
      <c r="U36" s="273"/>
    </row>
    <row r="37" spans="1:21" ht="15" x14ac:dyDescent="0.25">
      <c r="A37" s="182" t="s">
        <v>82</v>
      </c>
      <c r="B37" s="214">
        <f>B13</f>
        <v>7188</v>
      </c>
      <c r="C37" s="182">
        <f t="shared" si="8"/>
        <v>5493.7482345575963</v>
      </c>
      <c r="D37" s="182">
        <f t="shared" si="8"/>
        <v>1086.5389120756815</v>
      </c>
      <c r="E37" s="182">
        <f t="shared" si="8"/>
        <v>592.67355314412907</v>
      </c>
      <c r="F37" s="182">
        <f t="shared" si="8"/>
        <v>746.0588578185866</v>
      </c>
      <c r="G37" s="182">
        <f t="shared" si="8"/>
        <v>1285.3132136894826</v>
      </c>
      <c r="H37" s="182">
        <f t="shared" si="8"/>
        <v>694.262367835281</v>
      </c>
      <c r="I37" s="182">
        <f t="shared" si="8"/>
        <v>1450.9649707846411</v>
      </c>
      <c r="J37" s="182">
        <f t="shared" si="8"/>
        <v>1396.8041221480246</v>
      </c>
      <c r="K37" s="182">
        <f t="shared" si="8"/>
        <v>12746.364232053425</v>
      </c>
      <c r="O37" s="247"/>
      <c r="P37" s="273"/>
      <c r="Q37" s="273"/>
      <c r="R37" s="273"/>
      <c r="S37" s="273"/>
      <c r="T37" s="273"/>
      <c r="U37" s="273"/>
    </row>
    <row r="38" spans="1:21" ht="15" x14ac:dyDescent="0.25">
      <c r="A38" s="182" t="s">
        <v>83</v>
      </c>
      <c r="B38" s="214">
        <f>B14</f>
        <v>4611</v>
      </c>
      <c r="C38" s="182">
        <f t="shared" si="8"/>
        <v>5603.5221708956842</v>
      </c>
      <c r="D38" s="182">
        <f t="shared" si="8"/>
        <v>866.95522446324014</v>
      </c>
      <c r="E38" s="182">
        <f t="shared" si="8"/>
        <v>810.2574278898287</v>
      </c>
      <c r="F38" s="182">
        <f t="shared" si="8"/>
        <v>872.99390153979607</v>
      </c>
      <c r="G38" s="182">
        <f t="shared" si="8"/>
        <v>1526.9345846887877</v>
      </c>
      <c r="H38" s="182">
        <f t="shared" si="8"/>
        <v>1008.3308284536977</v>
      </c>
      <c r="I38" s="182">
        <f t="shared" si="8"/>
        <v>1608.2742290175665</v>
      </c>
      <c r="J38" s="182">
        <f t="shared" si="8"/>
        <v>912.36169377575357</v>
      </c>
      <c r="K38" s="182">
        <f t="shared" si="8"/>
        <v>13209.630060724354</v>
      </c>
      <c r="O38" s="247"/>
      <c r="P38" s="273"/>
      <c r="Q38" s="273"/>
      <c r="R38" s="273"/>
      <c r="S38" s="273"/>
      <c r="T38" s="273"/>
      <c r="U38" s="273"/>
    </row>
    <row r="39" spans="1:21" ht="15" x14ac:dyDescent="0.25">
      <c r="A39" s="182" t="s">
        <v>84</v>
      </c>
      <c r="B39" s="214">
        <f>B15</f>
        <v>4159</v>
      </c>
      <c r="C39" s="182">
        <f t="shared" si="8"/>
        <v>7012.8442822793941</v>
      </c>
      <c r="D39" s="182">
        <f t="shared" si="8"/>
        <v>981.03413801394538</v>
      </c>
      <c r="E39" s="182">
        <f t="shared" si="8"/>
        <v>1327.2337605193557</v>
      </c>
      <c r="F39" s="182">
        <f t="shared" si="8"/>
        <v>975.77472228901172</v>
      </c>
      <c r="G39" s="182">
        <f t="shared" si="8"/>
        <v>2144.7957465736954</v>
      </c>
      <c r="H39" s="182">
        <f t="shared" si="8"/>
        <v>1337.9110411156528</v>
      </c>
      <c r="I39" s="182">
        <f t="shared" si="8"/>
        <v>1584.7245443616255</v>
      </c>
      <c r="J39" s="182">
        <f t="shared" si="8"/>
        <v>1052.0718153402258</v>
      </c>
      <c r="K39" s="182">
        <f t="shared" si="8"/>
        <v>16416.390050492908</v>
      </c>
      <c r="O39" s="247"/>
      <c r="P39" s="273"/>
      <c r="Q39" s="273"/>
      <c r="R39" s="273"/>
      <c r="S39" s="273"/>
      <c r="T39" s="273"/>
      <c r="U39" s="273"/>
    </row>
    <row r="40" spans="1:21" ht="15" x14ac:dyDescent="0.25">
      <c r="A40" s="182" t="s">
        <v>85</v>
      </c>
      <c r="B40" s="220">
        <f>B16</f>
        <v>1795</v>
      </c>
      <c r="C40" s="183">
        <f t="shared" si="8"/>
        <v>9314.956016713093</v>
      </c>
      <c r="D40" s="183">
        <f t="shared" si="8"/>
        <v>909.93261838440128</v>
      </c>
      <c r="E40" s="183">
        <f t="shared" si="8"/>
        <v>2968.6200724233981</v>
      </c>
      <c r="F40" s="183">
        <f t="shared" si="8"/>
        <v>741.48301949860729</v>
      </c>
      <c r="G40" s="183">
        <f t="shared" si="8"/>
        <v>3579.9671587743719</v>
      </c>
      <c r="H40" s="183">
        <f t="shared" si="8"/>
        <v>2129.2465292479114</v>
      </c>
      <c r="I40" s="183">
        <f t="shared" si="8"/>
        <v>2494.0014540389971</v>
      </c>
      <c r="J40" s="183">
        <f t="shared" si="8"/>
        <v>1089.3510584958217</v>
      </c>
      <c r="K40" s="183">
        <f t="shared" si="8"/>
        <v>23227.557927576599</v>
      </c>
      <c r="O40" s="247"/>
      <c r="P40" s="273"/>
      <c r="Q40" s="273"/>
      <c r="R40" s="273"/>
      <c r="S40" s="273"/>
      <c r="T40" s="273"/>
      <c r="U40" s="273"/>
    </row>
    <row r="41" spans="1:21" ht="15" x14ac:dyDescent="0.25">
      <c r="A41" s="182" t="s">
        <v>220</v>
      </c>
      <c r="B41" s="214">
        <f>SUM(B36:B40)</f>
        <v>38128</v>
      </c>
      <c r="C41" s="182">
        <f t="shared" si="8"/>
        <v>5969.535913501888</v>
      </c>
      <c r="D41" s="182">
        <f t="shared" si="8"/>
        <v>1101.2538082249264</v>
      </c>
      <c r="E41" s="182">
        <f t="shared" si="8"/>
        <v>719.94589933906843</v>
      </c>
      <c r="F41" s="182">
        <f t="shared" si="8"/>
        <v>728.88118862778015</v>
      </c>
      <c r="G41" s="182">
        <f t="shared" si="8"/>
        <v>1388.3947474297102</v>
      </c>
      <c r="H41" s="182">
        <f t="shared" si="8"/>
        <v>741.69376993285766</v>
      </c>
      <c r="I41" s="182">
        <f t="shared" si="8"/>
        <v>1291.2648245383971</v>
      </c>
      <c r="J41" s="182">
        <f t="shared" si="8"/>
        <v>1104.8125535039865</v>
      </c>
      <c r="K41" s="182">
        <f t="shared" si="8"/>
        <v>13045.782705098616</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10743</v>
      </c>
      <c r="C43" s="182">
        <f t="shared" ref="C43:K45" si="9">C19/$B43</f>
        <v>5878.9835306711329</v>
      </c>
      <c r="D43" s="182">
        <f t="shared" si="9"/>
        <v>633.27117099506665</v>
      </c>
      <c r="E43" s="182">
        <f t="shared" si="9"/>
        <v>592.11608303081073</v>
      </c>
      <c r="F43" s="182">
        <f t="shared" si="9"/>
        <v>661.72110025132633</v>
      </c>
      <c r="G43" s="182">
        <f t="shared" si="9"/>
        <v>1044.1312594247418</v>
      </c>
      <c r="H43" s="182">
        <f t="shared" si="9"/>
        <v>656.48684911104897</v>
      </c>
      <c r="I43" s="182">
        <f t="shared" si="9"/>
        <v>814.00747091129108</v>
      </c>
      <c r="J43" s="182">
        <f t="shared" si="9"/>
        <v>715.09194638369161</v>
      </c>
      <c r="K43" s="182">
        <f t="shared" si="9"/>
        <v>10995.809410779111</v>
      </c>
    </row>
    <row r="44" spans="1:21" x14ac:dyDescent="0.2">
      <c r="A44" s="182" t="s">
        <v>87</v>
      </c>
      <c r="B44" s="220">
        <f>B20</f>
        <v>7735</v>
      </c>
      <c r="C44" s="183">
        <f t="shared" si="9"/>
        <v>7727.0798901098906</v>
      </c>
      <c r="D44" s="183">
        <f t="shared" si="9"/>
        <v>618.66037879767293</v>
      </c>
      <c r="E44" s="183">
        <f t="shared" si="9"/>
        <v>1533.5040245636719</v>
      </c>
      <c r="F44" s="183">
        <f t="shared" si="9"/>
        <v>628.00244602456371</v>
      </c>
      <c r="G44" s="183">
        <f t="shared" si="9"/>
        <v>2029.9681900452488</v>
      </c>
      <c r="H44" s="183">
        <f t="shared" si="9"/>
        <v>1177.9907692307693</v>
      </c>
      <c r="I44" s="183">
        <f t="shared" si="9"/>
        <v>1467.3284744667096</v>
      </c>
      <c r="J44" s="183">
        <f t="shared" si="9"/>
        <v>882.53137685843581</v>
      </c>
      <c r="K44" s="183">
        <f t="shared" si="9"/>
        <v>16065.065550096964</v>
      </c>
    </row>
    <row r="45" spans="1:21" x14ac:dyDescent="0.2">
      <c r="A45" s="182" t="s">
        <v>221</v>
      </c>
      <c r="B45" s="214">
        <f>SUM(B43:B44)</f>
        <v>18478</v>
      </c>
      <c r="C45" s="182">
        <f t="shared" si="9"/>
        <v>6652.6075884836009</v>
      </c>
      <c r="D45" s="182">
        <f t="shared" si="9"/>
        <v>627.15500703539362</v>
      </c>
      <c r="E45" s="182">
        <f t="shared" si="9"/>
        <v>986.18663870548767</v>
      </c>
      <c r="F45" s="182">
        <f t="shared" si="9"/>
        <v>647.60627232384456</v>
      </c>
      <c r="G45" s="182">
        <f t="shared" si="9"/>
        <v>1456.8084246130534</v>
      </c>
      <c r="H45" s="182">
        <f t="shared" si="9"/>
        <v>874.79147202078138</v>
      </c>
      <c r="I45" s="182">
        <f t="shared" si="9"/>
        <v>1087.4915039506438</v>
      </c>
      <c r="J45" s="182">
        <f t="shared" si="9"/>
        <v>785.18308150232713</v>
      </c>
      <c r="K45" s="182">
        <f t="shared" si="9"/>
        <v>13117.829988635136</v>
      </c>
    </row>
    <row r="46" spans="1:21" x14ac:dyDescent="0.2">
      <c r="A46" s="182"/>
      <c r="B46" s="214"/>
      <c r="C46" s="182"/>
      <c r="D46" s="182"/>
      <c r="E46" s="182"/>
      <c r="F46" s="182"/>
      <c r="G46" s="182"/>
      <c r="H46" s="182"/>
      <c r="I46" s="182"/>
      <c r="J46" s="182"/>
      <c r="K46" s="182"/>
    </row>
    <row r="47" spans="1:21" ht="13.5" thickBot="1" x14ac:dyDescent="0.25">
      <c r="A47" s="182" t="s">
        <v>222</v>
      </c>
      <c r="B47" s="222">
        <f>B45+B41+B34</f>
        <v>152221</v>
      </c>
      <c r="C47" s="222">
        <f t="shared" ref="C47:K47" si="10">C23/$B47</f>
        <v>6061.9348076152428</v>
      </c>
      <c r="D47" s="222">
        <f t="shared" si="10"/>
        <v>1082.2758057035496</v>
      </c>
      <c r="E47" s="222">
        <f t="shared" si="10"/>
        <v>657.64888852392255</v>
      </c>
      <c r="F47" s="222">
        <f t="shared" si="10"/>
        <v>614.52752589984289</v>
      </c>
      <c r="G47" s="222">
        <f t="shared" si="10"/>
        <v>1115.2120939292215</v>
      </c>
      <c r="H47" s="222">
        <f t="shared" si="10"/>
        <v>622.05897996991212</v>
      </c>
      <c r="I47" s="222">
        <f t="shared" si="10"/>
        <v>793.16374803739313</v>
      </c>
      <c r="J47" s="222">
        <f t="shared" si="10"/>
        <v>821.82102843891448</v>
      </c>
      <c r="K47" s="222">
        <f t="shared" si="10"/>
        <v>11768.642878118</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FY2018</v>
      </c>
      <c r="D50" s="182"/>
      <c r="E50" s="182"/>
      <c r="F50" s="182"/>
      <c r="G50" s="182"/>
      <c r="H50" s="182"/>
      <c r="I50" s="182"/>
      <c r="J50" s="182"/>
      <c r="K50" s="182"/>
    </row>
    <row r="51" spans="1:11" ht="40.5" customHeight="1" x14ac:dyDescent="0.2">
      <c r="A51" s="21" t="s">
        <v>1207</v>
      </c>
      <c r="B51" s="21" t="str">
        <f>B3</f>
        <v>ANB18</v>
      </c>
      <c r="C51" s="21" t="str">
        <f t="shared" ref="C51:K51" si="11">C3</f>
        <v>18/Pupil Instruction</v>
      </c>
      <c r="D51" s="21" t="str">
        <f t="shared" si="11"/>
        <v>18/Pupil Student Services</v>
      </c>
      <c r="E51" s="21" t="str">
        <f t="shared" si="11"/>
        <v>18/Pupil General Admin</v>
      </c>
      <c r="F51" s="21" t="str">
        <f t="shared" si="11"/>
        <v>18/Pupil Bldg Admin</v>
      </c>
      <c r="G51" s="21" t="str">
        <f t="shared" si="11"/>
        <v>18/Pupil Bldg OM</v>
      </c>
      <c r="H51" s="21" t="str">
        <f t="shared" si="11"/>
        <v>18/Pupil Transport</v>
      </c>
      <c r="I51" s="21" t="str">
        <f t="shared" si="11"/>
        <v>18/Pupil Other</v>
      </c>
      <c r="J51" s="21" t="str">
        <f t="shared" si="11"/>
        <v>18/Pupil Bonds/ Facilities</v>
      </c>
      <c r="K51" s="21" t="str">
        <f t="shared" si="11"/>
        <v>18/Pupil Total</v>
      </c>
    </row>
    <row r="52" spans="1:11" x14ac:dyDescent="0.2">
      <c r="A52" s="182" t="s">
        <v>102</v>
      </c>
      <c r="B52" s="214">
        <f t="shared" ref="B52:B57" si="12">B4</f>
        <v>41164</v>
      </c>
      <c r="C52" s="191">
        <f t="shared" ref="C52:K58" si="13">C28/$K28</f>
        <v>0.55289610905551168</v>
      </c>
      <c r="D52" s="191">
        <f t="shared" si="13"/>
        <v>0.12747833397637376</v>
      </c>
      <c r="E52" s="191">
        <f t="shared" si="13"/>
        <v>3.3746395929115186E-2</v>
      </c>
      <c r="F52" s="191">
        <f t="shared" si="13"/>
        <v>5.2972390479607973E-2</v>
      </c>
      <c r="G52" s="191">
        <f t="shared" si="13"/>
        <v>7.4242805552782162E-2</v>
      </c>
      <c r="H52" s="191">
        <f t="shared" si="13"/>
        <v>4.244838542441505E-2</v>
      </c>
      <c r="I52" s="191">
        <f t="shared" si="13"/>
        <v>3.2215492220621519E-2</v>
      </c>
      <c r="J52" s="191">
        <f t="shared" si="13"/>
        <v>8.4000087361572592E-2</v>
      </c>
      <c r="K52" s="191">
        <f t="shared" si="13"/>
        <v>1</v>
      </c>
    </row>
    <row r="53" spans="1:11" x14ac:dyDescent="0.2">
      <c r="A53" s="182" t="s">
        <v>76</v>
      </c>
      <c r="B53" s="214">
        <f t="shared" si="12"/>
        <v>20520</v>
      </c>
      <c r="C53" s="191">
        <f t="shared" si="13"/>
        <v>0.52513230876123029</v>
      </c>
      <c r="D53" s="191">
        <f t="shared" si="13"/>
        <v>0.13375133197151226</v>
      </c>
      <c r="E53" s="191">
        <f t="shared" si="13"/>
        <v>4.2718576595439511E-2</v>
      </c>
      <c r="F53" s="191">
        <f t="shared" si="13"/>
        <v>5.5665964874371206E-2</v>
      </c>
      <c r="G53" s="191">
        <f t="shared" si="13"/>
        <v>8.6669852485689425E-2</v>
      </c>
      <c r="H53" s="191">
        <f t="shared" si="13"/>
        <v>4.4979695234533386E-2</v>
      </c>
      <c r="I53" s="191">
        <f t="shared" si="13"/>
        <v>4.996465417141157E-2</v>
      </c>
      <c r="J53" s="191">
        <f t="shared" si="13"/>
        <v>6.1117615905812342E-2</v>
      </c>
      <c r="K53" s="191">
        <f t="shared" si="13"/>
        <v>1</v>
      </c>
    </row>
    <row r="54" spans="1:11" x14ac:dyDescent="0.2">
      <c r="A54" s="182" t="s">
        <v>77</v>
      </c>
      <c r="B54" s="214">
        <f t="shared" si="12"/>
        <v>15370</v>
      </c>
      <c r="C54" s="191">
        <f t="shared" si="13"/>
        <v>0.55267162245579127</v>
      </c>
      <c r="D54" s="191">
        <f t="shared" si="13"/>
        <v>8.4578042654428157E-2</v>
      </c>
      <c r="E54" s="191">
        <f t="shared" si="13"/>
        <v>6.129957487579013E-2</v>
      </c>
      <c r="F54" s="191">
        <f t="shared" si="13"/>
        <v>5.6916397136505877E-2</v>
      </c>
      <c r="G54" s="191">
        <f t="shared" si="13"/>
        <v>8.9546355224584914E-2</v>
      </c>
      <c r="H54" s="191">
        <f t="shared" si="13"/>
        <v>4.8667050132550682E-2</v>
      </c>
      <c r="I54" s="191">
        <f t="shared" si="13"/>
        <v>5.9213025721414521E-2</v>
      </c>
      <c r="J54" s="191">
        <f t="shared" si="13"/>
        <v>4.7107931798934341E-2</v>
      </c>
      <c r="K54" s="191">
        <f t="shared" si="13"/>
        <v>1</v>
      </c>
    </row>
    <row r="55" spans="1:11" x14ac:dyDescent="0.2">
      <c r="A55" s="182" t="s">
        <v>78</v>
      </c>
      <c r="B55" s="214">
        <f t="shared" si="12"/>
        <v>12079</v>
      </c>
      <c r="C55" s="191">
        <f t="shared" si="13"/>
        <v>0.53686530614071692</v>
      </c>
      <c r="D55" s="191">
        <f t="shared" si="13"/>
        <v>6.1618913263027666E-2</v>
      </c>
      <c r="E55" s="191">
        <f t="shared" si="13"/>
        <v>7.8097543935351524E-2</v>
      </c>
      <c r="F55" s="191">
        <f t="shared" si="13"/>
        <v>4.2571800785117866E-2</v>
      </c>
      <c r="G55" s="191">
        <f t="shared" si="13"/>
        <v>9.8086510555494208E-2</v>
      </c>
      <c r="H55" s="191">
        <f t="shared" si="13"/>
        <v>5.2764490625934565E-2</v>
      </c>
      <c r="I55" s="191">
        <f t="shared" si="13"/>
        <v>7.427212749351704E-2</v>
      </c>
      <c r="J55" s="191">
        <f t="shared" si="13"/>
        <v>5.5723307200840212E-2</v>
      </c>
      <c r="K55" s="191">
        <f t="shared" si="13"/>
        <v>1</v>
      </c>
    </row>
    <row r="56" spans="1:11" x14ac:dyDescent="0.2">
      <c r="A56" s="182" t="s">
        <v>79</v>
      </c>
      <c r="B56" s="214">
        <f t="shared" si="12"/>
        <v>5086</v>
      </c>
      <c r="C56" s="191">
        <f t="shared" si="13"/>
        <v>0.52877137417672582</v>
      </c>
      <c r="D56" s="191">
        <f t="shared" si="13"/>
        <v>4.5405116237821459E-2</v>
      </c>
      <c r="E56" s="191">
        <f t="shared" si="13"/>
        <v>9.5602570306652354E-2</v>
      </c>
      <c r="F56" s="191">
        <f t="shared" si="13"/>
        <v>4.0378903156463204E-2</v>
      </c>
      <c r="G56" s="191">
        <f t="shared" si="13"/>
        <v>0.10305305022352346</v>
      </c>
      <c r="H56" s="191">
        <f t="shared" si="13"/>
        <v>7.1037512845640638E-2</v>
      </c>
      <c r="I56" s="191">
        <f t="shared" si="13"/>
        <v>7.5988461237814497E-2</v>
      </c>
      <c r="J56" s="191">
        <f t="shared" si="13"/>
        <v>3.9763011815358712E-2</v>
      </c>
      <c r="K56" s="191">
        <f t="shared" si="13"/>
        <v>1</v>
      </c>
    </row>
    <row r="57" spans="1:11" x14ac:dyDescent="0.2">
      <c r="A57" s="182" t="s">
        <v>80</v>
      </c>
      <c r="B57" s="220">
        <f t="shared" si="12"/>
        <v>1396</v>
      </c>
      <c r="C57" s="193">
        <f t="shared" si="13"/>
        <v>0.59947985171348805</v>
      </c>
      <c r="D57" s="193">
        <f t="shared" si="13"/>
        <v>1.9354610518284868E-2</v>
      </c>
      <c r="E57" s="193">
        <f t="shared" si="13"/>
        <v>0.12308671560013741</v>
      </c>
      <c r="F57" s="193">
        <f t="shared" si="13"/>
        <v>9.049193812367972E-3</v>
      </c>
      <c r="G57" s="193">
        <f t="shared" si="13"/>
        <v>0.13086896513258398</v>
      </c>
      <c r="H57" s="193">
        <f t="shared" si="13"/>
        <v>6.9083701164524683E-2</v>
      </c>
      <c r="I57" s="193">
        <f t="shared" si="13"/>
        <v>3.7702176352964613E-2</v>
      </c>
      <c r="J57" s="193">
        <f t="shared" si="13"/>
        <v>1.1374785705648531E-2</v>
      </c>
      <c r="K57" s="193">
        <f t="shared" si="13"/>
        <v>1</v>
      </c>
    </row>
    <row r="58" spans="1:11" x14ac:dyDescent="0.2">
      <c r="A58" s="182" t="s">
        <v>219</v>
      </c>
      <c r="B58" s="214">
        <f>SUM(B52:B57)</f>
        <v>95615</v>
      </c>
      <c r="C58" s="191">
        <f t="shared" si="13"/>
        <v>0.54412521967247729</v>
      </c>
      <c r="D58" s="191">
        <f t="shared" si="13"/>
        <v>0.10570974253692828</v>
      </c>
      <c r="E58" s="191">
        <f t="shared" si="13"/>
        <v>5.1762430548922156E-2</v>
      </c>
      <c r="F58" s="191">
        <f t="shared" si="13"/>
        <v>5.1145891133713713E-2</v>
      </c>
      <c r="G58" s="191">
        <f t="shared" si="13"/>
        <v>8.5488965659642924E-2</v>
      </c>
      <c r="H58" s="191">
        <f t="shared" si="13"/>
        <v>4.7779699392417177E-2</v>
      </c>
      <c r="I58" s="191">
        <f t="shared" si="13"/>
        <v>4.8884097735356423E-2</v>
      </c>
      <c r="J58" s="191">
        <f t="shared" si="13"/>
        <v>6.5103953320542002E-2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20375</v>
      </c>
      <c r="C60" s="191">
        <f t="shared" ref="C60:K65" si="14">C36/$K36</f>
        <v>0.49547846584952088</v>
      </c>
      <c r="D60" s="191">
        <f t="shared" si="14"/>
        <v>0.10415730853882582</v>
      </c>
      <c r="E60" s="191">
        <f t="shared" si="14"/>
        <v>3.6632021515904452E-2</v>
      </c>
      <c r="F60" s="191">
        <f t="shared" si="14"/>
        <v>5.5397950114754381E-2</v>
      </c>
      <c r="G60" s="191">
        <f t="shared" si="14"/>
        <v>9.0719640265146714E-2</v>
      </c>
      <c r="H60" s="191">
        <f t="shared" si="14"/>
        <v>3.939024779790766E-2</v>
      </c>
      <c r="I60" s="191">
        <f t="shared" si="14"/>
        <v>8.6503185104566047E-2</v>
      </c>
      <c r="J60" s="191">
        <f t="shared" si="14"/>
        <v>9.1721180813374145E-2</v>
      </c>
      <c r="K60" s="191">
        <f t="shared" si="14"/>
        <v>1</v>
      </c>
    </row>
    <row r="61" spans="1:11" x14ac:dyDescent="0.2">
      <c r="A61" s="182" t="s">
        <v>82</v>
      </c>
      <c r="B61" s="214">
        <f>B37</f>
        <v>7188</v>
      </c>
      <c r="C61" s="191">
        <f t="shared" si="14"/>
        <v>0.43100511914938111</v>
      </c>
      <c r="D61" s="191">
        <f t="shared" si="14"/>
        <v>8.5243045961557407E-2</v>
      </c>
      <c r="E61" s="191">
        <f t="shared" si="14"/>
        <v>4.6497459381689893E-2</v>
      </c>
      <c r="F61" s="191">
        <f t="shared" si="14"/>
        <v>5.8531110851395882E-2</v>
      </c>
      <c r="G61" s="191">
        <f t="shared" si="14"/>
        <v>0.10083763419040631</v>
      </c>
      <c r="H61" s="191">
        <f t="shared" si="14"/>
        <v>5.4467482271486609E-2</v>
      </c>
      <c r="I61" s="191">
        <f t="shared" si="14"/>
        <v>0.11383363478158605</v>
      </c>
      <c r="J61" s="191">
        <f t="shared" si="14"/>
        <v>0.10958451341249653</v>
      </c>
      <c r="K61" s="191">
        <f t="shared" si="14"/>
        <v>1</v>
      </c>
    </row>
    <row r="62" spans="1:11" x14ac:dyDescent="0.2">
      <c r="A62" s="182" t="s">
        <v>83</v>
      </c>
      <c r="B62" s="214">
        <f>B38</f>
        <v>4611</v>
      </c>
      <c r="C62" s="191">
        <f t="shared" si="14"/>
        <v>0.42419978039781786</v>
      </c>
      <c r="D62" s="191">
        <f t="shared" si="14"/>
        <v>6.5630545327754655E-2</v>
      </c>
      <c r="E62" s="191">
        <f t="shared" si="14"/>
        <v>6.1338389051403763E-2</v>
      </c>
      <c r="F62" s="191">
        <f t="shared" si="14"/>
        <v>6.6087687355865676E-2</v>
      </c>
      <c r="G62" s="191">
        <f t="shared" si="14"/>
        <v>0.11559253193840448</v>
      </c>
      <c r="H62" s="191">
        <f t="shared" si="14"/>
        <v>7.6333010373373436E-2</v>
      </c>
      <c r="I62" s="191">
        <f t="shared" si="14"/>
        <v>0.12175013392686762</v>
      </c>
      <c r="J62" s="191">
        <f t="shared" si="14"/>
        <v>6.906792162851258E-2</v>
      </c>
      <c r="K62" s="191">
        <f t="shared" si="14"/>
        <v>1</v>
      </c>
    </row>
    <row r="63" spans="1:11" x14ac:dyDescent="0.2">
      <c r="A63" s="182" t="s">
        <v>84</v>
      </c>
      <c r="B63" s="214">
        <f>B39</f>
        <v>4159</v>
      </c>
      <c r="C63" s="191">
        <f t="shared" si="14"/>
        <v>0.42718552987042552</v>
      </c>
      <c r="D63" s="191">
        <f t="shared" si="14"/>
        <v>5.9759431580056144E-2</v>
      </c>
      <c r="E63" s="191">
        <f t="shared" si="14"/>
        <v>8.0848088796446754E-2</v>
      </c>
      <c r="F63" s="191">
        <f t="shared" si="14"/>
        <v>5.9439055680801989E-2</v>
      </c>
      <c r="G63" s="191">
        <f t="shared" si="14"/>
        <v>0.13064965805373863</v>
      </c>
      <c r="H63" s="191">
        <f t="shared" si="14"/>
        <v>8.1498492482242252E-2</v>
      </c>
      <c r="I63" s="191">
        <f t="shared" si="14"/>
        <v>9.6533070881441654E-2</v>
      </c>
      <c r="J63" s="191">
        <f t="shared" si="14"/>
        <v>6.408667265484698E-2</v>
      </c>
      <c r="K63" s="191">
        <f t="shared" si="14"/>
        <v>1</v>
      </c>
    </row>
    <row r="64" spans="1:11" x14ac:dyDescent="0.2">
      <c r="A64" s="182" t="s">
        <v>85</v>
      </c>
      <c r="B64" s="220">
        <f>B40</f>
        <v>1795</v>
      </c>
      <c r="C64" s="193">
        <f t="shared" si="14"/>
        <v>0.40103036426631999</v>
      </c>
      <c r="D64" s="193">
        <f t="shared" si="14"/>
        <v>3.9174700208328674E-2</v>
      </c>
      <c r="E64" s="193">
        <f t="shared" si="14"/>
        <v>0.12780594850649127</v>
      </c>
      <c r="F64" s="193">
        <f t="shared" si="14"/>
        <v>3.1922556034971364E-2</v>
      </c>
      <c r="G64" s="193">
        <f t="shared" si="14"/>
        <v>0.15412585214238581</v>
      </c>
      <c r="H64" s="193">
        <f t="shared" si="14"/>
        <v>9.1668979403124976E-2</v>
      </c>
      <c r="I64" s="193">
        <f t="shared" si="14"/>
        <v>0.10737252111544744</v>
      </c>
      <c r="J64" s="193">
        <f t="shared" si="14"/>
        <v>4.6899078322930568E-2</v>
      </c>
      <c r="K64" s="193">
        <f t="shared" si="14"/>
        <v>1</v>
      </c>
    </row>
    <row r="65" spans="1:11" x14ac:dyDescent="0.2">
      <c r="A65" s="182" t="s">
        <v>220</v>
      </c>
      <c r="B65" s="214">
        <f>SUM(B60:B64)</f>
        <v>38128</v>
      </c>
      <c r="C65" s="191">
        <f t="shared" si="14"/>
        <v>0.45758357688794288</v>
      </c>
      <c r="D65" s="191">
        <f t="shared" si="14"/>
        <v>8.4414544770435973E-2</v>
      </c>
      <c r="E65" s="191">
        <f t="shared" si="14"/>
        <v>5.5186102330042314E-2</v>
      </c>
      <c r="F65" s="191">
        <f t="shared" si="14"/>
        <v>5.5871020168296627E-2</v>
      </c>
      <c r="G65" s="191">
        <f t="shared" si="14"/>
        <v>0.10642479480262161</v>
      </c>
      <c r="H65" s="191">
        <f t="shared" si="14"/>
        <v>5.6853144552452592E-2</v>
      </c>
      <c r="I65" s="191">
        <f t="shared" si="14"/>
        <v>9.8979482774440103E-2</v>
      </c>
      <c r="J65" s="191">
        <f t="shared" si="14"/>
        <v>8.4687333713767771E-2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10743</v>
      </c>
      <c r="C67" s="191">
        <f t="shared" ref="C67:K69" si="15">C43/$K43</f>
        <v>0.53465673249192625</v>
      </c>
      <c r="D67" s="191">
        <f t="shared" si="15"/>
        <v>5.7592046873263879E-2</v>
      </c>
      <c r="E67" s="191">
        <f t="shared" si="15"/>
        <v>5.3849249374071879E-2</v>
      </c>
      <c r="F67" s="191">
        <f t="shared" si="15"/>
        <v>6.0179389759397427E-2</v>
      </c>
      <c r="G67" s="191">
        <f t="shared" si="15"/>
        <v>9.4957198730744416E-2</v>
      </c>
      <c r="H67" s="191">
        <f t="shared" si="15"/>
        <v>5.9703367399902341E-2</v>
      </c>
      <c r="I67" s="191">
        <f t="shared" si="15"/>
        <v>7.4028881413070471E-2</v>
      </c>
      <c r="J67" s="191">
        <f t="shared" si="15"/>
        <v>6.5033133957623182E-2</v>
      </c>
      <c r="K67" s="191">
        <f t="shared" si="15"/>
        <v>1</v>
      </c>
    </row>
    <row r="68" spans="1:11" x14ac:dyDescent="0.2">
      <c r="A68" s="182" t="s">
        <v>87</v>
      </c>
      <c r="B68" s="220">
        <f>B44</f>
        <v>7735</v>
      </c>
      <c r="C68" s="193">
        <f t="shared" si="15"/>
        <v>0.48098651487066307</v>
      </c>
      <c r="D68" s="193">
        <f t="shared" si="15"/>
        <v>3.8509670369439537E-2</v>
      </c>
      <c r="E68" s="193">
        <f t="shared" si="15"/>
        <v>9.545582119049717E-2</v>
      </c>
      <c r="F68" s="193">
        <f t="shared" si="15"/>
        <v>3.9091184786405886E-2</v>
      </c>
      <c r="G68" s="193">
        <f t="shared" si="15"/>
        <v>0.12635916011142553</v>
      </c>
      <c r="H68" s="193">
        <f t="shared" si="15"/>
        <v>7.3326234839026797E-2</v>
      </c>
      <c r="I68" s="193">
        <f t="shared" si="15"/>
        <v>9.1336600519370634E-2</v>
      </c>
      <c r="J68" s="193">
        <f t="shared" si="15"/>
        <v>5.4934813313171266E-2</v>
      </c>
      <c r="K68" s="193">
        <f t="shared" si="15"/>
        <v>1</v>
      </c>
    </row>
    <row r="69" spans="1:11" x14ac:dyDescent="0.2">
      <c r="A69" s="182" t="s">
        <v>221</v>
      </c>
      <c r="B69" s="214">
        <f>SUM(B67:B68)</f>
        <v>18478</v>
      </c>
      <c r="C69" s="191">
        <f t="shared" si="15"/>
        <v>0.5071423851541913</v>
      </c>
      <c r="D69" s="191">
        <f t="shared" si="15"/>
        <v>4.7809356240989587E-2</v>
      </c>
      <c r="E69" s="191">
        <f t="shared" si="15"/>
        <v>7.5179098948521816E-2</v>
      </c>
      <c r="F69" s="191">
        <f t="shared" si="15"/>
        <v>4.9368399566461045E-2</v>
      </c>
      <c r="G69" s="191">
        <f t="shared" si="15"/>
        <v>0.11105559577118967</v>
      </c>
      <c r="H69" s="191">
        <f t="shared" si="15"/>
        <v>6.6687209148058216E-2</v>
      </c>
      <c r="I69" s="191">
        <f t="shared" si="15"/>
        <v>8.2901783670989132E-2</v>
      </c>
      <c r="J69" s="191">
        <f t="shared" si="15"/>
        <v>5.9856171499598973E-2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152221</v>
      </c>
      <c r="C71" s="195">
        <f t="shared" ref="C71:K71" si="16">C47/$K47</f>
        <v>0.5150920858416469</v>
      </c>
      <c r="D71" s="195">
        <f t="shared" si="16"/>
        <v>9.1962668670648229E-2</v>
      </c>
      <c r="E71" s="195">
        <f t="shared" si="16"/>
        <v>5.5881455095108758E-2</v>
      </c>
      <c r="F71" s="195">
        <f t="shared" si="16"/>
        <v>5.221736544002565E-2</v>
      </c>
      <c r="G71" s="195">
        <f t="shared" si="16"/>
        <v>9.4761316617295657E-2</v>
      </c>
      <c r="H71" s="195">
        <f t="shared" si="16"/>
        <v>5.285732487698612E-2</v>
      </c>
      <c r="I71" s="195">
        <f t="shared" si="16"/>
        <v>6.7396364750957005E-2</v>
      </c>
      <c r="J71" s="195">
        <f t="shared" si="16"/>
        <v>6.983141870733163E-2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X75"/>
  <sheetViews>
    <sheetView zoomScaleNormal="100" workbookViewId="0">
      <selection activeCell="N5" sqref="N5"/>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710937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1341</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tr">
        <f>"ANB"&amp;RIGHT(D1,2)</f>
        <v>ANB18</v>
      </c>
      <c r="C3" s="12" t="str">
        <f>RIGHT(D1,2)&amp;"/Pupil Instruction"</f>
        <v>18/Pupil Instruction</v>
      </c>
      <c r="D3" s="12" t="str">
        <f>RIGHT(D1,2)&amp;"/Pupil Student Services"</f>
        <v>18/Pupil Student Services</v>
      </c>
      <c r="E3" s="12" t="str">
        <f>RIGHT(D1,2)&amp;"/Pupil General Admin"</f>
        <v>18/Pupil General Admin</v>
      </c>
      <c r="F3" s="12" t="str">
        <f>RIGHT(D1,2)&amp;"/Pupil Bldg Admin"</f>
        <v>18/Pupil Bldg Admin</v>
      </c>
      <c r="G3" s="12" t="str">
        <f>RIGHT(D1,2)&amp;"/Pupil Bldg OM"</f>
        <v>18/Pupil Bldg OM</v>
      </c>
      <c r="H3" s="12" t="str">
        <f>RIGHT(D1,2)&amp;"/Pupil Transport"</f>
        <v>18/Pupil Transport</v>
      </c>
      <c r="I3" s="12" t="str">
        <f>RIGHT(D1,2)&amp;"/Pupil Other"</f>
        <v>18/Pupil Other</v>
      </c>
      <c r="J3" s="12" t="str">
        <f>RIGHT(D1,2)&amp;"/Pupil Bonds/ Facilities"</f>
        <v>18/Pupil Bonds/ Facilities</v>
      </c>
      <c r="K3" s="12" t="str">
        <f>RIGHT(D1,2)&amp;"/Pupil Total"</f>
        <v>18/Pupil Total</v>
      </c>
    </row>
    <row r="4" spans="1:24" ht="15" x14ac:dyDescent="0.25">
      <c r="A4" s="33" t="s">
        <v>102</v>
      </c>
      <c r="B4" s="214">
        <v>40904</v>
      </c>
      <c r="C4" s="214">
        <v>230549495.57999998</v>
      </c>
      <c r="D4" s="214">
        <v>52531093.090000011</v>
      </c>
      <c r="E4" s="214">
        <v>14681211.699999997</v>
      </c>
      <c r="F4" s="214">
        <v>22043006.350000001</v>
      </c>
      <c r="G4" s="214">
        <v>31533094.270000003</v>
      </c>
      <c r="H4" s="214">
        <v>17604224.199999999</v>
      </c>
      <c r="I4" s="214">
        <v>13891884.090000002</v>
      </c>
      <c r="J4" s="214">
        <v>19108809.57</v>
      </c>
      <c r="K4" s="214">
        <f t="shared" ref="K4:K9" si="0">SUM(C4:J4)</f>
        <v>401942818.84999996</v>
      </c>
      <c r="N4" s="214"/>
      <c r="O4" s="294"/>
      <c r="P4" s="293"/>
      <c r="Q4" s="293"/>
      <c r="R4" s="293"/>
      <c r="S4" s="293"/>
      <c r="T4" s="293"/>
      <c r="U4" s="293"/>
      <c r="V4" s="293"/>
      <c r="W4" s="293"/>
      <c r="X4" s="293"/>
    </row>
    <row r="5" spans="1:24" ht="15" x14ac:dyDescent="0.25">
      <c r="A5" s="33" t="s">
        <v>76</v>
      </c>
      <c r="B5" s="214">
        <v>20549</v>
      </c>
      <c r="C5" s="214">
        <v>117332816.09</v>
      </c>
      <c r="D5" s="214">
        <v>27553389.300000001</v>
      </c>
      <c r="E5" s="214">
        <v>9699574.8300000001</v>
      </c>
      <c r="F5" s="214">
        <v>12600333.93</v>
      </c>
      <c r="G5" s="214">
        <v>18566132.630000003</v>
      </c>
      <c r="H5" s="214">
        <v>9461105</v>
      </c>
      <c r="I5" s="214">
        <v>11026882.089999998</v>
      </c>
      <c r="J5" s="214">
        <v>14961700.82</v>
      </c>
      <c r="K5" s="214">
        <f t="shared" si="0"/>
        <v>221201934.69000003</v>
      </c>
      <c r="N5" s="214"/>
      <c r="O5" s="294"/>
      <c r="P5" s="293"/>
      <c r="Q5" s="293"/>
      <c r="R5" s="293"/>
      <c r="S5" s="293"/>
      <c r="T5" s="293"/>
      <c r="U5" s="293"/>
      <c r="V5" s="293"/>
      <c r="W5" s="293"/>
      <c r="X5" s="293"/>
    </row>
    <row r="6" spans="1:24" ht="15" x14ac:dyDescent="0.25">
      <c r="A6" s="33" t="s">
        <v>77</v>
      </c>
      <c r="B6" s="214">
        <v>15272</v>
      </c>
      <c r="C6" s="214">
        <v>90956715.769999996</v>
      </c>
      <c r="D6" s="214">
        <v>14537504.229999999</v>
      </c>
      <c r="E6" s="214">
        <v>10265266.17</v>
      </c>
      <c r="F6" s="214">
        <v>9420588.8599999957</v>
      </c>
      <c r="G6" s="214">
        <v>15367597.369999999</v>
      </c>
      <c r="H6" s="214">
        <v>7082532.3599999994</v>
      </c>
      <c r="I6" s="214">
        <v>9575349.75</v>
      </c>
      <c r="J6" s="214">
        <v>11530247.840000002</v>
      </c>
      <c r="K6" s="214">
        <f t="shared" si="0"/>
        <v>168735802.34999999</v>
      </c>
      <c r="N6" s="214"/>
      <c r="O6" s="294"/>
      <c r="P6" s="293"/>
      <c r="Q6" s="293"/>
      <c r="R6" s="293"/>
      <c r="S6" s="293"/>
      <c r="T6" s="293"/>
      <c r="U6" s="293"/>
      <c r="V6" s="293"/>
      <c r="W6" s="293"/>
      <c r="X6" s="293"/>
    </row>
    <row r="7" spans="1:24" ht="15" x14ac:dyDescent="0.25">
      <c r="A7" s="33" t="s">
        <v>78</v>
      </c>
      <c r="B7" s="214">
        <v>12245</v>
      </c>
      <c r="C7" s="214">
        <v>74235900.909999982</v>
      </c>
      <c r="D7" s="214">
        <v>8671657.4900000002</v>
      </c>
      <c r="E7" s="214">
        <v>11353723.369999999</v>
      </c>
      <c r="F7" s="214">
        <v>5727169.620000001</v>
      </c>
      <c r="G7" s="214">
        <v>14022892.789999997</v>
      </c>
      <c r="H7" s="214">
        <v>7787531.370000002</v>
      </c>
      <c r="I7" s="214">
        <v>10124590.570000002</v>
      </c>
      <c r="J7" s="214">
        <v>7226994.4400000004</v>
      </c>
      <c r="K7" s="214">
        <f t="shared" si="0"/>
        <v>139150460.56</v>
      </c>
      <c r="N7" s="214"/>
      <c r="O7" s="294"/>
      <c r="P7" s="293"/>
      <c r="Q7" s="293"/>
      <c r="R7" s="293"/>
      <c r="S7" s="293"/>
      <c r="T7" s="293"/>
      <c r="U7" s="293"/>
      <c r="V7" s="293"/>
      <c r="W7" s="293"/>
      <c r="X7" s="293"/>
    </row>
    <row r="8" spans="1:24" ht="15" x14ac:dyDescent="0.25">
      <c r="A8" s="33" t="s">
        <v>79</v>
      </c>
      <c r="B8" s="214">
        <v>4891</v>
      </c>
      <c r="C8" s="214">
        <v>32761323.77</v>
      </c>
      <c r="D8" s="214">
        <v>2500338.5599999991</v>
      </c>
      <c r="E8" s="214">
        <v>6199585.6499999985</v>
      </c>
      <c r="F8" s="214">
        <v>2562395.4499999997</v>
      </c>
      <c r="G8" s="214">
        <v>6974676.4099999992</v>
      </c>
      <c r="H8" s="214">
        <v>4469409.8</v>
      </c>
      <c r="I8" s="214">
        <v>5104843.3400000017</v>
      </c>
      <c r="J8" s="214">
        <v>2973820.31</v>
      </c>
      <c r="K8" s="214">
        <f t="shared" si="0"/>
        <v>63546393.289999999</v>
      </c>
      <c r="N8" s="214"/>
      <c r="O8" s="294"/>
      <c r="P8" s="293"/>
      <c r="Q8" s="293"/>
      <c r="R8" s="293"/>
      <c r="S8" s="293"/>
      <c r="T8" s="293"/>
      <c r="U8" s="293"/>
      <c r="V8" s="293"/>
      <c r="W8" s="293"/>
      <c r="X8" s="293"/>
    </row>
    <row r="9" spans="1:24" ht="15" x14ac:dyDescent="0.25">
      <c r="A9" s="33" t="s">
        <v>80</v>
      </c>
      <c r="B9" s="220">
        <v>1519</v>
      </c>
      <c r="C9" s="220">
        <v>14320888.529999999</v>
      </c>
      <c r="D9" s="220">
        <v>973310.42</v>
      </c>
      <c r="E9" s="220">
        <v>3181931.7400000007</v>
      </c>
      <c r="F9" s="220">
        <v>409071.43000000005</v>
      </c>
      <c r="G9" s="220">
        <v>3157634.67</v>
      </c>
      <c r="H9" s="220">
        <v>1644503.83</v>
      </c>
      <c r="I9" s="220">
        <v>903942.39000000013</v>
      </c>
      <c r="J9" s="220">
        <v>339457.72</v>
      </c>
      <c r="K9" s="220">
        <f t="shared" si="0"/>
        <v>24930740.729999997</v>
      </c>
      <c r="N9" s="214"/>
      <c r="O9" s="294"/>
      <c r="P9" s="293"/>
      <c r="Q9" s="293"/>
      <c r="R9" s="293"/>
      <c r="S9" s="293"/>
      <c r="T9" s="293"/>
      <c r="U9" s="293"/>
      <c r="V9" s="293"/>
      <c r="W9" s="293"/>
      <c r="X9" s="293"/>
    </row>
    <row r="10" spans="1:24" x14ac:dyDescent="0.2">
      <c r="A10" s="182" t="s">
        <v>103</v>
      </c>
      <c r="B10" s="214">
        <f t="shared" ref="B10:K10" si="1">SUM(B4:B9)</f>
        <v>95380</v>
      </c>
      <c r="C10" s="214">
        <f t="shared" si="1"/>
        <v>560157140.64999986</v>
      </c>
      <c r="D10" s="214">
        <f t="shared" si="1"/>
        <v>106767293.09000002</v>
      </c>
      <c r="E10" s="214">
        <f t="shared" si="1"/>
        <v>55381293.459999993</v>
      </c>
      <c r="F10" s="214">
        <f t="shared" si="1"/>
        <v>52762565.640000008</v>
      </c>
      <c r="G10" s="214">
        <f t="shared" si="1"/>
        <v>89622028.140000001</v>
      </c>
      <c r="H10" s="214">
        <f t="shared" si="1"/>
        <v>48049306.560000002</v>
      </c>
      <c r="I10" s="214">
        <f t="shared" si="1"/>
        <v>50627492.230000004</v>
      </c>
      <c r="J10" s="214">
        <f t="shared" si="1"/>
        <v>56141030.700000003</v>
      </c>
      <c r="K10" s="214">
        <f t="shared" si="1"/>
        <v>1019508150.47</v>
      </c>
      <c r="N10" s="214"/>
    </row>
    <row r="11" spans="1:24" x14ac:dyDescent="0.2">
      <c r="A11" s="33"/>
      <c r="B11" s="214"/>
      <c r="C11" s="214"/>
      <c r="D11" s="214"/>
      <c r="E11" s="214"/>
      <c r="F11" s="214"/>
      <c r="G11" s="214"/>
      <c r="H11" s="214"/>
      <c r="I11" s="214"/>
      <c r="J11" s="214"/>
      <c r="K11" s="182"/>
      <c r="N11" s="214"/>
    </row>
    <row r="12" spans="1:24" ht="15" x14ac:dyDescent="0.25">
      <c r="A12" s="33" t="s">
        <v>81</v>
      </c>
      <c r="B12" s="214">
        <v>21519</v>
      </c>
      <c r="C12" s="214">
        <v>122565777.93000001</v>
      </c>
      <c r="D12" s="214">
        <v>24260493.550000004</v>
      </c>
      <c r="E12" s="214">
        <v>9095920.5900000017</v>
      </c>
      <c r="F12" s="214">
        <v>13851218.940000001</v>
      </c>
      <c r="G12" s="214">
        <v>24848673.419999998</v>
      </c>
      <c r="H12" s="214">
        <v>9467887.0899999999</v>
      </c>
      <c r="I12" s="214">
        <v>20727881.309999999</v>
      </c>
      <c r="J12" s="214">
        <v>11248948.030000001</v>
      </c>
      <c r="K12" s="214">
        <f>SUM(C12:J12)</f>
        <v>236066800.86000001</v>
      </c>
      <c r="N12" s="214"/>
      <c r="O12" s="294"/>
      <c r="P12" s="293"/>
      <c r="Q12" s="293"/>
      <c r="R12" s="293"/>
      <c r="S12" s="293"/>
      <c r="T12" s="293"/>
      <c r="U12" s="293"/>
      <c r="V12" s="293"/>
      <c r="W12" s="293"/>
      <c r="X12" s="293"/>
    </row>
    <row r="13" spans="1:24" ht="15" x14ac:dyDescent="0.25">
      <c r="A13" s="33" t="s">
        <v>82</v>
      </c>
      <c r="B13" s="214">
        <v>5945</v>
      </c>
      <c r="C13" s="214">
        <v>31978688.350000001</v>
      </c>
      <c r="D13" s="214">
        <v>6238648.6399999997</v>
      </c>
      <c r="E13" s="214">
        <v>3759975.4399999995</v>
      </c>
      <c r="F13" s="214">
        <v>4315999.87</v>
      </c>
      <c r="G13" s="214">
        <v>7196373.830000001</v>
      </c>
      <c r="H13" s="214">
        <v>4304840.53</v>
      </c>
      <c r="I13" s="214">
        <v>8181654.9699999997</v>
      </c>
      <c r="J13" s="214">
        <v>6920601.3600000003</v>
      </c>
      <c r="K13" s="214">
        <f>SUM(C13:J13)</f>
        <v>72896782.989999995</v>
      </c>
      <c r="N13" s="214"/>
      <c r="O13" s="294"/>
      <c r="P13" s="293"/>
      <c r="Q13" s="293"/>
      <c r="R13" s="293"/>
      <c r="S13" s="293"/>
      <c r="T13" s="293"/>
      <c r="U13" s="293"/>
      <c r="V13" s="293"/>
      <c r="W13" s="293"/>
      <c r="X13" s="293"/>
    </row>
    <row r="14" spans="1:24" ht="15" x14ac:dyDescent="0.25">
      <c r="A14" s="33" t="s">
        <v>83</v>
      </c>
      <c r="B14" s="214">
        <v>4371</v>
      </c>
      <c r="C14" s="214">
        <v>24468812.520000003</v>
      </c>
      <c r="D14" s="214">
        <v>3503448.08</v>
      </c>
      <c r="E14" s="214">
        <v>3437227.5200000005</v>
      </c>
      <c r="F14" s="214">
        <v>3805533.52</v>
      </c>
      <c r="G14" s="214">
        <v>6240597.1299999999</v>
      </c>
      <c r="H14" s="214">
        <v>4334649.43</v>
      </c>
      <c r="I14" s="214">
        <v>6432078.1099999994</v>
      </c>
      <c r="J14" s="214">
        <v>3987092.08</v>
      </c>
      <c r="K14" s="214">
        <f>SUM(C14:J14)</f>
        <v>56209438.390000001</v>
      </c>
      <c r="N14" s="214"/>
      <c r="O14" s="294"/>
      <c r="P14" s="293"/>
      <c r="Q14" s="293"/>
      <c r="R14" s="293"/>
      <c r="S14" s="293"/>
      <c r="T14" s="293"/>
      <c r="U14" s="293"/>
      <c r="V14" s="293"/>
      <c r="W14" s="293"/>
      <c r="X14" s="293"/>
    </row>
    <row r="15" spans="1:24" ht="15" x14ac:dyDescent="0.25">
      <c r="A15" s="33" t="s">
        <v>84</v>
      </c>
      <c r="B15" s="214">
        <v>4839</v>
      </c>
      <c r="C15" s="214">
        <v>34243391.20000001</v>
      </c>
      <c r="D15" s="214">
        <v>4460771.669999999</v>
      </c>
      <c r="E15" s="214">
        <v>6206692.5699999994</v>
      </c>
      <c r="F15" s="214">
        <v>4199639.6700000009</v>
      </c>
      <c r="G15" s="214">
        <v>10609787.170000002</v>
      </c>
      <c r="H15" s="214">
        <v>6165358.620000001</v>
      </c>
      <c r="I15" s="214">
        <v>7225100.1599999992</v>
      </c>
      <c r="J15" s="214">
        <v>3515384.2899999996</v>
      </c>
      <c r="K15" s="214">
        <f>SUM(C15:J15)</f>
        <v>76626125.350000024</v>
      </c>
      <c r="N15" s="214"/>
      <c r="O15" s="294"/>
      <c r="P15" s="293"/>
      <c r="Q15" s="293"/>
      <c r="R15" s="293"/>
      <c r="S15" s="293"/>
      <c r="T15" s="293"/>
      <c r="U15" s="293"/>
      <c r="V15" s="293"/>
      <c r="W15" s="293"/>
      <c r="X15" s="293"/>
    </row>
    <row r="16" spans="1:24" ht="15" x14ac:dyDescent="0.25">
      <c r="A16" s="33" t="s">
        <v>85</v>
      </c>
      <c r="B16" s="220">
        <v>1571</v>
      </c>
      <c r="C16" s="220">
        <v>14887343.999999996</v>
      </c>
      <c r="D16" s="220">
        <v>1292035.3800000001</v>
      </c>
      <c r="E16" s="220">
        <v>4931224.09</v>
      </c>
      <c r="F16" s="220">
        <v>1142668.1300000001</v>
      </c>
      <c r="G16" s="220">
        <v>5515283.0100000016</v>
      </c>
      <c r="H16" s="220">
        <v>3231346.6500000004</v>
      </c>
      <c r="I16" s="220">
        <v>4185342.4400000004</v>
      </c>
      <c r="J16" s="220">
        <v>2040206.87</v>
      </c>
      <c r="K16" s="220">
        <f>SUM(C16:J16)</f>
        <v>37225450.569999993</v>
      </c>
      <c r="N16" s="214"/>
      <c r="O16" s="294"/>
      <c r="P16" s="293"/>
      <c r="Q16" s="293"/>
      <c r="R16" s="293"/>
      <c r="S16" s="293"/>
      <c r="T16" s="293"/>
      <c r="U16" s="293"/>
      <c r="V16" s="293"/>
      <c r="W16" s="293"/>
      <c r="X16" s="293"/>
    </row>
    <row r="17" spans="1:24" x14ac:dyDescent="0.2">
      <c r="A17" s="182" t="s">
        <v>104</v>
      </c>
      <c r="B17" s="214">
        <f t="shared" ref="B17:K17" si="2">SUM(B12:B16)</f>
        <v>38245</v>
      </c>
      <c r="C17" s="214">
        <f t="shared" si="2"/>
        <v>228144014.00000003</v>
      </c>
      <c r="D17" s="214">
        <f t="shared" si="2"/>
        <v>39755397.320000008</v>
      </c>
      <c r="E17" s="214">
        <f t="shared" si="2"/>
        <v>27431040.210000001</v>
      </c>
      <c r="F17" s="214">
        <f t="shared" si="2"/>
        <v>27315060.130000003</v>
      </c>
      <c r="G17" s="214">
        <f t="shared" si="2"/>
        <v>54410714.560000002</v>
      </c>
      <c r="H17" s="214">
        <f t="shared" si="2"/>
        <v>27504082.32</v>
      </c>
      <c r="I17" s="214">
        <f t="shared" si="2"/>
        <v>46752056.989999995</v>
      </c>
      <c r="J17" s="214">
        <f t="shared" si="2"/>
        <v>27712232.629999999</v>
      </c>
      <c r="K17" s="214">
        <f t="shared" si="2"/>
        <v>479024598.16000003</v>
      </c>
    </row>
    <row r="18" spans="1:24" x14ac:dyDescent="0.2">
      <c r="A18" s="33"/>
      <c r="B18" s="214"/>
      <c r="C18" s="214"/>
      <c r="D18" s="214"/>
      <c r="E18" s="214"/>
      <c r="F18" s="214"/>
      <c r="G18" s="214"/>
      <c r="H18" s="214"/>
      <c r="I18" s="214"/>
      <c r="J18" s="214"/>
      <c r="K18" s="182"/>
    </row>
    <row r="19" spans="1:24" ht="15" x14ac:dyDescent="0.25">
      <c r="A19" s="33" t="s">
        <v>86</v>
      </c>
      <c r="B19" s="214">
        <v>10156</v>
      </c>
      <c r="C19" s="214">
        <v>59720740.259999998</v>
      </c>
      <c r="D19" s="214">
        <v>6404589.8199999994</v>
      </c>
      <c r="E19" s="214">
        <v>5885448.5899999999</v>
      </c>
      <c r="F19" s="214">
        <v>6589534.7999999989</v>
      </c>
      <c r="G19" s="214">
        <v>10923821.300000001</v>
      </c>
      <c r="H19" s="214">
        <v>6669699.8200000003</v>
      </c>
      <c r="I19" s="214">
        <v>8465473.1899999995</v>
      </c>
      <c r="J19" s="214">
        <v>7047187.8499999996</v>
      </c>
      <c r="K19" s="214">
        <f>SUM(C19:J19)</f>
        <v>111706495.63</v>
      </c>
      <c r="O19" s="294"/>
      <c r="P19" s="293"/>
      <c r="Q19" s="293"/>
      <c r="R19" s="293"/>
      <c r="S19" s="293"/>
      <c r="T19" s="293"/>
      <c r="U19" s="293"/>
      <c r="V19" s="293"/>
      <c r="W19" s="293"/>
      <c r="X19" s="293"/>
    </row>
    <row r="20" spans="1:24" ht="15" x14ac:dyDescent="0.25">
      <c r="A20" s="33" t="s">
        <v>87</v>
      </c>
      <c r="B20" s="233">
        <v>7652</v>
      </c>
      <c r="C20" s="234">
        <v>59006524.980000034</v>
      </c>
      <c r="D20" s="234">
        <v>5041051.5999999996</v>
      </c>
      <c r="E20" s="234">
        <v>11915861.980000002</v>
      </c>
      <c r="F20" s="234">
        <v>4512992.669999999</v>
      </c>
      <c r="G20" s="234">
        <v>14711144.530000001</v>
      </c>
      <c r="H20" s="234">
        <v>9181905.9499999974</v>
      </c>
      <c r="I20" s="234">
        <v>11207982.02</v>
      </c>
      <c r="J20" s="220">
        <v>6141891.4799999986</v>
      </c>
      <c r="K20" s="220">
        <f>SUM(C20:J20)</f>
        <v>121719355.21000004</v>
      </c>
      <c r="O20" s="294"/>
      <c r="P20" s="293"/>
      <c r="Q20" s="293"/>
      <c r="R20" s="293"/>
      <c r="S20" s="293"/>
      <c r="T20" s="293"/>
      <c r="U20" s="293"/>
      <c r="V20" s="293"/>
      <c r="W20" s="293"/>
      <c r="X20" s="293"/>
    </row>
    <row r="21" spans="1:24" x14ac:dyDescent="0.2">
      <c r="A21" s="182" t="s">
        <v>105</v>
      </c>
      <c r="B21" s="214">
        <f t="shared" ref="B21:K21" si="3">SUM(B19:B20)</f>
        <v>17808</v>
      </c>
      <c r="C21" s="214">
        <f t="shared" si="3"/>
        <v>118727265.24000004</v>
      </c>
      <c r="D21" s="214">
        <f t="shared" si="3"/>
        <v>11445641.419999998</v>
      </c>
      <c r="E21" s="214">
        <f t="shared" si="3"/>
        <v>17801310.57</v>
      </c>
      <c r="F21" s="214">
        <f t="shared" si="3"/>
        <v>11102527.469999999</v>
      </c>
      <c r="G21" s="214">
        <f t="shared" si="3"/>
        <v>25634965.830000002</v>
      </c>
      <c r="H21" s="214">
        <f t="shared" si="3"/>
        <v>15851605.769999998</v>
      </c>
      <c r="I21" s="214">
        <f t="shared" si="3"/>
        <v>19673455.210000001</v>
      </c>
      <c r="J21" s="214">
        <f t="shared" si="3"/>
        <v>13189079.329999998</v>
      </c>
      <c r="K21" s="214">
        <f t="shared" si="3"/>
        <v>233425850.84000003</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151433</v>
      </c>
      <c r="C23" s="222">
        <f t="shared" si="4"/>
        <v>907028419.88999987</v>
      </c>
      <c r="D23" s="222">
        <f t="shared" si="4"/>
        <v>157968331.83000004</v>
      </c>
      <c r="E23" s="222">
        <f t="shared" si="4"/>
        <v>100613644.23999999</v>
      </c>
      <c r="F23" s="222">
        <f t="shared" si="4"/>
        <v>91180153.24000001</v>
      </c>
      <c r="G23" s="222">
        <f t="shared" si="4"/>
        <v>169667708.53</v>
      </c>
      <c r="H23" s="222">
        <f t="shared" si="4"/>
        <v>91404994.650000006</v>
      </c>
      <c r="I23" s="222">
        <f t="shared" si="4"/>
        <v>117053004.43000001</v>
      </c>
      <c r="J23" s="222">
        <f t="shared" si="4"/>
        <v>97042342.659999996</v>
      </c>
      <c r="K23" s="222">
        <f t="shared" si="4"/>
        <v>1731958599.47</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FY2018</v>
      </c>
      <c r="C26" s="22"/>
      <c r="D26" s="22"/>
      <c r="E26" s="22"/>
      <c r="F26" s="22"/>
      <c r="G26" s="22"/>
      <c r="H26" s="22"/>
      <c r="I26" s="22"/>
      <c r="J26" s="22"/>
      <c r="K26" s="22"/>
    </row>
    <row r="27" spans="1:24" ht="39" customHeight="1" x14ac:dyDescent="0.2">
      <c r="A27" s="21" t="s">
        <v>245</v>
      </c>
      <c r="B27" s="21" t="str">
        <f>B3</f>
        <v>ANB18</v>
      </c>
      <c r="C27" s="21" t="str">
        <f t="shared" ref="C27:K27" si="5">C3</f>
        <v>18/Pupil Instruction</v>
      </c>
      <c r="D27" s="21" t="str">
        <f t="shared" si="5"/>
        <v>18/Pupil Student Services</v>
      </c>
      <c r="E27" s="21" t="str">
        <f t="shared" si="5"/>
        <v>18/Pupil General Admin</v>
      </c>
      <c r="F27" s="21" t="str">
        <f t="shared" si="5"/>
        <v>18/Pupil Bldg Admin</v>
      </c>
      <c r="G27" s="21" t="str">
        <f t="shared" si="5"/>
        <v>18/Pupil Bldg OM</v>
      </c>
      <c r="H27" s="21" t="str">
        <f t="shared" si="5"/>
        <v>18/Pupil Transport</v>
      </c>
      <c r="I27" s="21" t="str">
        <f t="shared" si="5"/>
        <v>18/Pupil Other</v>
      </c>
      <c r="J27" s="21" t="str">
        <f t="shared" si="5"/>
        <v>18/Pupil Bonds/ Facilities</v>
      </c>
      <c r="K27" s="21" t="str">
        <f t="shared" si="5"/>
        <v>18/Pupil Total</v>
      </c>
    </row>
    <row r="28" spans="1:24" x14ac:dyDescent="0.2">
      <c r="A28" s="182" t="s">
        <v>102</v>
      </c>
      <c r="B28" s="214">
        <f t="shared" ref="B28:B33" si="6">B4</f>
        <v>40904</v>
      </c>
      <c r="C28" s="182">
        <f t="shared" ref="C28:K34" si="7">C4/$B28</f>
        <v>5636.3557495599453</v>
      </c>
      <c r="D28" s="182">
        <f t="shared" si="7"/>
        <v>1284.2532048210446</v>
      </c>
      <c r="E28" s="182">
        <f t="shared" si="7"/>
        <v>358.91872921963613</v>
      </c>
      <c r="F28" s="182">
        <f t="shared" si="7"/>
        <v>538.89610673772745</v>
      </c>
      <c r="G28" s="182">
        <f t="shared" si="7"/>
        <v>770.90490587717591</v>
      </c>
      <c r="H28" s="182">
        <f t="shared" si="7"/>
        <v>430.37903872481905</v>
      </c>
      <c r="I28" s="182">
        <f t="shared" si="7"/>
        <v>339.6216528945825</v>
      </c>
      <c r="J28" s="182">
        <f t="shared" si="7"/>
        <v>467.16236969489535</v>
      </c>
      <c r="K28" s="182">
        <f t="shared" si="7"/>
        <v>9826.4917575298259</v>
      </c>
    </row>
    <row r="29" spans="1:24" ht="15" x14ac:dyDescent="0.25">
      <c r="A29" s="182" t="s">
        <v>76</v>
      </c>
      <c r="B29" s="214">
        <f t="shared" si="6"/>
        <v>20549</v>
      </c>
      <c r="C29" s="182">
        <f t="shared" si="7"/>
        <v>5709.9039413110131</v>
      </c>
      <c r="D29" s="182">
        <f t="shared" si="7"/>
        <v>1340.8627816438757</v>
      </c>
      <c r="E29" s="182">
        <f t="shared" si="7"/>
        <v>472.02174461044331</v>
      </c>
      <c r="F29" s="182">
        <f t="shared" si="7"/>
        <v>613.18477444157861</v>
      </c>
      <c r="G29" s="182">
        <f t="shared" si="7"/>
        <v>903.50540804905359</v>
      </c>
      <c r="H29" s="182">
        <f t="shared" si="7"/>
        <v>460.41680860382502</v>
      </c>
      <c r="I29" s="182">
        <f t="shared" si="7"/>
        <v>536.61404885882519</v>
      </c>
      <c r="J29" s="182">
        <f t="shared" si="7"/>
        <v>728.09873083848368</v>
      </c>
      <c r="K29" s="182">
        <f t="shared" si="7"/>
        <v>10764.608238357099</v>
      </c>
      <c r="O29" s="247"/>
      <c r="P29" s="273"/>
      <c r="Q29" s="273"/>
      <c r="R29" s="273"/>
      <c r="S29" s="273"/>
      <c r="T29" s="273"/>
      <c r="U29" s="273"/>
    </row>
    <row r="30" spans="1:24" ht="15" x14ac:dyDescent="0.25">
      <c r="A30" s="182" t="s">
        <v>77</v>
      </c>
      <c r="B30" s="214">
        <f t="shared" si="6"/>
        <v>15272</v>
      </c>
      <c r="C30" s="182">
        <f t="shared" si="7"/>
        <v>5955.7828555526448</v>
      </c>
      <c r="D30" s="182">
        <f t="shared" si="7"/>
        <v>951.90572485594544</v>
      </c>
      <c r="E30" s="182">
        <f t="shared" si="7"/>
        <v>672.16253077527506</v>
      </c>
      <c r="F30" s="182">
        <f t="shared" si="7"/>
        <v>616.85364457831292</v>
      </c>
      <c r="G30" s="182">
        <f t="shared" si="7"/>
        <v>1006.2596496856993</v>
      </c>
      <c r="H30" s="182">
        <f t="shared" si="7"/>
        <v>463.75932163436352</v>
      </c>
      <c r="I30" s="182">
        <f t="shared" si="7"/>
        <v>626.98728064431634</v>
      </c>
      <c r="J30" s="182">
        <f t="shared" si="7"/>
        <v>754.99265584075442</v>
      </c>
      <c r="K30" s="182">
        <f t="shared" si="7"/>
        <v>11048.703663567312</v>
      </c>
      <c r="O30" s="247"/>
      <c r="P30" s="273"/>
      <c r="Q30" s="273"/>
      <c r="R30" s="273"/>
      <c r="S30" s="273"/>
      <c r="T30" s="273"/>
      <c r="U30" s="273"/>
    </row>
    <row r="31" spans="1:24" ht="15" x14ac:dyDescent="0.25">
      <c r="A31" s="182" t="s">
        <v>78</v>
      </c>
      <c r="B31" s="214">
        <f t="shared" si="6"/>
        <v>12245</v>
      </c>
      <c r="C31" s="182">
        <f t="shared" si="7"/>
        <v>6062.5480530828891</v>
      </c>
      <c r="D31" s="182">
        <f t="shared" si="7"/>
        <v>708.17946018783175</v>
      </c>
      <c r="E31" s="182">
        <f t="shared" si="7"/>
        <v>927.2130151082074</v>
      </c>
      <c r="F31" s="182">
        <f t="shared" si="7"/>
        <v>467.71495467537778</v>
      </c>
      <c r="G31" s="182">
        <f t="shared" si="7"/>
        <v>1145.1933679052672</v>
      </c>
      <c r="H31" s="182">
        <f t="shared" si="7"/>
        <v>635.97642874642725</v>
      </c>
      <c r="I31" s="182">
        <f t="shared" si="7"/>
        <v>826.83467292772582</v>
      </c>
      <c r="J31" s="182">
        <f t="shared" si="7"/>
        <v>590.19962760310329</v>
      </c>
      <c r="K31" s="182">
        <f t="shared" si="7"/>
        <v>11363.859580236831</v>
      </c>
      <c r="O31" s="247"/>
      <c r="P31" s="273"/>
      <c r="Q31" s="273"/>
      <c r="R31" s="273"/>
      <c r="S31" s="273"/>
      <c r="T31" s="273"/>
      <c r="U31" s="273"/>
    </row>
    <row r="32" spans="1:24" ht="15" x14ac:dyDescent="0.25">
      <c r="A32" s="182" t="s">
        <v>79</v>
      </c>
      <c r="B32" s="214">
        <f t="shared" si="6"/>
        <v>4891</v>
      </c>
      <c r="C32" s="182">
        <f t="shared" si="7"/>
        <v>6698.2874197505625</v>
      </c>
      <c r="D32" s="182">
        <f t="shared" si="7"/>
        <v>511.21213657738684</v>
      </c>
      <c r="E32" s="182">
        <f t="shared" si="7"/>
        <v>1267.5497137599671</v>
      </c>
      <c r="F32" s="182">
        <f t="shared" si="7"/>
        <v>523.90011245144137</v>
      </c>
      <c r="G32" s="182">
        <f t="shared" si="7"/>
        <v>1426.0225741157226</v>
      </c>
      <c r="H32" s="182">
        <f t="shared" si="7"/>
        <v>913.80286240032706</v>
      </c>
      <c r="I32" s="182">
        <f t="shared" si="7"/>
        <v>1043.7218033122065</v>
      </c>
      <c r="J32" s="182">
        <f t="shared" si="7"/>
        <v>608.01887344101408</v>
      </c>
      <c r="K32" s="182">
        <f t="shared" si="7"/>
        <v>12992.515495808628</v>
      </c>
      <c r="O32" s="247"/>
      <c r="P32" s="273"/>
      <c r="Q32" s="273"/>
      <c r="R32" s="273"/>
      <c r="S32" s="273"/>
      <c r="T32" s="273"/>
      <c r="U32" s="273"/>
    </row>
    <row r="33" spans="1:21" ht="15" x14ac:dyDescent="0.25">
      <c r="A33" s="182" t="s">
        <v>80</v>
      </c>
      <c r="B33" s="220">
        <f t="shared" si="6"/>
        <v>1519</v>
      </c>
      <c r="C33" s="183">
        <f t="shared" si="7"/>
        <v>9427.8397169190248</v>
      </c>
      <c r="D33" s="183">
        <f t="shared" si="7"/>
        <v>640.75735352205402</v>
      </c>
      <c r="E33" s="183">
        <f t="shared" si="7"/>
        <v>2094.7542725477292</v>
      </c>
      <c r="F33" s="183">
        <f t="shared" si="7"/>
        <v>269.30311389071761</v>
      </c>
      <c r="G33" s="183">
        <f t="shared" si="7"/>
        <v>2078.7588347597102</v>
      </c>
      <c r="H33" s="183">
        <f t="shared" si="7"/>
        <v>1082.6226662277816</v>
      </c>
      <c r="I33" s="183">
        <f t="shared" si="7"/>
        <v>595.09044766293619</v>
      </c>
      <c r="J33" s="183">
        <f t="shared" si="7"/>
        <v>223.47447004608293</v>
      </c>
      <c r="K33" s="183">
        <f t="shared" si="7"/>
        <v>16412.600875576034</v>
      </c>
      <c r="O33" s="247"/>
      <c r="P33" s="273"/>
      <c r="Q33" s="273"/>
      <c r="R33" s="273"/>
      <c r="S33" s="273"/>
      <c r="T33" s="273"/>
      <c r="U33" s="273"/>
    </row>
    <row r="34" spans="1:21" ht="15" x14ac:dyDescent="0.25">
      <c r="A34" s="182" t="s">
        <v>219</v>
      </c>
      <c r="B34" s="214">
        <f>SUM(B28:B33)</f>
        <v>95380</v>
      </c>
      <c r="C34" s="182">
        <f t="shared" si="7"/>
        <v>5872.8993567833913</v>
      </c>
      <c r="D34" s="182">
        <f t="shared" si="7"/>
        <v>1119.3886882994341</v>
      </c>
      <c r="E34" s="182">
        <f t="shared" si="7"/>
        <v>580.63843006919683</v>
      </c>
      <c r="F34" s="182">
        <f t="shared" si="7"/>
        <v>553.18269700146789</v>
      </c>
      <c r="G34" s="182">
        <f t="shared" si="7"/>
        <v>939.63124491507654</v>
      </c>
      <c r="H34" s="182">
        <f t="shared" si="7"/>
        <v>503.76710589222063</v>
      </c>
      <c r="I34" s="182">
        <f t="shared" si="7"/>
        <v>530.79777972321244</v>
      </c>
      <c r="J34" s="182">
        <f t="shared" si="7"/>
        <v>588.60380268400093</v>
      </c>
      <c r="K34" s="182">
        <f t="shared" si="7"/>
        <v>10688.909105368002</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21519</v>
      </c>
      <c r="C36" s="182">
        <f t="shared" ref="C36:K41" si="8">C12/$B36</f>
        <v>5695.7004475115018</v>
      </c>
      <c r="D36" s="182">
        <f t="shared" si="8"/>
        <v>1127.3987429713279</v>
      </c>
      <c r="E36" s="182">
        <f t="shared" si="8"/>
        <v>422.69253171615787</v>
      </c>
      <c r="F36" s="182">
        <f t="shared" si="8"/>
        <v>643.67391328593339</v>
      </c>
      <c r="G36" s="182">
        <f t="shared" si="8"/>
        <v>1154.7317914401226</v>
      </c>
      <c r="H36" s="182">
        <f t="shared" si="8"/>
        <v>439.97802360704492</v>
      </c>
      <c r="I36" s="182">
        <f t="shared" si="8"/>
        <v>963.23627073748776</v>
      </c>
      <c r="J36" s="182">
        <f t="shared" si="8"/>
        <v>522.74492448533863</v>
      </c>
      <c r="K36" s="182">
        <f t="shared" si="8"/>
        <v>10970.156645754914</v>
      </c>
      <c r="O36" s="247"/>
      <c r="P36" s="273"/>
      <c r="Q36" s="273"/>
      <c r="R36" s="273"/>
      <c r="S36" s="273"/>
      <c r="T36" s="273"/>
      <c r="U36" s="273"/>
    </row>
    <row r="37" spans="1:21" ht="15" x14ac:dyDescent="0.25">
      <c r="A37" s="182" t="s">
        <v>82</v>
      </c>
      <c r="B37" s="214">
        <f>B13</f>
        <v>5945</v>
      </c>
      <c r="C37" s="182">
        <f t="shared" si="8"/>
        <v>5379.0897140454163</v>
      </c>
      <c r="D37" s="182">
        <f t="shared" si="8"/>
        <v>1049.3942203532379</v>
      </c>
      <c r="E37" s="182">
        <f t="shared" si="8"/>
        <v>632.46012447434805</v>
      </c>
      <c r="F37" s="182">
        <f t="shared" si="8"/>
        <v>725.98820353238023</v>
      </c>
      <c r="G37" s="182">
        <f t="shared" si="8"/>
        <v>1210.4918132884779</v>
      </c>
      <c r="H37" s="182">
        <f t="shared" si="8"/>
        <v>724.11110681244747</v>
      </c>
      <c r="I37" s="182">
        <f t="shared" si="8"/>
        <v>1376.2245534062238</v>
      </c>
      <c r="J37" s="182">
        <f t="shared" si="8"/>
        <v>1164.1045180824224</v>
      </c>
      <c r="K37" s="182">
        <f t="shared" si="8"/>
        <v>12261.864253994952</v>
      </c>
      <c r="O37" s="247"/>
      <c r="P37" s="273"/>
      <c r="Q37" s="273"/>
      <c r="R37" s="273"/>
      <c r="S37" s="273"/>
      <c r="T37" s="273"/>
      <c r="U37" s="273"/>
    </row>
    <row r="38" spans="1:21" ht="15" x14ac:dyDescent="0.25">
      <c r="A38" s="182" t="s">
        <v>83</v>
      </c>
      <c r="B38" s="214">
        <f>B14</f>
        <v>4371</v>
      </c>
      <c r="C38" s="182">
        <f t="shared" si="8"/>
        <v>5597.9895950583395</v>
      </c>
      <c r="D38" s="182">
        <f t="shared" si="8"/>
        <v>801.52095172729355</v>
      </c>
      <c r="E38" s="182">
        <f t="shared" si="8"/>
        <v>786.37097231754763</v>
      </c>
      <c r="F38" s="182">
        <f t="shared" si="8"/>
        <v>870.63223976206814</v>
      </c>
      <c r="G38" s="182">
        <f t="shared" si="8"/>
        <v>1427.7275520475864</v>
      </c>
      <c r="H38" s="182">
        <f t="shared" si="8"/>
        <v>991.68369480668036</v>
      </c>
      <c r="I38" s="182">
        <f t="shared" si="8"/>
        <v>1471.5346854266757</v>
      </c>
      <c r="J38" s="182">
        <f t="shared" si="8"/>
        <v>912.16931594600783</v>
      </c>
      <c r="K38" s="182">
        <f t="shared" si="8"/>
        <v>12859.629007092199</v>
      </c>
      <c r="O38" s="247"/>
      <c r="P38" s="273"/>
      <c r="Q38" s="273"/>
      <c r="R38" s="273"/>
      <c r="S38" s="273"/>
      <c r="T38" s="273"/>
      <c r="U38" s="273"/>
    </row>
    <row r="39" spans="1:21" ht="15" x14ac:dyDescent="0.25">
      <c r="A39" s="182" t="s">
        <v>84</v>
      </c>
      <c r="B39" s="214">
        <f>B15</f>
        <v>4839</v>
      </c>
      <c r="C39" s="182">
        <f t="shared" si="8"/>
        <v>7076.5429220913429</v>
      </c>
      <c r="D39" s="182">
        <f t="shared" si="8"/>
        <v>921.83750154990685</v>
      </c>
      <c r="E39" s="182">
        <f t="shared" si="8"/>
        <v>1282.6395060963007</v>
      </c>
      <c r="F39" s="182">
        <f t="shared" si="8"/>
        <v>867.87345939243664</v>
      </c>
      <c r="G39" s="182">
        <f t="shared" si="8"/>
        <v>2192.557794998967</v>
      </c>
      <c r="H39" s="182">
        <f t="shared" si="8"/>
        <v>1274.0976689398638</v>
      </c>
      <c r="I39" s="182">
        <f t="shared" si="8"/>
        <v>1493.0977805331679</v>
      </c>
      <c r="J39" s="182">
        <f t="shared" si="8"/>
        <v>726.46916511675954</v>
      </c>
      <c r="K39" s="182">
        <f t="shared" si="8"/>
        <v>15835.115798718749</v>
      </c>
      <c r="O39" s="247"/>
      <c r="P39" s="273"/>
      <c r="Q39" s="273"/>
      <c r="R39" s="273"/>
      <c r="S39" s="273"/>
      <c r="T39" s="273"/>
      <c r="U39" s="273"/>
    </row>
    <row r="40" spans="1:21" ht="15" x14ac:dyDescent="0.25">
      <c r="A40" s="182" t="s">
        <v>85</v>
      </c>
      <c r="B40" s="220">
        <f>B16</f>
        <v>1571</v>
      </c>
      <c r="C40" s="183">
        <f t="shared" si="8"/>
        <v>9476.3488224061075</v>
      </c>
      <c r="D40" s="183">
        <f t="shared" si="8"/>
        <v>822.42863144493958</v>
      </c>
      <c r="E40" s="183">
        <f t="shared" si="8"/>
        <v>3138.9077593889242</v>
      </c>
      <c r="F40" s="183">
        <f t="shared" si="8"/>
        <v>727.35081476766402</v>
      </c>
      <c r="G40" s="183">
        <f t="shared" si="8"/>
        <v>3510.6830108211343</v>
      </c>
      <c r="H40" s="183">
        <f t="shared" si="8"/>
        <v>2056.8724697644816</v>
      </c>
      <c r="I40" s="183">
        <f t="shared" si="8"/>
        <v>2664.1263144493955</v>
      </c>
      <c r="J40" s="183">
        <f t="shared" si="8"/>
        <v>1298.6676448122216</v>
      </c>
      <c r="K40" s="183">
        <f t="shared" si="8"/>
        <v>23695.385467854863</v>
      </c>
      <c r="O40" s="247"/>
      <c r="P40" s="273"/>
      <c r="Q40" s="273"/>
      <c r="R40" s="273"/>
      <c r="S40" s="273"/>
      <c r="T40" s="273"/>
      <c r="U40" s="273"/>
    </row>
    <row r="41" spans="1:21" ht="15" x14ac:dyDescent="0.25">
      <c r="A41" s="182" t="s">
        <v>220</v>
      </c>
      <c r="B41" s="214">
        <f>SUM(B36:B40)</f>
        <v>38245</v>
      </c>
      <c r="C41" s="182">
        <f t="shared" si="8"/>
        <v>5965.329167211401</v>
      </c>
      <c r="D41" s="182">
        <f t="shared" si="8"/>
        <v>1039.4926740750427</v>
      </c>
      <c r="E41" s="182">
        <f t="shared" si="8"/>
        <v>717.24513557327759</v>
      </c>
      <c r="F41" s="182">
        <f t="shared" si="8"/>
        <v>714.21258020656308</v>
      </c>
      <c r="G41" s="182">
        <f t="shared" si="8"/>
        <v>1422.6883137665054</v>
      </c>
      <c r="H41" s="182">
        <f t="shared" si="8"/>
        <v>719.15498287357821</v>
      </c>
      <c r="I41" s="182">
        <f t="shared" si="8"/>
        <v>1222.4357952673552</v>
      </c>
      <c r="J41" s="182">
        <f t="shared" si="8"/>
        <v>724.59753248790685</v>
      </c>
      <c r="K41" s="182">
        <f t="shared" si="8"/>
        <v>12525.156181461629</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10156</v>
      </c>
      <c r="C43" s="182">
        <f t="shared" ref="C43:K45" si="9">C19/$B43</f>
        <v>5880.3407109098071</v>
      </c>
      <c r="D43" s="182">
        <f t="shared" si="9"/>
        <v>630.62128987790459</v>
      </c>
      <c r="E43" s="182">
        <f t="shared" si="9"/>
        <v>579.50458743599836</v>
      </c>
      <c r="F43" s="182">
        <f t="shared" si="9"/>
        <v>648.831705395825</v>
      </c>
      <c r="G43" s="182">
        <f t="shared" si="9"/>
        <v>1075.6027274517528</v>
      </c>
      <c r="H43" s="182">
        <f t="shared" si="9"/>
        <v>656.72507089405281</v>
      </c>
      <c r="I43" s="182">
        <f t="shared" si="9"/>
        <v>833.54403209925158</v>
      </c>
      <c r="J43" s="182">
        <f t="shared" si="9"/>
        <v>693.89403800708942</v>
      </c>
      <c r="K43" s="182">
        <f t="shared" si="9"/>
        <v>10999.064162071681</v>
      </c>
    </row>
    <row r="44" spans="1:21" x14ac:dyDescent="0.2">
      <c r="A44" s="182" t="s">
        <v>87</v>
      </c>
      <c r="B44" s="220">
        <f>B20</f>
        <v>7652</v>
      </c>
      <c r="C44" s="183">
        <f t="shared" si="9"/>
        <v>7711.2552247778403</v>
      </c>
      <c r="D44" s="183">
        <f t="shared" si="9"/>
        <v>658.78876110820693</v>
      </c>
      <c r="E44" s="183">
        <f t="shared" si="9"/>
        <v>1557.2219001568221</v>
      </c>
      <c r="F44" s="183">
        <f t="shared" si="9"/>
        <v>589.77949163617336</v>
      </c>
      <c r="G44" s="183">
        <f t="shared" si="9"/>
        <v>1922.5228084161006</v>
      </c>
      <c r="H44" s="183">
        <f t="shared" si="9"/>
        <v>1199.9354351803447</v>
      </c>
      <c r="I44" s="183">
        <f t="shared" si="9"/>
        <v>1464.7127574490328</v>
      </c>
      <c r="J44" s="183">
        <f t="shared" si="9"/>
        <v>802.65178776790367</v>
      </c>
      <c r="K44" s="183">
        <f t="shared" si="9"/>
        <v>15906.868166492426</v>
      </c>
    </row>
    <row r="45" spans="1:21" x14ac:dyDescent="0.2">
      <c r="A45" s="182" t="s">
        <v>221</v>
      </c>
      <c r="B45" s="214">
        <f>SUM(B43:B44)</f>
        <v>17808</v>
      </c>
      <c r="C45" s="182">
        <f t="shared" si="9"/>
        <v>6667.0746428571447</v>
      </c>
      <c r="D45" s="182">
        <f t="shared" si="9"/>
        <v>642.72469788858928</v>
      </c>
      <c r="E45" s="182">
        <f t="shared" si="9"/>
        <v>999.62435815363881</v>
      </c>
      <c r="F45" s="182">
        <f t="shared" si="9"/>
        <v>623.45729278975739</v>
      </c>
      <c r="G45" s="182">
        <f t="shared" si="9"/>
        <v>1439.5196445417791</v>
      </c>
      <c r="H45" s="182">
        <f t="shared" si="9"/>
        <v>890.1395872641508</v>
      </c>
      <c r="I45" s="182">
        <f t="shared" si="9"/>
        <v>1104.7537741464512</v>
      </c>
      <c r="J45" s="182">
        <f t="shared" si="9"/>
        <v>740.62664701257847</v>
      </c>
      <c r="K45" s="182">
        <f t="shared" si="9"/>
        <v>13107.92064465409</v>
      </c>
    </row>
    <row r="46" spans="1:21" x14ac:dyDescent="0.2">
      <c r="A46" s="182"/>
      <c r="B46" s="214"/>
      <c r="C46" s="182"/>
      <c r="D46" s="182"/>
      <c r="E46" s="182"/>
      <c r="F46" s="182"/>
      <c r="G46" s="182"/>
      <c r="H46" s="182"/>
      <c r="I46" s="182"/>
      <c r="J46" s="182"/>
      <c r="K46" s="182"/>
    </row>
    <row r="47" spans="1:21" ht="13.5" thickBot="1" x14ac:dyDescent="0.25">
      <c r="A47" s="182" t="s">
        <v>222</v>
      </c>
      <c r="B47" s="222">
        <f>B45+B41+B34</f>
        <v>151433</v>
      </c>
      <c r="C47" s="222">
        <f t="shared" ref="C47:K47" si="10">C23/$B47</f>
        <v>5989.635151453117</v>
      </c>
      <c r="D47" s="222">
        <f t="shared" si="10"/>
        <v>1043.156589580871</v>
      </c>
      <c r="E47" s="222">
        <f t="shared" si="10"/>
        <v>664.41029524608234</v>
      </c>
      <c r="F47" s="222">
        <f t="shared" si="10"/>
        <v>602.11547839638661</v>
      </c>
      <c r="G47" s="222">
        <f t="shared" si="10"/>
        <v>1120.4143649666848</v>
      </c>
      <c r="H47" s="222">
        <f t="shared" si="10"/>
        <v>603.60023673835963</v>
      </c>
      <c r="I47" s="222">
        <f t="shared" si="10"/>
        <v>772.96893299346914</v>
      </c>
      <c r="J47" s="222">
        <f t="shared" si="10"/>
        <v>640.82691791089121</v>
      </c>
      <c r="K47" s="222">
        <f t="shared" si="10"/>
        <v>11437.127967285862</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FY2018</v>
      </c>
      <c r="D50" s="182"/>
      <c r="E50" s="182"/>
      <c r="F50" s="182"/>
      <c r="G50" s="182"/>
      <c r="H50" s="182"/>
      <c r="I50" s="182"/>
      <c r="J50" s="182"/>
      <c r="K50" s="182"/>
    </row>
    <row r="51" spans="1:11" ht="40.5" customHeight="1" x14ac:dyDescent="0.2">
      <c r="A51" s="21" t="s">
        <v>1207</v>
      </c>
      <c r="B51" s="21" t="str">
        <f>B3</f>
        <v>ANB18</v>
      </c>
      <c r="C51" s="21" t="str">
        <f t="shared" ref="C51:K51" si="11">C3</f>
        <v>18/Pupil Instruction</v>
      </c>
      <c r="D51" s="21" t="str">
        <f t="shared" si="11"/>
        <v>18/Pupil Student Services</v>
      </c>
      <c r="E51" s="21" t="str">
        <f t="shared" si="11"/>
        <v>18/Pupil General Admin</v>
      </c>
      <c r="F51" s="21" t="str">
        <f t="shared" si="11"/>
        <v>18/Pupil Bldg Admin</v>
      </c>
      <c r="G51" s="21" t="str">
        <f t="shared" si="11"/>
        <v>18/Pupil Bldg OM</v>
      </c>
      <c r="H51" s="21" t="str">
        <f t="shared" si="11"/>
        <v>18/Pupil Transport</v>
      </c>
      <c r="I51" s="21" t="str">
        <f t="shared" si="11"/>
        <v>18/Pupil Other</v>
      </c>
      <c r="J51" s="21" t="str">
        <f t="shared" si="11"/>
        <v>18/Pupil Bonds/ Facilities</v>
      </c>
      <c r="K51" s="21" t="str">
        <f t="shared" si="11"/>
        <v>18/Pupil Total</v>
      </c>
    </row>
    <row r="52" spans="1:11" x14ac:dyDescent="0.2">
      <c r="A52" s="182" t="s">
        <v>102</v>
      </c>
      <c r="B52" s="214">
        <f t="shared" ref="B52:B57" si="12">B4</f>
        <v>40904</v>
      </c>
      <c r="C52" s="191">
        <f t="shared" ref="C52:K58" si="13">C28/$K28</f>
        <v>0.57358779599452969</v>
      </c>
      <c r="D52" s="191">
        <f t="shared" si="13"/>
        <v>0.13069295090355615</v>
      </c>
      <c r="E52" s="191">
        <f t="shared" si="13"/>
        <v>3.6525622579859647E-2</v>
      </c>
      <c r="F52" s="191">
        <f t="shared" si="13"/>
        <v>5.4841149825906398E-2</v>
      </c>
      <c r="G52" s="191">
        <f t="shared" si="13"/>
        <v>7.845169210938871E-2</v>
      </c>
      <c r="H52" s="191">
        <f t="shared" si="13"/>
        <v>4.3797832364234061E-2</v>
      </c>
      <c r="I52" s="191">
        <f t="shared" si="13"/>
        <v>3.4561841730985816E-2</v>
      </c>
      <c r="J52" s="191">
        <f t="shared" si="13"/>
        <v>4.7541114491539568E-2</v>
      </c>
      <c r="K52" s="191">
        <f t="shared" si="13"/>
        <v>1</v>
      </c>
    </row>
    <row r="53" spans="1:11" x14ac:dyDescent="0.2">
      <c r="A53" s="182" t="s">
        <v>76</v>
      </c>
      <c r="B53" s="214">
        <f t="shared" si="12"/>
        <v>20549</v>
      </c>
      <c r="C53" s="191">
        <f t="shared" si="13"/>
        <v>0.53043304641270084</v>
      </c>
      <c r="D53" s="191">
        <f t="shared" si="13"/>
        <v>0.12456215330401275</v>
      </c>
      <c r="E53" s="191">
        <f t="shared" si="13"/>
        <v>4.384941227387236E-2</v>
      </c>
      <c r="F53" s="191">
        <f t="shared" si="13"/>
        <v>5.6963036727768854E-2</v>
      </c>
      <c r="G53" s="191">
        <f t="shared" si="13"/>
        <v>8.3932957711329317E-2</v>
      </c>
      <c r="H53" s="191">
        <f t="shared" si="13"/>
        <v>4.2771348330470603E-2</v>
      </c>
      <c r="I53" s="191">
        <f t="shared" si="13"/>
        <v>4.984984469260384E-2</v>
      </c>
      <c r="J53" s="191">
        <f t="shared" si="13"/>
        <v>6.7638200547241331E-2</v>
      </c>
      <c r="K53" s="191">
        <f t="shared" si="13"/>
        <v>1</v>
      </c>
    </row>
    <row r="54" spans="1:11" x14ac:dyDescent="0.2">
      <c r="A54" s="182" t="s">
        <v>77</v>
      </c>
      <c r="B54" s="214">
        <f t="shared" si="12"/>
        <v>15272</v>
      </c>
      <c r="C54" s="191">
        <f t="shared" si="13"/>
        <v>0.53904811251220508</v>
      </c>
      <c r="D54" s="191">
        <f t="shared" si="13"/>
        <v>8.6155421834221063E-2</v>
      </c>
      <c r="E54" s="191">
        <f t="shared" si="13"/>
        <v>6.0836325350249541E-2</v>
      </c>
      <c r="F54" s="191">
        <f t="shared" si="13"/>
        <v>5.5830409011001426E-2</v>
      </c>
      <c r="G54" s="191">
        <f t="shared" si="13"/>
        <v>9.1074906190470373E-2</v>
      </c>
      <c r="H54" s="191">
        <f t="shared" si="13"/>
        <v>4.1974093591051101E-2</v>
      </c>
      <c r="I54" s="191">
        <f t="shared" si="13"/>
        <v>5.6747587747491453E-2</v>
      </c>
      <c r="J54" s="191">
        <f t="shared" si="13"/>
        <v>6.8333143763309942E-2</v>
      </c>
      <c r="K54" s="191">
        <f t="shared" si="13"/>
        <v>1</v>
      </c>
    </row>
    <row r="55" spans="1:11" x14ac:dyDescent="0.2">
      <c r="A55" s="182" t="s">
        <v>78</v>
      </c>
      <c r="B55" s="214">
        <f t="shared" si="12"/>
        <v>12245</v>
      </c>
      <c r="C55" s="191">
        <f t="shared" si="13"/>
        <v>0.53349374922111992</v>
      </c>
      <c r="D55" s="191">
        <f t="shared" si="13"/>
        <v>6.2318568369099187E-2</v>
      </c>
      <c r="E55" s="191">
        <f t="shared" si="13"/>
        <v>8.1593142590458134E-2</v>
      </c>
      <c r="F55" s="191">
        <f t="shared" si="13"/>
        <v>4.1158107540222727E-2</v>
      </c>
      <c r="G55" s="191">
        <f t="shared" si="13"/>
        <v>0.10077503684548349</v>
      </c>
      <c r="H55" s="191">
        <f t="shared" si="13"/>
        <v>5.5964826409195478E-2</v>
      </c>
      <c r="I55" s="191">
        <f t="shared" si="13"/>
        <v>7.2760021988101165E-2</v>
      </c>
      <c r="J55" s="191">
        <f t="shared" si="13"/>
        <v>5.193654703631978E-2</v>
      </c>
      <c r="K55" s="191">
        <f t="shared" si="13"/>
        <v>1</v>
      </c>
    </row>
    <row r="56" spans="1:11" x14ac:dyDescent="0.2">
      <c r="A56" s="182" t="s">
        <v>79</v>
      </c>
      <c r="B56" s="214">
        <f t="shared" si="12"/>
        <v>4891</v>
      </c>
      <c r="C56" s="191">
        <f t="shared" si="13"/>
        <v>0.51554969643187443</v>
      </c>
      <c r="D56" s="191">
        <f t="shared" si="13"/>
        <v>3.9346663603541852E-2</v>
      </c>
      <c r="E56" s="191">
        <f t="shared" si="13"/>
        <v>9.7559992456339756E-2</v>
      </c>
      <c r="F56" s="191">
        <f t="shared" si="13"/>
        <v>4.0323223983873717E-2</v>
      </c>
      <c r="G56" s="191">
        <f t="shared" si="13"/>
        <v>0.10975723481536397</v>
      </c>
      <c r="H56" s="191">
        <f t="shared" si="13"/>
        <v>7.0333020783782702E-2</v>
      </c>
      <c r="I56" s="191">
        <f t="shared" si="13"/>
        <v>8.0332542504868293E-2</v>
      </c>
      <c r="J56" s="191">
        <f t="shared" si="13"/>
        <v>4.6797625420355309E-2</v>
      </c>
      <c r="K56" s="191">
        <f t="shared" si="13"/>
        <v>1</v>
      </c>
    </row>
    <row r="57" spans="1:11" x14ac:dyDescent="0.2">
      <c r="A57" s="182" t="s">
        <v>80</v>
      </c>
      <c r="B57" s="220">
        <f t="shared" si="12"/>
        <v>1519</v>
      </c>
      <c r="C57" s="193">
        <f t="shared" si="13"/>
        <v>0.57442691675691748</v>
      </c>
      <c r="D57" s="193">
        <f t="shared" si="13"/>
        <v>3.9040573665297597E-2</v>
      </c>
      <c r="E57" s="193">
        <f t="shared" si="13"/>
        <v>0.12763085439218722</v>
      </c>
      <c r="F57" s="193">
        <f t="shared" si="13"/>
        <v>1.6408314314855101E-2</v>
      </c>
      <c r="G57" s="193">
        <f t="shared" si="13"/>
        <v>0.12665627163657886</v>
      </c>
      <c r="H57" s="193">
        <f t="shared" si="13"/>
        <v>6.596289487785309E-2</v>
      </c>
      <c r="I57" s="193">
        <f t="shared" si="13"/>
        <v>3.6258144103687058E-2</v>
      </c>
      <c r="J57" s="193">
        <f t="shared" si="13"/>
        <v>1.3616030252623786E-2</v>
      </c>
      <c r="K57" s="193">
        <f t="shared" si="13"/>
        <v>1</v>
      </c>
    </row>
    <row r="58" spans="1:11" x14ac:dyDescent="0.2">
      <c r="A58" s="182" t="s">
        <v>219</v>
      </c>
      <c r="B58" s="214">
        <f>SUM(B52:B57)</f>
        <v>95380</v>
      </c>
      <c r="C58" s="191">
        <f t="shared" si="13"/>
        <v>0.54943860958028012</v>
      </c>
      <c r="D58" s="191">
        <f t="shared" si="13"/>
        <v>0.10472431538755192</v>
      </c>
      <c r="E58" s="191">
        <f t="shared" si="13"/>
        <v>5.4321579905436602E-2</v>
      </c>
      <c r="F58" s="191">
        <f t="shared" si="13"/>
        <v>5.1752961087830548E-2</v>
      </c>
      <c r="G58" s="191">
        <f t="shared" si="13"/>
        <v>8.7907122761778464E-2</v>
      </c>
      <c r="H58" s="191">
        <f t="shared" si="13"/>
        <v>4.7129889582392205E-2</v>
      </c>
      <c r="I58" s="191">
        <f t="shared" si="13"/>
        <v>4.9658742018551194E-2</v>
      </c>
      <c r="J58" s="191">
        <f t="shared" si="13"/>
        <v>5.5066779676178769E-2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21519</v>
      </c>
      <c r="C60" s="191">
        <f t="shared" ref="C60:K65" si="14">C36/$K36</f>
        <v>0.5191995548865338</v>
      </c>
      <c r="D60" s="191">
        <f t="shared" si="14"/>
        <v>0.10276961208275852</v>
      </c>
      <c r="E60" s="191">
        <f t="shared" si="14"/>
        <v>3.8531129988898183E-2</v>
      </c>
      <c r="F60" s="191">
        <f t="shared" si="14"/>
        <v>5.867499745639583E-2</v>
      </c>
      <c r="G60" s="191">
        <f t="shared" si="14"/>
        <v>0.1052611944139344</v>
      </c>
      <c r="H60" s="191">
        <f t="shared" si="14"/>
        <v>4.0106813221969968E-2</v>
      </c>
      <c r="I60" s="191">
        <f t="shared" si="14"/>
        <v>8.780515190822076E-2</v>
      </c>
      <c r="J60" s="191">
        <f t="shared" si="14"/>
        <v>4.7651546041288621E-2</v>
      </c>
      <c r="K60" s="191">
        <f t="shared" si="14"/>
        <v>1</v>
      </c>
    </row>
    <row r="61" spans="1:11" x14ac:dyDescent="0.2">
      <c r="A61" s="182" t="s">
        <v>82</v>
      </c>
      <c r="B61" s="214">
        <f>B37</f>
        <v>5945</v>
      </c>
      <c r="C61" s="191">
        <f t="shared" si="14"/>
        <v>0.43868449386013164</v>
      </c>
      <c r="D61" s="191">
        <f t="shared" si="14"/>
        <v>8.5581947297397459E-2</v>
      </c>
      <c r="E61" s="191">
        <f t="shared" si="14"/>
        <v>5.1579442682893072E-2</v>
      </c>
      <c r="F61" s="191">
        <f t="shared" si="14"/>
        <v>5.9207000542013916E-2</v>
      </c>
      <c r="G61" s="191">
        <f t="shared" si="14"/>
        <v>9.8720046822741173E-2</v>
      </c>
      <c r="H61" s="191">
        <f t="shared" si="14"/>
        <v>5.9053916420297177E-2</v>
      </c>
      <c r="I61" s="191">
        <f t="shared" si="14"/>
        <v>0.11223615960010695</v>
      </c>
      <c r="J61" s="191">
        <f t="shared" si="14"/>
        <v>9.4936992774418749E-2</v>
      </c>
      <c r="K61" s="191">
        <f t="shared" si="14"/>
        <v>1</v>
      </c>
    </row>
    <row r="62" spans="1:11" x14ac:dyDescent="0.2">
      <c r="A62" s="182" t="s">
        <v>83</v>
      </c>
      <c r="B62" s="214">
        <f>B38</f>
        <v>4371</v>
      </c>
      <c r="C62" s="191">
        <f t="shared" si="14"/>
        <v>0.43531501507321857</v>
      </c>
      <c r="D62" s="191">
        <f t="shared" si="14"/>
        <v>6.2328466185552295E-2</v>
      </c>
      <c r="E62" s="191">
        <f t="shared" si="14"/>
        <v>6.115036226036203E-2</v>
      </c>
      <c r="F62" s="191">
        <f t="shared" si="14"/>
        <v>6.7702749378065794E-2</v>
      </c>
      <c r="G62" s="191">
        <f t="shared" si="14"/>
        <v>0.11102400786680409</v>
      </c>
      <c r="H62" s="191">
        <f t="shared" si="14"/>
        <v>7.7116042325930098E-2</v>
      </c>
      <c r="I62" s="191">
        <f t="shared" si="14"/>
        <v>0.11443057063427813</v>
      </c>
      <c r="J62" s="191">
        <f t="shared" si="14"/>
        <v>7.0932786275789014E-2</v>
      </c>
      <c r="K62" s="191">
        <f t="shared" si="14"/>
        <v>1</v>
      </c>
    </row>
    <row r="63" spans="1:11" x14ac:dyDescent="0.2">
      <c r="A63" s="182" t="s">
        <v>84</v>
      </c>
      <c r="B63" s="214">
        <f>B39</f>
        <v>4839</v>
      </c>
      <c r="C63" s="191">
        <f t="shared" si="14"/>
        <v>0.44688924363053412</v>
      </c>
      <c r="D63" s="191">
        <f t="shared" si="14"/>
        <v>5.821476225797443E-2</v>
      </c>
      <c r="E63" s="191">
        <f t="shared" si="14"/>
        <v>8.0999692228337333E-2</v>
      </c>
      <c r="F63" s="191">
        <f t="shared" si="14"/>
        <v>5.4806890610970965E-2</v>
      </c>
      <c r="G63" s="191">
        <f t="shared" si="14"/>
        <v>0.13846174684597956</v>
      </c>
      <c r="H63" s="191">
        <f t="shared" si="14"/>
        <v>8.0460268502927756E-2</v>
      </c>
      <c r="I63" s="191">
        <f t="shared" si="14"/>
        <v>9.4290297558416183E-2</v>
      </c>
      <c r="J63" s="191">
        <f t="shared" si="14"/>
        <v>4.5877098364859425E-2</v>
      </c>
      <c r="K63" s="191">
        <f t="shared" si="14"/>
        <v>1</v>
      </c>
    </row>
    <row r="64" spans="1:11" x14ac:dyDescent="0.2">
      <c r="A64" s="182" t="s">
        <v>85</v>
      </c>
      <c r="B64" s="220">
        <f>B40</f>
        <v>1571</v>
      </c>
      <c r="C64" s="193">
        <f t="shared" si="14"/>
        <v>0.39992380943799005</v>
      </c>
      <c r="D64" s="193">
        <f t="shared" si="14"/>
        <v>3.4708387950077683E-2</v>
      </c>
      <c r="E64" s="193">
        <f t="shared" si="14"/>
        <v>0.13246915791461436</v>
      </c>
      <c r="F64" s="193">
        <f t="shared" si="14"/>
        <v>3.0695884468914313E-2</v>
      </c>
      <c r="G64" s="193">
        <f t="shared" si="14"/>
        <v>0.14815893227749866</v>
      </c>
      <c r="H64" s="193">
        <f t="shared" si="14"/>
        <v>8.6804769331768533E-2</v>
      </c>
      <c r="I64" s="193">
        <f t="shared" si="14"/>
        <v>0.11243228425482027</v>
      </c>
      <c r="J64" s="193">
        <f t="shared" si="14"/>
        <v>5.480677436431633E-2</v>
      </c>
      <c r="K64" s="193">
        <f t="shared" si="14"/>
        <v>1</v>
      </c>
    </row>
    <row r="65" spans="1:11" x14ac:dyDescent="0.2">
      <c r="A65" s="182" t="s">
        <v>220</v>
      </c>
      <c r="B65" s="214">
        <f>SUM(B60:B64)</f>
        <v>38245</v>
      </c>
      <c r="C65" s="191">
        <f t="shared" si="14"/>
        <v>0.47626784694634239</v>
      </c>
      <c r="D65" s="191">
        <f t="shared" si="14"/>
        <v>8.2992392191770556E-2</v>
      </c>
      <c r="E65" s="191">
        <f t="shared" si="14"/>
        <v>5.7264366622019905E-2</v>
      </c>
      <c r="F65" s="191">
        <f t="shared" si="14"/>
        <v>5.7022249452159543E-2</v>
      </c>
      <c r="G65" s="191">
        <f t="shared" si="14"/>
        <v>0.11358647294731651</v>
      </c>
      <c r="H65" s="191">
        <f t="shared" si="14"/>
        <v>5.7416847539034525E-2</v>
      </c>
      <c r="I65" s="191">
        <f t="shared" si="14"/>
        <v>9.7598447281373735E-2</v>
      </c>
      <c r="J65" s="191">
        <f t="shared" si="14"/>
        <v>5.7851377019982962E-2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10156</v>
      </c>
      <c r="C67" s="191">
        <f t="shared" ref="C67:K69" si="15">C43/$K43</f>
        <v>0.53462191185202079</v>
      </c>
      <c r="D67" s="191">
        <f t="shared" si="15"/>
        <v>5.7334085935464407E-2</v>
      </c>
      <c r="E67" s="191">
        <f t="shared" si="15"/>
        <v>5.2686717605877502E-2</v>
      </c>
      <c r="F67" s="191">
        <f t="shared" si="15"/>
        <v>5.8989719110213563E-2</v>
      </c>
      <c r="G67" s="191">
        <f t="shared" si="15"/>
        <v>9.7790385763979609E-2</v>
      </c>
      <c r="H67" s="191">
        <f t="shared" si="15"/>
        <v>5.9707358845914597E-2</v>
      </c>
      <c r="I67" s="191">
        <f t="shared" si="15"/>
        <v>7.5783177533737825E-2</v>
      </c>
      <c r="J67" s="191">
        <f t="shared" si="15"/>
        <v>6.3086643352791752E-2</v>
      </c>
      <c r="K67" s="191">
        <f t="shared" si="15"/>
        <v>1</v>
      </c>
    </row>
    <row r="68" spans="1:11" x14ac:dyDescent="0.2">
      <c r="A68" s="182" t="s">
        <v>87</v>
      </c>
      <c r="B68" s="220">
        <f>B44</f>
        <v>7652</v>
      </c>
      <c r="C68" s="193">
        <f t="shared" si="15"/>
        <v>0.48477520175979588</v>
      </c>
      <c r="D68" s="193">
        <f t="shared" si="15"/>
        <v>4.1415365627781801E-2</v>
      </c>
      <c r="E68" s="193">
        <f t="shared" si="15"/>
        <v>9.7896197029977663E-2</v>
      </c>
      <c r="F68" s="193">
        <f t="shared" si="15"/>
        <v>3.7077033987025478E-2</v>
      </c>
      <c r="G68" s="193">
        <f t="shared" si="15"/>
        <v>0.12086117696416604</v>
      </c>
      <c r="H68" s="193">
        <f t="shared" si="15"/>
        <v>7.5435052495625154E-2</v>
      </c>
      <c r="I68" s="193">
        <f t="shared" si="15"/>
        <v>9.2080524093009569E-2</v>
      </c>
      <c r="J68" s="193">
        <f t="shared" si="15"/>
        <v>5.0459448042618302E-2</v>
      </c>
      <c r="K68" s="193">
        <f t="shared" si="15"/>
        <v>1</v>
      </c>
    </row>
    <row r="69" spans="1:11" x14ac:dyDescent="0.2">
      <c r="A69" s="182" t="s">
        <v>221</v>
      </c>
      <c r="B69" s="214">
        <f>SUM(B67:B68)</f>
        <v>17808</v>
      </c>
      <c r="C69" s="191">
        <f t="shared" si="15"/>
        <v>0.50862946332958092</v>
      </c>
      <c r="D69" s="191">
        <f t="shared" si="15"/>
        <v>4.9033307060087898E-2</v>
      </c>
      <c r="E69" s="191">
        <f t="shared" si="15"/>
        <v>7.6261093216285505E-2</v>
      </c>
      <c r="F69" s="191">
        <f t="shared" si="15"/>
        <v>4.7563401525781056E-2</v>
      </c>
      <c r="G69" s="191">
        <f t="shared" si="15"/>
        <v>0.1098205950101529</v>
      </c>
      <c r="H69" s="191">
        <f t="shared" si="15"/>
        <v>6.7908527324445134E-2</v>
      </c>
      <c r="I69" s="191">
        <f t="shared" si="15"/>
        <v>8.4281390168242432E-2</v>
      </c>
      <c r="J69" s="191">
        <f t="shared" si="15"/>
        <v>5.6502222365424092E-2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151433</v>
      </c>
      <c r="C71" s="195">
        <f t="shared" ref="C71:K71" si="16">C47/$K47</f>
        <v>0.52370098232576778</v>
      </c>
      <c r="D71" s="195">
        <f t="shared" si="16"/>
        <v>9.1207914483833641E-2</v>
      </c>
      <c r="E71" s="195">
        <f t="shared" si="16"/>
        <v>5.8092407215039069E-2</v>
      </c>
      <c r="F71" s="195">
        <f t="shared" si="16"/>
        <v>5.2645688683264275E-2</v>
      </c>
      <c r="G71" s="195">
        <f t="shared" si="16"/>
        <v>9.796291238250171E-2</v>
      </c>
      <c r="H71" s="195">
        <f t="shared" si="16"/>
        <v>5.2775507842953658E-2</v>
      </c>
      <c r="I71" s="195">
        <f t="shared" si="16"/>
        <v>6.7584181553658168E-2</v>
      </c>
      <c r="J71" s="195">
        <f t="shared" si="16"/>
        <v>5.6030405512981725E-2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75"/>
  <sheetViews>
    <sheetView topLeftCell="A46" zoomScaleNormal="100" workbookViewId="0">
      <selection activeCell="E73" sqref="E73"/>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1310</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
        <v>1308</v>
      </c>
      <c r="C3" s="12" t="s">
        <v>1311</v>
      </c>
      <c r="D3" s="12" t="s">
        <v>1312</v>
      </c>
      <c r="E3" s="12" t="s">
        <v>1313</v>
      </c>
      <c r="F3" s="12" t="s">
        <v>1314</v>
      </c>
      <c r="G3" s="12" t="s">
        <v>1315</v>
      </c>
      <c r="H3" s="12" t="s">
        <v>1316</v>
      </c>
      <c r="I3" s="12" t="s">
        <v>1317</v>
      </c>
      <c r="J3" s="12" t="s">
        <v>1318</v>
      </c>
      <c r="K3" s="12" t="s">
        <v>1319</v>
      </c>
    </row>
    <row r="4" spans="1:24" ht="15" x14ac:dyDescent="0.25">
      <c r="A4" s="33" t="s">
        <v>102</v>
      </c>
      <c r="B4" s="214">
        <v>40614</v>
      </c>
      <c r="C4" s="214">
        <v>222995074.59</v>
      </c>
      <c r="D4" s="214">
        <v>51579733.75</v>
      </c>
      <c r="E4" s="214">
        <v>14320381.769999998</v>
      </c>
      <c r="F4" s="214">
        <v>22020496.220000003</v>
      </c>
      <c r="G4" s="214">
        <v>30534146.010000002</v>
      </c>
      <c r="H4" s="214">
        <v>16857376.610000003</v>
      </c>
      <c r="I4" s="214">
        <v>14770404.990000002</v>
      </c>
      <c r="J4" s="214">
        <v>18332328.289999999</v>
      </c>
      <c r="K4" s="214">
        <f t="shared" ref="K4:K9" si="0">SUM(C4:J4)</f>
        <v>391409942.23000008</v>
      </c>
      <c r="N4" s="214"/>
      <c r="O4" s="294"/>
      <c r="P4" s="293"/>
      <c r="Q4" s="293"/>
      <c r="R4" s="293"/>
      <c r="S4" s="293"/>
      <c r="T4" s="293"/>
      <c r="U4" s="293"/>
      <c r="V4" s="293"/>
      <c r="W4" s="293"/>
      <c r="X4" s="293"/>
    </row>
    <row r="5" spans="1:24" ht="15" x14ac:dyDescent="0.25">
      <c r="A5" s="33" t="s">
        <v>76</v>
      </c>
      <c r="B5" s="214">
        <v>21203</v>
      </c>
      <c r="C5" s="214">
        <v>119308787.52000001</v>
      </c>
      <c r="D5" s="214">
        <v>27724422.43</v>
      </c>
      <c r="E5" s="214">
        <v>9726214.6000000034</v>
      </c>
      <c r="F5" s="214">
        <v>12731101.819999998</v>
      </c>
      <c r="G5" s="214">
        <v>23007112.840000004</v>
      </c>
      <c r="H5" s="214">
        <v>9445676.379999999</v>
      </c>
      <c r="I5" s="214">
        <v>11248689.340000004</v>
      </c>
      <c r="J5" s="214">
        <v>21444254.77</v>
      </c>
      <c r="K5" s="214">
        <f t="shared" si="0"/>
        <v>234636259.70000002</v>
      </c>
      <c r="N5" s="214"/>
      <c r="O5" s="294"/>
      <c r="P5" s="293"/>
      <c r="Q5" s="293"/>
      <c r="R5" s="293"/>
      <c r="S5" s="293"/>
      <c r="T5" s="293"/>
      <c r="U5" s="293"/>
      <c r="V5" s="293"/>
      <c r="W5" s="293"/>
      <c r="X5" s="293"/>
    </row>
    <row r="6" spans="1:24" ht="15" x14ac:dyDescent="0.25">
      <c r="A6" s="33" t="s">
        <v>77</v>
      </c>
      <c r="B6" s="214">
        <v>14952</v>
      </c>
      <c r="C6" s="214">
        <v>89650349.600000024</v>
      </c>
      <c r="D6" s="214">
        <v>14265931.819999998</v>
      </c>
      <c r="E6" s="214">
        <v>10633613.090000002</v>
      </c>
      <c r="F6" s="214">
        <v>9330492.2799999993</v>
      </c>
      <c r="G6" s="214">
        <v>15116200.619999999</v>
      </c>
      <c r="H6" s="214">
        <v>7318759.6000000006</v>
      </c>
      <c r="I6" s="214">
        <v>10047351.719999999</v>
      </c>
      <c r="J6" s="214">
        <v>8466830.9400000013</v>
      </c>
      <c r="K6" s="214">
        <f t="shared" si="0"/>
        <v>164829529.67000002</v>
      </c>
      <c r="N6" s="214"/>
      <c r="O6" s="294"/>
      <c r="P6" s="293"/>
      <c r="Q6" s="293"/>
      <c r="R6" s="293"/>
      <c r="S6" s="293"/>
      <c r="T6" s="293"/>
      <c r="U6" s="293"/>
      <c r="V6" s="293"/>
      <c r="W6" s="293"/>
      <c r="X6" s="293"/>
    </row>
    <row r="7" spans="1:24" ht="15" x14ac:dyDescent="0.25">
      <c r="A7" s="33" t="s">
        <v>78</v>
      </c>
      <c r="B7" s="214">
        <v>11202</v>
      </c>
      <c r="C7" s="214">
        <v>66776701.360000014</v>
      </c>
      <c r="D7" s="214">
        <v>7146469.6100000013</v>
      </c>
      <c r="E7" s="214">
        <v>9779479.2999999989</v>
      </c>
      <c r="F7" s="214">
        <v>4857830.3299999991</v>
      </c>
      <c r="G7" s="214">
        <v>12321550.839999998</v>
      </c>
      <c r="H7" s="214">
        <v>6283693.669999999</v>
      </c>
      <c r="I7" s="214">
        <v>8378369.2000000002</v>
      </c>
      <c r="J7" s="214">
        <v>6788703.7599999988</v>
      </c>
      <c r="K7" s="214">
        <f t="shared" si="0"/>
        <v>122332798.07000002</v>
      </c>
      <c r="N7" s="214"/>
      <c r="O7" s="294"/>
      <c r="P7" s="293"/>
      <c r="Q7" s="293"/>
      <c r="R7" s="293"/>
      <c r="S7" s="293"/>
      <c r="T7" s="293"/>
      <c r="U7" s="293"/>
      <c r="V7" s="293"/>
      <c r="W7" s="293"/>
      <c r="X7" s="293"/>
    </row>
    <row r="8" spans="1:24" ht="15" x14ac:dyDescent="0.25">
      <c r="A8" s="33" t="s">
        <v>79</v>
      </c>
      <c r="B8" s="214">
        <v>5029</v>
      </c>
      <c r="C8" s="214">
        <v>33464886.269999992</v>
      </c>
      <c r="D8" s="214">
        <v>2680810.8999999994</v>
      </c>
      <c r="E8" s="214">
        <v>6156321.6500000013</v>
      </c>
      <c r="F8" s="214">
        <v>2667640.4300000002</v>
      </c>
      <c r="G8" s="214">
        <v>7769003.2699999996</v>
      </c>
      <c r="H8" s="214">
        <v>4757503.1499999994</v>
      </c>
      <c r="I8" s="214">
        <v>5086844.660000002</v>
      </c>
      <c r="J8" s="214">
        <v>2115583.9</v>
      </c>
      <c r="K8" s="214">
        <f t="shared" si="0"/>
        <v>64698594.229999997</v>
      </c>
      <c r="N8" s="214"/>
      <c r="O8" s="294"/>
      <c r="P8" s="293"/>
      <c r="Q8" s="293"/>
      <c r="R8" s="293"/>
      <c r="S8" s="293"/>
      <c r="T8" s="293"/>
      <c r="U8" s="293"/>
      <c r="V8" s="293"/>
      <c r="W8" s="293"/>
      <c r="X8" s="293"/>
    </row>
    <row r="9" spans="1:24" ht="15" x14ac:dyDescent="0.25">
      <c r="A9" s="33" t="s">
        <v>80</v>
      </c>
      <c r="B9" s="220">
        <v>1578</v>
      </c>
      <c r="C9" s="220">
        <v>14368125.750000002</v>
      </c>
      <c r="D9" s="220">
        <v>856512.04000000027</v>
      </c>
      <c r="E9" s="220">
        <v>2721574.99</v>
      </c>
      <c r="F9" s="220">
        <v>323494.68</v>
      </c>
      <c r="G9" s="220">
        <v>3036080.1599999997</v>
      </c>
      <c r="H9" s="220">
        <v>1506628.4600000002</v>
      </c>
      <c r="I9" s="220">
        <v>817568.93000000017</v>
      </c>
      <c r="J9" s="220">
        <v>588859.04999999993</v>
      </c>
      <c r="K9" s="220">
        <f t="shared" si="0"/>
        <v>24218844.060000002</v>
      </c>
      <c r="N9" s="214"/>
      <c r="O9" s="294"/>
      <c r="P9" s="293"/>
      <c r="Q9" s="293"/>
      <c r="R9" s="293"/>
      <c r="S9" s="293"/>
      <c r="T9" s="293"/>
      <c r="U9" s="293"/>
      <c r="V9" s="293"/>
      <c r="W9" s="293"/>
      <c r="X9" s="293"/>
    </row>
    <row r="10" spans="1:24" x14ac:dyDescent="0.2">
      <c r="A10" s="182" t="s">
        <v>103</v>
      </c>
      <c r="B10" s="214">
        <f t="shared" ref="B10:K10" si="1">SUM(B4:B9)</f>
        <v>94578</v>
      </c>
      <c r="C10" s="214">
        <f t="shared" si="1"/>
        <v>546563925.09000003</v>
      </c>
      <c r="D10" s="214">
        <f t="shared" si="1"/>
        <v>104253880.55000001</v>
      </c>
      <c r="E10" s="214">
        <f t="shared" si="1"/>
        <v>53337585.399999999</v>
      </c>
      <c r="F10" s="214">
        <f t="shared" si="1"/>
        <v>51931055.759999998</v>
      </c>
      <c r="G10" s="214">
        <f t="shared" si="1"/>
        <v>91784093.74000001</v>
      </c>
      <c r="H10" s="214">
        <f t="shared" si="1"/>
        <v>46169637.870000005</v>
      </c>
      <c r="I10" s="214">
        <f t="shared" si="1"/>
        <v>50349228.840000011</v>
      </c>
      <c r="J10" s="214">
        <f t="shared" si="1"/>
        <v>57736560.709999993</v>
      </c>
      <c r="K10" s="214">
        <f t="shared" si="1"/>
        <v>1002125967.9600003</v>
      </c>
      <c r="N10" s="214"/>
    </row>
    <row r="11" spans="1:24" x14ac:dyDescent="0.2">
      <c r="A11" s="33"/>
      <c r="B11" s="214"/>
      <c r="C11" s="214"/>
      <c r="D11" s="214"/>
      <c r="E11" s="214"/>
      <c r="F11" s="214"/>
      <c r="G11" s="214"/>
      <c r="H11" s="214"/>
      <c r="I11" s="214"/>
      <c r="J11" s="214"/>
      <c r="K11" s="182"/>
      <c r="N11" s="214"/>
    </row>
    <row r="12" spans="1:24" ht="15" x14ac:dyDescent="0.25">
      <c r="A12" s="33" t="s">
        <v>81</v>
      </c>
      <c r="B12" s="214">
        <v>19924</v>
      </c>
      <c r="C12" s="214">
        <v>112561124.97000001</v>
      </c>
      <c r="D12" s="214">
        <v>21868656.369999997</v>
      </c>
      <c r="E12" s="214">
        <v>8175029.1699999999</v>
      </c>
      <c r="F12" s="214">
        <v>12575924.410000002</v>
      </c>
      <c r="G12" s="214">
        <v>19709466.93</v>
      </c>
      <c r="H12" s="214">
        <v>8828664.1900000013</v>
      </c>
      <c r="I12" s="214">
        <v>19785008.039999999</v>
      </c>
      <c r="J12" s="214">
        <v>10984000.59</v>
      </c>
      <c r="K12" s="214">
        <f>SUM(C12:J12)</f>
        <v>214487874.66999999</v>
      </c>
      <c r="N12" s="214"/>
      <c r="O12" s="294"/>
      <c r="P12" s="293"/>
      <c r="Q12" s="293"/>
      <c r="R12" s="293"/>
      <c r="S12" s="293"/>
      <c r="T12" s="293"/>
      <c r="U12" s="293"/>
      <c r="V12" s="293"/>
      <c r="W12" s="293"/>
      <c r="X12" s="293"/>
    </row>
    <row r="13" spans="1:24" ht="15" x14ac:dyDescent="0.25">
      <c r="A13" s="33" t="s">
        <v>82</v>
      </c>
      <c r="B13" s="214">
        <v>7627</v>
      </c>
      <c r="C13" s="214">
        <v>41046356.210000008</v>
      </c>
      <c r="D13" s="214">
        <v>7992282.6800000016</v>
      </c>
      <c r="E13" s="214">
        <v>4623476.4800000004</v>
      </c>
      <c r="F13" s="214">
        <v>5766602.2000000011</v>
      </c>
      <c r="G13" s="214">
        <v>10057538.93</v>
      </c>
      <c r="H13" s="214">
        <v>5299785.47</v>
      </c>
      <c r="I13" s="214">
        <v>9671386.0500000007</v>
      </c>
      <c r="J13" s="214">
        <v>6004253.5600000015</v>
      </c>
      <c r="K13" s="214">
        <f>SUM(C13:J13)</f>
        <v>90461681.579999998</v>
      </c>
      <c r="N13" s="214"/>
      <c r="O13" s="294"/>
      <c r="P13" s="293"/>
      <c r="Q13" s="293"/>
      <c r="R13" s="293"/>
      <c r="S13" s="293"/>
      <c r="T13" s="293"/>
      <c r="U13" s="293"/>
      <c r="V13" s="293"/>
      <c r="W13" s="293"/>
      <c r="X13" s="293"/>
    </row>
    <row r="14" spans="1:24" ht="15" x14ac:dyDescent="0.25">
      <c r="A14" s="33" t="s">
        <v>83</v>
      </c>
      <c r="B14" s="214">
        <v>4350</v>
      </c>
      <c r="C14" s="214">
        <v>24717263.110000003</v>
      </c>
      <c r="D14" s="214">
        <v>3839359.94</v>
      </c>
      <c r="E14" s="214">
        <v>3359721.66</v>
      </c>
      <c r="F14" s="214">
        <v>3724845.96</v>
      </c>
      <c r="G14" s="214">
        <v>6825593.5</v>
      </c>
      <c r="H14" s="214">
        <v>3715311.0900000003</v>
      </c>
      <c r="I14" s="214">
        <v>6088943.3500000015</v>
      </c>
      <c r="J14" s="214">
        <v>2393606.79</v>
      </c>
      <c r="K14" s="214">
        <f>SUM(C14:J14)</f>
        <v>54664645.400000006</v>
      </c>
      <c r="N14" s="214"/>
      <c r="O14" s="294"/>
      <c r="P14" s="293"/>
      <c r="Q14" s="293"/>
      <c r="R14" s="293"/>
      <c r="S14" s="293"/>
      <c r="T14" s="293"/>
      <c r="U14" s="293"/>
      <c r="V14" s="293"/>
      <c r="W14" s="293"/>
      <c r="X14" s="293"/>
    </row>
    <row r="15" spans="1:24" ht="15" x14ac:dyDescent="0.25">
      <c r="A15" s="33" t="s">
        <v>84</v>
      </c>
      <c r="B15" s="214">
        <v>4471</v>
      </c>
      <c r="C15" s="214">
        <v>31317625.379999999</v>
      </c>
      <c r="D15" s="214">
        <v>3665776.4300000011</v>
      </c>
      <c r="E15" s="214">
        <v>5395214.3599999994</v>
      </c>
      <c r="F15" s="214">
        <v>3685559.4800000004</v>
      </c>
      <c r="G15" s="214">
        <v>9385636.7299999967</v>
      </c>
      <c r="H15" s="214">
        <v>5832165.6000000015</v>
      </c>
      <c r="I15" s="214">
        <v>6410715.5499999998</v>
      </c>
      <c r="J15" s="214">
        <v>2828865.2800000003</v>
      </c>
      <c r="K15" s="214">
        <f>SUM(C15:J15)</f>
        <v>68521558.810000002</v>
      </c>
      <c r="N15" s="214"/>
      <c r="O15" s="294"/>
      <c r="P15" s="293"/>
      <c r="Q15" s="293"/>
      <c r="R15" s="293"/>
      <c r="S15" s="293"/>
      <c r="T15" s="293"/>
      <c r="U15" s="293"/>
      <c r="V15" s="293"/>
      <c r="W15" s="293"/>
      <c r="X15" s="293"/>
    </row>
    <row r="16" spans="1:24" ht="15" x14ac:dyDescent="0.25">
      <c r="A16" s="33" t="s">
        <v>85</v>
      </c>
      <c r="B16" s="220">
        <v>1663</v>
      </c>
      <c r="C16" s="220">
        <v>15552303.450000003</v>
      </c>
      <c r="D16" s="220">
        <v>1343344.1600000001</v>
      </c>
      <c r="E16" s="220">
        <v>4844253.97</v>
      </c>
      <c r="F16" s="220">
        <v>1262997.53</v>
      </c>
      <c r="G16" s="220">
        <v>5714662.2600000007</v>
      </c>
      <c r="H16" s="220">
        <v>3404408.99</v>
      </c>
      <c r="I16" s="220">
        <v>4072629.3399999994</v>
      </c>
      <c r="J16" s="220">
        <v>1861702.92</v>
      </c>
      <c r="K16" s="220">
        <f>SUM(C16:J16)</f>
        <v>38056302.620000005</v>
      </c>
      <c r="N16" s="214"/>
      <c r="O16" s="294"/>
      <c r="P16" s="293"/>
      <c r="Q16" s="293"/>
      <c r="R16" s="293"/>
      <c r="S16" s="293"/>
      <c r="T16" s="293"/>
      <c r="U16" s="293"/>
      <c r="V16" s="293"/>
      <c r="W16" s="293"/>
      <c r="X16" s="293"/>
    </row>
    <row r="17" spans="1:24" x14ac:dyDescent="0.2">
      <c r="A17" s="182" t="s">
        <v>104</v>
      </c>
      <c r="B17" s="214">
        <f t="shared" ref="B17:K17" si="2">SUM(B12:B16)</f>
        <v>38035</v>
      </c>
      <c r="C17" s="214">
        <f t="shared" si="2"/>
        <v>225194673.12</v>
      </c>
      <c r="D17" s="214">
        <f t="shared" si="2"/>
        <v>38709419.579999998</v>
      </c>
      <c r="E17" s="214">
        <f t="shared" si="2"/>
        <v>26397695.640000001</v>
      </c>
      <c r="F17" s="214">
        <f t="shared" si="2"/>
        <v>27015929.580000006</v>
      </c>
      <c r="G17" s="214">
        <f t="shared" si="2"/>
        <v>51692898.349999994</v>
      </c>
      <c r="H17" s="214">
        <f t="shared" si="2"/>
        <v>27080335.340000004</v>
      </c>
      <c r="I17" s="214">
        <f t="shared" si="2"/>
        <v>46028682.329999991</v>
      </c>
      <c r="J17" s="214">
        <f t="shared" si="2"/>
        <v>24072429.140000001</v>
      </c>
      <c r="K17" s="214">
        <f t="shared" si="2"/>
        <v>466192063.07999998</v>
      </c>
    </row>
    <row r="18" spans="1:24" x14ac:dyDescent="0.2">
      <c r="A18" s="33"/>
      <c r="B18" s="214"/>
      <c r="C18" s="214"/>
      <c r="D18" s="214"/>
      <c r="E18" s="214"/>
      <c r="F18" s="214"/>
      <c r="G18" s="214"/>
      <c r="H18" s="214"/>
      <c r="I18" s="214"/>
      <c r="J18" s="214"/>
      <c r="K18" s="182"/>
    </row>
    <row r="19" spans="1:24" ht="15" x14ac:dyDescent="0.25">
      <c r="A19" s="33" t="s">
        <v>86</v>
      </c>
      <c r="B19" s="214">
        <v>10031</v>
      </c>
      <c r="C19" s="214">
        <v>59046316.130000018</v>
      </c>
      <c r="D19" s="214">
        <v>5975518.4299999997</v>
      </c>
      <c r="E19" s="214">
        <v>5743848.1800000006</v>
      </c>
      <c r="F19" s="214">
        <v>5996452.7200000007</v>
      </c>
      <c r="G19" s="214">
        <v>10755796.239999998</v>
      </c>
      <c r="H19" s="214">
        <v>6448420.7599999998</v>
      </c>
      <c r="I19" s="214">
        <v>8270848.3700000001</v>
      </c>
      <c r="J19" s="214">
        <v>6674336.6500000004</v>
      </c>
      <c r="K19" s="214">
        <f>SUM(C19:J19)</f>
        <v>108911537.48000003</v>
      </c>
      <c r="O19" s="294"/>
      <c r="P19" s="293"/>
      <c r="Q19" s="293"/>
      <c r="R19" s="293"/>
      <c r="S19" s="293"/>
      <c r="T19" s="293"/>
      <c r="U19" s="293"/>
      <c r="V19" s="293"/>
      <c r="W19" s="293"/>
      <c r="X19" s="293"/>
    </row>
    <row r="20" spans="1:24" ht="15" x14ac:dyDescent="0.25">
      <c r="A20" s="33" t="s">
        <v>87</v>
      </c>
      <c r="B20" s="233">
        <v>7543</v>
      </c>
      <c r="C20" s="234">
        <v>59104653.550000004</v>
      </c>
      <c r="D20" s="234">
        <v>4847041.1800000006</v>
      </c>
      <c r="E20" s="234">
        <v>11655630.439999999</v>
      </c>
      <c r="F20" s="234">
        <v>4495005.08</v>
      </c>
      <c r="G20" s="234">
        <v>14417134.929999998</v>
      </c>
      <c r="H20" s="234">
        <v>7932174.7799999993</v>
      </c>
      <c r="I20" s="234">
        <v>10485244.829999998</v>
      </c>
      <c r="J20" s="220">
        <v>4999632.0600000015</v>
      </c>
      <c r="K20" s="220">
        <f>SUM(C20:J20)</f>
        <v>117936516.84999999</v>
      </c>
      <c r="O20" s="294"/>
      <c r="P20" s="293"/>
      <c r="Q20" s="293"/>
      <c r="R20" s="293"/>
      <c r="S20" s="293"/>
      <c r="T20" s="293"/>
      <c r="U20" s="293"/>
      <c r="V20" s="293"/>
      <c r="W20" s="293"/>
      <c r="X20" s="293"/>
    </row>
    <row r="21" spans="1:24" x14ac:dyDescent="0.2">
      <c r="A21" s="182" t="s">
        <v>105</v>
      </c>
      <c r="B21" s="214">
        <f t="shared" ref="B21:K21" si="3">SUM(B19:B20)</f>
        <v>17574</v>
      </c>
      <c r="C21" s="214">
        <f t="shared" si="3"/>
        <v>118150969.68000002</v>
      </c>
      <c r="D21" s="214">
        <f t="shared" si="3"/>
        <v>10822559.609999999</v>
      </c>
      <c r="E21" s="214">
        <f t="shared" si="3"/>
        <v>17399478.620000001</v>
      </c>
      <c r="F21" s="214">
        <f t="shared" si="3"/>
        <v>10491457.800000001</v>
      </c>
      <c r="G21" s="214">
        <f t="shared" si="3"/>
        <v>25172931.169999994</v>
      </c>
      <c r="H21" s="214">
        <f t="shared" si="3"/>
        <v>14380595.539999999</v>
      </c>
      <c r="I21" s="214">
        <f t="shared" si="3"/>
        <v>18756093.199999999</v>
      </c>
      <c r="J21" s="214">
        <f t="shared" si="3"/>
        <v>11673968.710000001</v>
      </c>
      <c r="K21" s="214">
        <f t="shared" si="3"/>
        <v>226848054.33000004</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150187</v>
      </c>
      <c r="C23" s="222">
        <f t="shared" si="4"/>
        <v>889909567.8900001</v>
      </c>
      <c r="D23" s="222">
        <f t="shared" si="4"/>
        <v>153785859.74000001</v>
      </c>
      <c r="E23" s="222">
        <f t="shared" si="4"/>
        <v>97134759.659999996</v>
      </c>
      <c r="F23" s="222">
        <f t="shared" si="4"/>
        <v>89438443.140000015</v>
      </c>
      <c r="G23" s="222">
        <f t="shared" si="4"/>
        <v>168649923.25999999</v>
      </c>
      <c r="H23" s="222">
        <f t="shared" si="4"/>
        <v>87630568.75</v>
      </c>
      <c r="I23" s="222">
        <f t="shared" si="4"/>
        <v>115134004.37</v>
      </c>
      <c r="J23" s="222">
        <f t="shared" si="4"/>
        <v>93482958.560000002</v>
      </c>
      <c r="K23" s="222">
        <f t="shared" si="4"/>
        <v>1695166085.3700004</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FY2016</v>
      </c>
      <c r="C26" s="22"/>
      <c r="D26" s="22"/>
      <c r="E26" s="22"/>
      <c r="F26" s="22"/>
      <c r="G26" s="22"/>
      <c r="H26" s="22"/>
      <c r="I26" s="22"/>
      <c r="J26" s="22"/>
      <c r="K26" s="22"/>
    </row>
    <row r="27" spans="1:24" ht="39" customHeight="1" x14ac:dyDescent="0.2">
      <c r="A27" s="21" t="s">
        <v>245</v>
      </c>
      <c r="B27" s="21" t="str">
        <f>B3</f>
        <v>ANB16</v>
      </c>
      <c r="C27" s="21" t="str">
        <f t="shared" ref="C27:K27" si="5">C3</f>
        <v>16/Pupil Instruction</v>
      </c>
      <c r="D27" s="21" t="str">
        <f t="shared" si="5"/>
        <v>16/Pupil Student Services</v>
      </c>
      <c r="E27" s="21" t="str">
        <f t="shared" si="5"/>
        <v>16/Pupil General Admin</v>
      </c>
      <c r="F27" s="21" t="str">
        <f t="shared" si="5"/>
        <v>16/Pupil Bldg Admin</v>
      </c>
      <c r="G27" s="21" t="str">
        <f t="shared" si="5"/>
        <v>16/Pupil Bldg OM</v>
      </c>
      <c r="H27" s="21" t="str">
        <f t="shared" si="5"/>
        <v>16/Pupil Transport</v>
      </c>
      <c r="I27" s="21" t="str">
        <f t="shared" si="5"/>
        <v>16/Pupil Other</v>
      </c>
      <c r="J27" s="21" t="str">
        <f t="shared" si="5"/>
        <v>16/Pupil Bonds/ Facilities</v>
      </c>
      <c r="K27" s="21" t="str">
        <f t="shared" si="5"/>
        <v>16/Pupil Total</v>
      </c>
    </row>
    <row r="28" spans="1:24" x14ac:dyDescent="0.2">
      <c r="A28" s="182" t="s">
        <v>102</v>
      </c>
      <c r="B28" s="214">
        <f t="shared" ref="B28:B33" si="6">B4</f>
        <v>40614</v>
      </c>
      <c r="C28" s="182">
        <f t="shared" ref="C28:K34" si="7">C4/$B28</f>
        <v>5490.5962128822575</v>
      </c>
      <c r="D28" s="182">
        <f t="shared" si="7"/>
        <v>1269.9988612301177</v>
      </c>
      <c r="E28" s="182">
        <f t="shared" si="7"/>
        <v>352.59717757423545</v>
      </c>
      <c r="F28" s="182">
        <f t="shared" si="7"/>
        <v>542.18979218988534</v>
      </c>
      <c r="G28" s="182">
        <f t="shared" si="7"/>
        <v>751.81331585167675</v>
      </c>
      <c r="H28" s="182">
        <f t="shared" si="7"/>
        <v>415.06319520362445</v>
      </c>
      <c r="I28" s="182">
        <f t="shared" si="7"/>
        <v>363.67767247747088</v>
      </c>
      <c r="J28" s="182">
        <f t="shared" si="7"/>
        <v>451.37953144235973</v>
      </c>
      <c r="K28" s="182">
        <f t="shared" si="7"/>
        <v>9637.3157588516297</v>
      </c>
    </row>
    <row r="29" spans="1:24" ht="15" x14ac:dyDescent="0.25">
      <c r="A29" s="182" t="s">
        <v>76</v>
      </c>
      <c r="B29" s="214">
        <f t="shared" si="6"/>
        <v>21203</v>
      </c>
      <c r="C29" s="182">
        <f t="shared" si="7"/>
        <v>5626.9767259350101</v>
      </c>
      <c r="D29" s="182">
        <f t="shared" si="7"/>
        <v>1307.5707414045182</v>
      </c>
      <c r="E29" s="182">
        <f t="shared" si="7"/>
        <v>458.71879451021096</v>
      </c>
      <c r="F29" s="182">
        <f t="shared" si="7"/>
        <v>600.43870301372442</v>
      </c>
      <c r="G29" s="182">
        <f t="shared" si="7"/>
        <v>1085.0876215629864</v>
      </c>
      <c r="H29" s="182">
        <f t="shared" si="7"/>
        <v>445.4877319247276</v>
      </c>
      <c r="I29" s="182">
        <f t="shared" si="7"/>
        <v>530.52347969626953</v>
      </c>
      <c r="J29" s="182">
        <f t="shared" si="7"/>
        <v>1011.378331839834</v>
      </c>
      <c r="K29" s="182">
        <f t="shared" si="7"/>
        <v>11066.18212988728</v>
      </c>
      <c r="O29" s="247"/>
      <c r="P29" s="273"/>
      <c r="Q29" s="273"/>
      <c r="R29" s="273"/>
      <c r="S29" s="273"/>
      <c r="T29" s="273"/>
      <c r="U29" s="273"/>
    </row>
    <row r="30" spans="1:24" ht="15" x14ac:dyDescent="0.25">
      <c r="A30" s="182" t="s">
        <v>77</v>
      </c>
      <c r="B30" s="214">
        <f t="shared" si="6"/>
        <v>14952</v>
      </c>
      <c r="C30" s="182">
        <f t="shared" si="7"/>
        <v>5995.8767790262191</v>
      </c>
      <c r="D30" s="182">
        <f t="shared" si="7"/>
        <v>954.11529026217215</v>
      </c>
      <c r="E30" s="182">
        <f t="shared" si="7"/>
        <v>711.18332597645815</v>
      </c>
      <c r="F30" s="182">
        <f t="shared" si="7"/>
        <v>624.02971375066875</v>
      </c>
      <c r="G30" s="182">
        <f t="shared" si="7"/>
        <v>1010.9818499197431</v>
      </c>
      <c r="H30" s="182">
        <f t="shared" si="7"/>
        <v>489.48365436062068</v>
      </c>
      <c r="I30" s="182">
        <f t="shared" si="7"/>
        <v>671.97376404494378</v>
      </c>
      <c r="J30" s="182">
        <f t="shared" si="7"/>
        <v>566.26745184590698</v>
      </c>
      <c r="K30" s="182">
        <f t="shared" si="7"/>
        <v>11023.911829186733</v>
      </c>
      <c r="O30" s="247"/>
      <c r="P30" s="273"/>
      <c r="Q30" s="273"/>
      <c r="R30" s="273"/>
      <c r="S30" s="273"/>
      <c r="T30" s="273"/>
      <c r="U30" s="273"/>
    </row>
    <row r="31" spans="1:24" ht="15" x14ac:dyDescent="0.25">
      <c r="A31" s="182" t="s">
        <v>78</v>
      </c>
      <c r="B31" s="214">
        <f t="shared" si="6"/>
        <v>11202</v>
      </c>
      <c r="C31" s="182">
        <f t="shared" si="7"/>
        <v>5961.1409891090889</v>
      </c>
      <c r="D31" s="182">
        <f t="shared" si="7"/>
        <v>637.96372165684716</v>
      </c>
      <c r="E31" s="182">
        <f t="shared" si="7"/>
        <v>873.01189966077482</v>
      </c>
      <c r="F31" s="182">
        <f t="shared" si="7"/>
        <v>433.65741206927328</v>
      </c>
      <c r="G31" s="182">
        <f t="shared" si="7"/>
        <v>1099.9420496339937</v>
      </c>
      <c r="H31" s="182">
        <f t="shared" si="7"/>
        <v>560.94390912337076</v>
      </c>
      <c r="I31" s="182">
        <f t="shared" si="7"/>
        <v>747.93511872879844</v>
      </c>
      <c r="J31" s="182">
        <f t="shared" si="7"/>
        <v>606.02604534904469</v>
      </c>
      <c r="K31" s="182">
        <f t="shared" si="7"/>
        <v>10920.621145331193</v>
      </c>
      <c r="O31" s="247"/>
      <c r="P31" s="273"/>
      <c r="Q31" s="273"/>
      <c r="R31" s="273"/>
      <c r="S31" s="273"/>
      <c r="T31" s="273"/>
      <c r="U31" s="273"/>
    </row>
    <row r="32" spans="1:24" ht="15" x14ac:dyDescent="0.25">
      <c r="A32" s="182" t="s">
        <v>79</v>
      </c>
      <c r="B32" s="214">
        <f t="shared" si="6"/>
        <v>5029</v>
      </c>
      <c r="C32" s="182">
        <f t="shared" si="7"/>
        <v>6654.3818393318734</v>
      </c>
      <c r="D32" s="182">
        <f t="shared" si="7"/>
        <v>533.07037184330875</v>
      </c>
      <c r="E32" s="182">
        <f t="shared" si="7"/>
        <v>1224.1641777689404</v>
      </c>
      <c r="F32" s="182">
        <f t="shared" si="7"/>
        <v>530.45146748856632</v>
      </c>
      <c r="G32" s="182">
        <f t="shared" si="7"/>
        <v>1544.8405786438655</v>
      </c>
      <c r="H32" s="182">
        <f t="shared" si="7"/>
        <v>946.01375024855827</v>
      </c>
      <c r="I32" s="182">
        <f t="shared" si="7"/>
        <v>1011.5022191290519</v>
      </c>
      <c r="J32" s="182">
        <f t="shared" si="7"/>
        <v>420.67685424537677</v>
      </c>
      <c r="K32" s="182">
        <f t="shared" si="7"/>
        <v>12865.101258699542</v>
      </c>
      <c r="O32" s="247"/>
      <c r="P32" s="273"/>
      <c r="Q32" s="273"/>
      <c r="R32" s="273"/>
      <c r="S32" s="273"/>
      <c r="T32" s="273"/>
      <c r="U32" s="273"/>
    </row>
    <row r="33" spans="1:21" ht="15" x14ac:dyDescent="0.25">
      <c r="A33" s="182" t="s">
        <v>80</v>
      </c>
      <c r="B33" s="220">
        <f t="shared" si="6"/>
        <v>1578</v>
      </c>
      <c r="C33" s="183">
        <f t="shared" si="7"/>
        <v>9105.2761406844111</v>
      </c>
      <c r="D33" s="183">
        <f t="shared" si="7"/>
        <v>542.78329531051986</v>
      </c>
      <c r="E33" s="183">
        <f t="shared" si="7"/>
        <v>1724.6989797211661</v>
      </c>
      <c r="F33" s="183">
        <f t="shared" si="7"/>
        <v>205.00296577946767</v>
      </c>
      <c r="G33" s="183">
        <f t="shared" si="7"/>
        <v>1924.0051711026615</v>
      </c>
      <c r="H33" s="183">
        <f t="shared" si="7"/>
        <v>954.7708871989862</v>
      </c>
      <c r="I33" s="183">
        <f t="shared" si="7"/>
        <v>518.10451837769335</v>
      </c>
      <c r="J33" s="183">
        <f t="shared" si="7"/>
        <v>373.16796577946764</v>
      </c>
      <c r="K33" s="183">
        <f t="shared" si="7"/>
        <v>15347.809923954374</v>
      </c>
      <c r="O33" s="247"/>
      <c r="P33" s="273"/>
      <c r="Q33" s="273"/>
      <c r="R33" s="273"/>
      <c r="S33" s="273"/>
      <c r="T33" s="273"/>
      <c r="U33" s="273"/>
    </row>
    <row r="34" spans="1:21" ht="15" x14ac:dyDescent="0.25">
      <c r="A34" s="182" t="s">
        <v>219</v>
      </c>
      <c r="B34" s="214">
        <f>SUM(B28:B33)</f>
        <v>94578</v>
      </c>
      <c r="C34" s="182">
        <f t="shared" si="7"/>
        <v>5778.975291188226</v>
      </c>
      <c r="D34" s="182">
        <f t="shared" si="7"/>
        <v>1102.3058274651612</v>
      </c>
      <c r="E34" s="182">
        <f t="shared" si="7"/>
        <v>563.95340776924866</v>
      </c>
      <c r="F34" s="182">
        <f t="shared" si="7"/>
        <v>549.08177123643975</v>
      </c>
      <c r="G34" s="182">
        <f t="shared" si="7"/>
        <v>970.45923724333363</v>
      </c>
      <c r="H34" s="182">
        <f t="shared" si="7"/>
        <v>488.16466694157208</v>
      </c>
      <c r="I34" s="182">
        <f t="shared" si="7"/>
        <v>532.3566668781325</v>
      </c>
      <c r="J34" s="182">
        <f t="shared" si="7"/>
        <v>610.46502051216976</v>
      </c>
      <c r="K34" s="182">
        <f t="shared" si="7"/>
        <v>10595.761889234285</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19924</v>
      </c>
      <c r="C36" s="182">
        <f t="shared" ref="C36:K41" si="8">C12/$B36</f>
        <v>5649.5244413772343</v>
      </c>
      <c r="D36" s="182">
        <f t="shared" si="8"/>
        <v>1097.60371260791</v>
      </c>
      <c r="E36" s="182">
        <f t="shared" si="8"/>
        <v>410.31063892792611</v>
      </c>
      <c r="F36" s="182">
        <f t="shared" si="8"/>
        <v>631.19476059024305</v>
      </c>
      <c r="G36" s="182">
        <f t="shared" si="8"/>
        <v>989.23242973298534</v>
      </c>
      <c r="H36" s="182">
        <f t="shared" si="8"/>
        <v>443.11705430636425</v>
      </c>
      <c r="I36" s="182">
        <f t="shared" si="8"/>
        <v>993.02389279261183</v>
      </c>
      <c r="J36" s="182">
        <f t="shared" si="8"/>
        <v>551.29495031118245</v>
      </c>
      <c r="K36" s="182">
        <f t="shared" si="8"/>
        <v>10765.301880646455</v>
      </c>
      <c r="O36" s="247"/>
      <c r="P36" s="273"/>
      <c r="Q36" s="273"/>
      <c r="R36" s="273"/>
      <c r="S36" s="273"/>
      <c r="T36" s="273"/>
      <c r="U36" s="273"/>
    </row>
    <row r="37" spans="1:21" ht="15" x14ac:dyDescent="0.25">
      <c r="A37" s="182" t="s">
        <v>82</v>
      </c>
      <c r="B37" s="214">
        <f>B13</f>
        <v>7627</v>
      </c>
      <c r="C37" s="182">
        <f t="shared" si="8"/>
        <v>5381.7170853546622</v>
      </c>
      <c r="D37" s="182">
        <f t="shared" si="8"/>
        <v>1047.8933630523143</v>
      </c>
      <c r="E37" s="182">
        <f t="shared" si="8"/>
        <v>606.19856824439501</v>
      </c>
      <c r="F37" s="182">
        <f t="shared" si="8"/>
        <v>756.07738298151321</v>
      </c>
      <c r="G37" s="182">
        <f t="shared" si="8"/>
        <v>1318.6756168873737</v>
      </c>
      <c r="H37" s="182">
        <f t="shared" si="8"/>
        <v>694.87157073554476</v>
      </c>
      <c r="I37" s="182">
        <f t="shared" si="8"/>
        <v>1268.0458961583847</v>
      </c>
      <c r="J37" s="182">
        <f t="shared" si="8"/>
        <v>787.23660154713536</v>
      </c>
      <c r="K37" s="182">
        <f t="shared" si="8"/>
        <v>11860.716084961321</v>
      </c>
      <c r="O37" s="247"/>
      <c r="P37" s="273"/>
      <c r="Q37" s="273"/>
      <c r="R37" s="273"/>
      <c r="S37" s="273"/>
      <c r="T37" s="273"/>
      <c r="U37" s="273"/>
    </row>
    <row r="38" spans="1:21" ht="15" x14ac:dyDescent="0.25">
      <c r="A38" s="182" t="s">
        <v>83</v>
      </c>
      <c r="B38" s="214">
        <f>B14</f>
        <v>4350</v>
      </c>
      <c r="C38" s="182">
        <f t="shared" si="8"/>
        <v>5682.1294505747137</v>
      </c>
      <c r="D38" s="182">
        <f t="shared" si="8"/>
        <v>882.61148045977006</v>
      </c>
      <c r="E38" s="182">
        <f t="shared" si="8"/>
        <v>772.34980689655174</v>
      </c>
      <c r="F38" s="182">
        <f t="shared" si="8"/>
        <v>856.28642758620686</v>
      </c>
      <c r="G38" s="182">
        <f t="shared" si="8"/>
        <v>1569.1019540229886</v>
      </c>
      <c r="H38" s="182">
        <f t="shared" si="8"/>
        <v>854.09450344827599</v>
      </c>
      <c r="I38" s="182">
        <f t="shared" si="8"/>
        <v>1399.7570919540233</v>
      </c>
      <c r="J38" s="182">
        <f t="shared" si="8"/>
        <v>550.2544344827586</v>
      </c>
      <c r="K38" s="182">
        <f t="shared" si="8"/>
        <v>12566.585149425289</v>
      </c>
      <c r="O38" s="247"/>
      <c r="P38" s="273"/>
      <c r="Q38" s="273"/>
      <c r="R38" s="273"/>
      <c r="S38" s="273"/>
      <c r="T38" s="273"/>
      <c r="U38" s="273"/>
    </row>
    <row r="39" spans="1:21" ht="15" x14ac:dyDescent="0.25">
      <c r="A39" s="182" t="s">
        <v>84</v>
      </c>
      <c r="B39" s="214">
        <f>B15</f>
        <v>4471</v>
      </c>
      <c r="C39" s="182">
        <f t="shared" si="8"/>
        <v>7004.613146946991</v>
      </c>
      <c r="D39" s="182">
        <f t="shared" si="8"/>
        <v>819.90078953254329</v>
      </c>
      <c r="E39" s="182">
        <f t="shared" si="8"/>
        <v>1206.7131201073585</v>
      </c>
      <c r="F39" s="182">
        <f t="shared" si="8"/>
        <v>824.32553791098201</v>
      </c>
      <c r="G39" s="182">
        <f t="shared" si="8"/>
        <v>2099.2253925296345</v>
      </c>
      <c r="H39" s="182">
        <f t="shared" si="8"/>
        <v>1304.4432118094389</v>
      </c>
      <c r="I39" s="182">
        <f t="shared" si="8"/>
        <v>1433.8437821516438</v>
      </c>
      <c r="J39" s="182">
        <f t="shared" si="8"/>
        <v>632.71422053231947</v>
      </c>
      <c r="K39" s="182">
        <f t="shared" si="8"/>
        <v>15325.779201520912</v>
      </c>
      <c r="O39" s="247"/>
      <c r="P39" s="273"/>
      <c r="Q39" s="273"/>
      <c r="R39" s="273"/>
      <c r="S39" s="273"/>
      <c r="T39" s="273"/>
      <c r="U39" s="273"/>
    </row>
    <row r="40" spans="1:21" ht="15" x14ac:dyDescent="0.25">
      <c r="A40" s="182" t="s">
        <v>85</v>
      </c>
      <c r="B40" s="220">
        <f>B16</f>
        <v>1663</v>
      </c>
      <c r="C40" s="183">
        <f t="shared" si="8"/>
        <v>9351.9563740228514</v>
      </c>
      <c r="D40" s="183">
        <f t="shared" si="8"/>
        <v>807.78361996392073</v>
      </c>
      <c r="E40" s="183">
        <f t="shared" si="8"/>
        <v>2912.9608959711363</v>
      </c>
      <c r="F40" s="183">
        <f t="shared" si="8"/>
        <v>759.46935057125677</v>
      </c>
      <c r="G40" s="183">
        <f t="shared" si="8"/>
        <v>3436.3573421527362</v>
      </c>
      <c r="H40" s="183">
        <f t="shared" si="8"/>
        <v>2047.1491220685509</v>
      </c>
      <c r="I40" s="183">
        <f t="shared" si="8"/>
        <v>2448.9653277209859</v>
      </c>
      <c r="J40" s="183">
        <f t="shared" si="8"/>
        <v>1119.4846181599519</v>
      </c>
      <c r="K40" s="183">
        <f t="shared" si="8"/>
        <v>22884.126650631391</v>
      </c>
      <c r="O40" s="247"/>
      <c r="P40" s="273"/>
      <c r="Q40" s="273"/>
      <c r="R40" s="273"/>
      <c r="S40" s="273"/>
      <c r="T40" s="273"/>
      <c r="U40" s="273"/>
    </row>
    <row r="41" spans="1:21" ht="15" x14ac:dyDescent="0.25">
      <c r="A41" s="182" t="s">
        <v>220</v>
      </c>
      <c r="B41" s="214">
        <f>SUM(B36:B40)</f>
        <v>38035</v>
      </c>
      <c r="C41" s="182">
        <f t="shared" si="8"/>
        <v>5920.7223115551469</v>
      </c>
      <c r="D41" s="182">
        <f t="shared" si="8"/>
        <v>1017.7315519915867</v>
      </c>
      <c r="E41" s="182">
        <f t="shared" si="8"/>
        <v>694.03695648744576</v>
      </c>
      <c r="F41" s="182">
        <f t="shared" si="8"/>
        <v>710.29129959248075</v>
      </c>
      <c r="G41" s="182">
        <f t="shared" si="8"/>
        <v>1359.087639016695</v>
      </c>
      <c r="H41" s="182">
        <f t="shared" si="8"/>
        <v>711.9846283686079</v>
      </c>
      <c r="I41" s="182">
        <f t="shared" si="8"/>
        <v>1210.1664869199419</v>
      </c>
      <c r="J41" s="182">
        <f t="shared" si="8"/>
        <v>632.90204127777054</v>
      </c>
      <c r="K41" s="182">
        <f t="shared" si="8"/>
        <v>12256.922915209674</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10031</v>
      </c>
      <c r="C43" s="182">
        <f t="shared" ref="C43:K45" si="9">C19/$B43</f>
        <v>5886.3838231482423</v>
      </c>
      <c r="D43" s="182">
        <f t="shared" si="9"/>
        <v>595.70515701325883</v>
      </c>
      <c r="E43" s="182">
        <f t="shared" si="9"/>
        <v>572.6097278436846</v>
      </c>
      <c r="F43" s="182">
        <f t="shared" si="9"/>
        <v>597.79211643903909</v>
      </c>
      <c r="G43" s="182">
        <f t="shared" si="9"/>
        <v>1072.2556315422189</v>
      </c>
      <c r="H43" s="182">
        <f t="shared" si="9"/>
        <v>642.84924334562857</v>
      </c>
      <c r="I43" s="182">
        <f t="shared" si="9"/>
        <v>824.52879772704614</v>
      </c>
      <c r="J43" s="182">
        <f t="shared" si="9"/>
        <v>665.37101485395283</v>
      </c>
      <c r="K43" s="182">
        <f t="shared" si="9"/>
        <v>10857.495511913074</v>
      </c>
    </row>
    <row r="44" spans="1:21" x14ac:dyDescent="0.2">
      <c r="A44" s="182" t="s">
        <v>87</v>
      </c>
      <c r="B44" s="220">
        <f>B20</f>
        <v>7543</v>
      </c>
      <c r="C44" s="183">
        <f t="shared" si="9"/>
        <v>7835.6958173140665</v>
      </c>
      <c r="D44" s="183">
        <f t="shared" si="9"/>
        <v>642.58798621238248</v>
      </c>
      <c r="E44" s="183">
        <f t="shared" si="9"/>
        <v>1545.224769985417</v>
      </c>
      <c r="F44" s="183">
        <f t="shared" si="9"/>
        <v>595.91741747315393</v>
      </c>
      <c r="G44" s="183">
        <f t="shared" si="9"/>
        <v>1911.3263860532941</v>
      </c>
      <c r="H44" s="183">
        <f t="shared" si="9"/>
        <v>1051.5941641256793</v>
      </c>
      <c r="I44" s="183">
        <f t="shared" si="9"/>
        <v>1390.0629497547393</v>
      </c>
      <c r="J44" s="183">
        <f t="shared" si="9"/>
        <v>662.81745459366323</v>
      </c>
      <c r="K44" s="183">
        <f t="shared" si="9"/>
        <v>15635.226945512395</v>
      </c>
    </row>
    <row r="45" spans="1:21" x14ac:dyDescent="0.2">
      <c r="A45" s="182" t="s">
        <v>221</v>
      </c>
      <c r="B45" s="214">
        <f>SUM(B43:B44)</f>
        <v>17574</v>
      </c>
      <c r="C45" s="182">
        <f t="shared" si="9"/>
        <v>6723.0550631614897</v>
      </c>
      <c r="D45" s="182">
        <f t="shared" si="9"/>
        <v>615.82790542847385</v>
      </c>
      <c r="E45" s="182">
        <f t="shared" si="9"/>
        <v>990.06934221008316</v>
      </c>
      <c r="F45" s="182">
        <f t="shared" si="9"/>
        <v>596.98747012632305</v>
      </c>
      <c r="G45" s="182">
        <f t="shared" si="9"/>
        <v>1432.3962199840671</v>
      </c>
      <c r="H45" s="182">
        <f t="shared" si="9"/>
        <v>818.28812677819496</v>
      </c>
      <c r="I45" s="182">
        <f t="shared" si="9"/>
        <v>1067.2637532718788</v>
      </c>
      <c r="J45" s="182">
        <f t="shared" si="9"/>
        <v>664.2749920336862</v>
      </c>
      <c r="K45" s="182">
        <f t="shared" si="9"/>
        <v>12908.162872994199</v>
      </c>
    </row>
    <row r="46" spans="1:21" x14ac:dyDescent="0.2">
      <c r="A46" s="182"/>
      <c r="B46" s="214"/>
      <c r="C46" s="182"/>
      <c r="D46" s="182"/>
      <c r="E46" s="182"/>
      <c r="F46" s="182"/>
      <c r="G46" s="182"/>
      <c r="H46" s="182"/>
      <c r="I46" s="182"/>
      <c r="J46" s="182"/>
      <c r="K46" s="182"/>
    </row>
    <row r="47" spans="1:21" ht="13.5" thickBot="1" x14ac:dyDescent="0.25">
      <c r="A47" s="182" t="s">
        <v>222</v>
      </c>
      <c r="B47" s="222">
        <f>B45+B41+B34</f>
        <v>150187</v>
      </c>
      <c r="C47" s="222">
        <f t="shared" ref="C47:K47" si="10">C23/$B47</f>
        <v>5925.3435243396571</v>
      </c>
      <c r="D47" s="222">
        <f t="shared" si="10"/>
        <v>1023.9625249855181</v>
      </c>
      <c r="E47" s="222">
        <f t="shared" si="10"/>
        <v>646.75877179782537</v>
      </c>
      <c r="F47" s="222">
        <f t="shared" si="10"/>
        <v>595.51388029589793</v>
      </c>
      <c r="G47" s="222">
        <f t="shared" si="10"/>
        <v>1122.9328987195961</v>
      </c>
      <c r="H47" s="222">
        <f t="shared" si="10"/>
        <v>583.47639109909642</v>
      </c>
      <c r="I47" s="222">
        <f t="shared" si="10"/>
        <v>766.60432906975973</v>
      </c>
      <c r="J47" s="222">
        <f t="shared" si="10"/>
        <v>622.44374386598042</v>
      </c>
      <c r="K47" s="222">
        <f t="shared" si="10"/>
        <v>11287.036064173333</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FY2016</v>
      </c>
      <c r="D50" s="182"/>
      <c r="E50" s="182"/>
      <c r="F50" s="182"/>
      <c r="G50" s="182"/>
      <c r="H50" s="182"/>
      <c r="I50" s="182"/>
      <c r="J50" s="182"/>
      <c r="K50" s="182"/>
    </row>
    <row r="51" spans="1:11" ht="40.5" customHeight="1" x14ac:dyDescent="0.2">
      <c r="A51" s="21" t="s">
        <v>1207</v>
      </c>
      <c r="B51" s="21" t="str">
        <f>B3</f>
        <v>ANB16</v>
      </c>
      <c r="C51" s="21" t="str">
        <f t="shared" ref="C51:K51" si="11">C3</f>
        <v>16/Pupil Instruction</v>
      </c>
      <c r="D51" s="21" t="str">
        <f t="shared" si="11"/>
        <v>16/Pupil Student Services</v>
      </c>
      <c r="E51" s="21" t="str">
        <f t="shared" si="11"/>
        <v>16/Pupil General Admin</v>
      </c>
      <c r="F51" s="21" t="str">
        <f t="shared" si="11"/>
        <v>16/Pupil Bldg Admin</v>
      </c>
      <c r="G51" s="21" t="str">
        <f t="shared" si="11"/>
        <v>16/Pupil Bldg OM</v>
      </c>
      <c r="H51" s="21" t="str">
        <f t="shared" si="11"/>
        <v>16/Pupil Transport</v>
      </c>
      <c r="I51" s="21" t="str">
        <f t="shared" si="11"/>
        <v>16/Pupil Other</v>
      </c>
      <c r="J51" s="21" t="str">
        <f t="shared" si="11"/>
        <v>16/Pupil Bonds/ Facilities</v>
      </c>
      <c r="K51" s="21" t="str">
        <f t="shared" si="11"/>
        <v>16/Pupil Total</v>
      </c>
    </row>
    <row r="52" spans="1:11" x14ac:dyDescent="0.2">
      <c r="A52" s="182" t="s">
        <v>102</v>
      </c>
      <c r="B52" s="214">
        <f t="shared" ref="B52:B57" si="12">B4</f>
        <v>40614</v>
      </c>
      <c r="C52" s="191">
        <f t="shared" ref="C52:K58" si="13">C28/$K28</f>
        <v>0.5697225607492713</v>
      </c>
      <c r="D52" s="191">
        <f t="shared" si="13"/>
        <v>0.13177931417922631</v>
      </c>
      <c r="E52" s="191">
        <f t="shared" si="13"/>
        <v>3.6586658193738637E-2</v>
      </c>
      <c r="F52" s="191">
        <f t="shared" si="13"/>
        <v>5.6259419713616601E-2</v>
      </c>
      <c r="G52" s="191">
        <f t="shared" si="13"/>
        <v>7.8010655110179961E-2</v>
      </c>
      <c r="H52" s="191">
        <f t="shared" si="13"/>
        <v>4.3068340354252631E-2</v>
      </c>
      <c r="I52" s="191">
        <f t="shared" si="13"/>
        <v>3.7736407271230288E-2</v>
      </c>
      <c r="J52" s="191">
        <f t="shared" si="13"/>
        <v>4.6836644428484051E-2</v>
      </c>
      <c r="K52" s="191">
        <f t="shared" si="13"/>
        <v>1</v>
      </c>
    </row>
    <row r="53" spans="1:11" x14ac:dyDescent="0.2">
      <c r="A53" s="182" t="s">
        <v>76</v>
      </c>
      <c r="B53" s="214">
        <f t="shared" si="12"/>
        <v>21203</v>
      </c>
      <c r="C53" s="191">
        <f t="shared" si="13"/>
        <v>0.50848401552490319</v>
      </c>
      <c r="D53" s="191">
        <f t="shared" si="13"/>
        <v>0.11815915607181834</v>
      </c>
      <c r="E53" s="191">
        <f t="shared" si="13"/>
        <v>4.1452308404658751E-2</v>
      </c>
      <c r="F53" s="191">
        <f t="shared" si="13"/>
        <v>5.4258884949315439E-2</v>
      </c>
      <c r="G53" s="191">
        <f t="shared" si="13"/>
        <v>9.8054379444235576E-2</v>
      </c>
      <c r="H53" s="191">
        <f t="shared" si="13"/>
        <v>4.0256678111375468E-2</v>
      </c>
      <c r="I53" s="191">
        <f t="shared" si="13"/>
        <v>4.7940967667922656E-2</v>
      </c>
      <c r="J53" s="191">
        <f t="shared" si="13"/>
        <v>9.1393609825770675E-2</v>
      </c>
      <c r="K53" s="191">
        <f t="shared" si="13"/>
        <v>1</v>
      </c>
    </row>
    <row r="54" spans="1:11" x14ac:dyDescent="0.2">
      <c r="A54" s="182" t="s">
        <v>77</v>
      </c>
      <c r="B54" s="214">
        <f t="shared" si="12"/>
        <v>14952</v>
      </c>
      <c r="C54" s="191">
        <f t="shared" si="13"/>
        <v>0.54389738161290724</v>
      </c>
      <c r="D54" s="191">
        <f t="shared" si="13"/>
        <v>8.6549611884238029E-2</v>
      </c>
      <c r="E54" s="191">
        <f t="shared" si="13"/>
        <v>6.4512791556763052E-2</v>
      </c>
      <c r="F54" s="191">
        <f t="shared" si="13"/>
        <v>5.6606921700743079E-2</v>
      </c>
      <c r="G54" s="191">
        <f t="shared" si="13"/>
        <v>9.1708085621937191E-2</v>
      </c>
      <c r="H54" s="191">
        <f t="shared" si="13"/>
        <v>4.4401992862884807E-2</v>
      </c>
      <c r="I54" s="191">
        <f t="shared" si="13"/>
        <v>6.0956017651178668E-2</v>
      </c>
      <c r="J54" s="191">
        <f t="shared" si="13"/>
        <v>5.1367197109347909E-2</v>
      </c>
      <c r="K54" s="191">
        <f t="shared" si="13"/>
        <v>1</v>
      </c>
    </row>
    <row r="55" spans="1:11" x14ac:dyDescent="0.2">
      <c r="A55" s="182" t="s">
        <v>78</v>
      </c>
      <c r="B55" s="214">
        <f t="shared" si="12"/>
        <v>11202</v>
      </c>
      <c r="C55" s="191">
        <f t="shared" si="13"/>
        <v>0.54586098261064653</v>
      </c>
      <c r="D55" s="191">
        <f t="shared" si="13"/>
        <v>5.8418263317338015E-2</v>
      </c>
      <c r="E55" s="191">
        <f t="shared" si="13"/>
        <v>7.9941597464353628E-2</v>
      </c>
      <c r="F55" s="191">
        <f t="shared" si="13"/>
        <v>3.9709958462817968E-2</v>
      </c>
      <c r="G55" s="191">
        <f t="shared" si="13"/>
        <v>0.10072156473482675</v>
      </c>
      <c r="H55" s="191">
        <f t="shared" si="13"/>
        <v>5.1365568098952562E-2</v>
      </c>
      <c r="I55" s="191">
        <f t="shared" si="13"/>
        <v>6.8488331274870501E-2</v>
      </c>
      <c r="J55" s="191">
        <f t="shared" si="13"/>
        <v>5.5493734036193919E-2</v>
      </c>
      <c r="K55" s="191">
        <f t="shared" si="13"/>
        <v>1</v>
      </c>
    </row>
    <row r="56" spans="1:11" x14ac:dyDescent="0.2">
      <c r="A56" s="182" t="s">
        <v>79</v>
      </c>
      <c r="B56" s="214">
        <f t="shared" si="12"/>
        <v>5029</v>
      </c>
      <c r="C56" s="191">
        <f t="shared" si="13"/>
        <v>0.51724286544826825</v>
      </c>
      <c r="D56" s="191">
        <f t="shared" si="13"/>
        <v>4.1435380967782119E-2</v>
      </c>
      <c r="E56" s="191">
        <f t="shared" si="13"/>
        <v>9.5153870393452619E-2</v>
      </c>
      <c r="F56" s="191">
        <f t="shared" si="13"/>
        <v>4.1231814411866241E-2</v>
      </c>
      <c r="G56" s="191">
        <f t="shared" si="13"/>
        <v>0.12007993933193685</v>
      </c>
      <c r="H56" s="191">
        <f t="shared" si="13"/>
        <v>7.353333108115663E-2</v>
      </c>
      <c r="I56" s="191">
        <f t="shared" si="13"/>
        <v>7.8623727772454299E-2</v>
      </c>
      <c r="J56" s="191">
        <f t="shared" si="13"/>
        <v>3.2699070593082961E-2</v>
      </c>
      <c r="K56" s="191">
        <f t="shared" si="13"/>
        <v>1</v>
      </c>
    </row>
    <row r="57" spans="1:11" x14ac:dyDescent="0.2">
      <c r="A57" s="182" t="s">
        <v>80</v>
      </c>
      <c r="B57" s="220">
        <f t="shared" si="12"/>
        <v>1578</v>
      </c>
      <c r="C57" s="193">
        <f t="shared" si="13"/>
        <v>0.59326224300401231</v>
      </c>
      <c r="D57" s="193">
        <f t="shared" si="13"/>
        <v>3.5365521074336541E-2</v>
      </c>
      <c r="E57" s="193">
        <f t="shared" si="13"/>
        <v>0.11237427282894029</v>
      </c>
      <c r="F57" s="193">
        <f t="shared" si="13"/>
        <v>1.3357147814262773E-2</v>
      </c>
      <c r="G57" s="193">
        <f t="shared" si="13"/>
        <v>0.12536024231703152</v>
      </c>
      <c r="H57" s="193">
        <f t="shared" si="13"/>
        <v>6.2208933517531394E-2</v>
      </c>
      <c r="I57" s="193">
        <f t="shared" si="13"/>
        <v>3.3757553745114625E-2</v>
      </c>
      <c r="J57" s="193">
        <f t="shared" si="13"/>
        <v>2.4314085698770541E-2</v>
      </c>
      <c r="K57" s="193">
        <f t="shared" si="13"/>
        <v>1</v>
      </c>
    </row>
    <row r="58" spans="1:11" x14ac:dyDescent="0.2">
      <c r="A58" s="182" t="s">
        <v>219</v>
      </c>
      <c r="B58" s="214">
        <f>SUM(B52:B57)</f>
        <v>94578</v>
      </c>
      <c r="C58" s="191">
        <f t="shared" si="13"/>
        <v>0.5454044127831803</v>
      </c>
      <c r="D58" s="191">
        <f t="shared" si="13"/>
        <v>0.10403271034102302</v>
      </c>
      <c r="E58" s="191">
        <f t="shared" si="13"/>
        <v>5.3224431962957543E-2</v>
      </c>
      <c r="F58" s="191">
        <f t="shared" si="13"/>
        <v>5.1820886216245442E-2</v>
      </c>
      <c r="G58" s="191">
        <f t="shared" si="13"/>
        <v>9.1589377657623539E-2</v>
      </c>
      <c r="H58" s="191">
        <f t="shared" si="13"/>
        <v>4.6071690931217206E-2</v>
      </c>
      <c r="I58" s="191">
        <f t="shared" si="13"/>
        <v>5.0242415075316862E-2</v>
      </c>
      <c r="J58" s="191">
        <f t="shared" si="13"/>
        <v>5.7614075032435985E-2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19924</v>
      </c>
      <c r="C60" s="191">
        <f t="shared" ref="C60:K65" si="14">C36/$K36</f>
        <v>0.52479015488955161</v>
      </c>
      <c r="D60" s="191">
        <f t="shared" si="14"/>
        <v>0.10195754143979463</v>
      </c>
      <c r="E60" s="191">
        <f t="shared" si="14"/>
        <v>3.8114178634002877E-2</v>
      </c>
      <c r="F60" s="191">
        <f t="shared" si="14"/>
        <v>5.8632332617163899E-2</v>
      </c>
      <c r="G60" s="191">
        <f t="shared" si="14"/>
        <v>9.189082114932591E-2</v>
      </c>
      <c r="H60" s="191">
        <f t="shared" si="14"/>
        <v>4.1161600410201886E-2</v>
      </c>
      <c r="I60" s="191">
        <f t="shared" si="14"/>
        <v>9.2243014065201565E-2</v>
      </c>
      <c r="J60" s="191">
        <f t="shared" si="14"/>
        <v>5.1210356794757828E-2</v>
      </c>
      <c r="K60" s="191">
        <f t="shared" si="14"/>
        <v>1</v>
      </c>
    </row>
    <row r="61" spans="1:11" x14ac:dyDescent="0.2">
      <c r="A61" s="182" t="s">
        <v>82</v>
      </c>
      <c r="B61" s="214">
        <f>B37</f>
        <v>7627</v>
      </c>
      <c r="C61" s="191">
        <f t="shared" si="14"/>
        <v>0.45374301575082449</v>
      </c>
      <c r="D61" s="191">
        <f t="shared" si="14"/>
        <v>8.8349923861762478E-2</v>
      </c>
      <c r="E61" s="191">
        <f t="shared" si="14"/>
        <v>5.1109778187256212E-2</v>
      </c>
      <c r="F61" s="191">
        <f t="shared" si="14"/>
        <v>6.3746352038573303E-2</v>
      </c>
      <c r="G61" s="191">
        <f t="shared" si="14"/>
        <v>0.11118010139028416</v>
      </c>
      <c r="H61" s="191">
        <f t="shared" si="14"/>
        <v>5.8585971180660869E-2</v>
      </c>
      <c r="I61" s="191">
        <f t="shared" si="14"/>
        <v>0.10691141134102275</v>
      </c>
      <c r="J61" s="191">
        <f t="shared" si="14"/>
        <v>6.6373446249615928E-2</v>
      </c>
      <c r="K61" s="191">
        <f t="shared" si="14"/>
        <v>1</v>
      </c>
    </row>
    <row r="62" spans="1:11" x14ac:dyDescent="0.2">
      <c r="A62" s="182" t="s">
        <v>83</v>
      </c>
      <c r="B62" s="214">
        <f>B38</f>
        <v>4350</v>
      </c>
      <c r="C62" s="191">
        <f t="shared" si="14"/>
        <v>0.45216177529617707</v>
      </c>
      <c r="D62" s="191">
        <f t="shared" si="14"/>
        <v>7.0234790912958145E-2</v>
      </c>
      <c r="E62" s="191">
        <f t="shared" si="14"/>
        <v>6.1460595516823743E-2</v>
      </c>
      <c r="F62" s="191">
        <f t="shared" si="14"/>
        <v>6.8139945530498208E-2</v>
      </c>
      <c r="G62" s="191">
        <f t="shared" si="14"/>
        <v>0.1248630344174884</v>
      </c>
      <c r="H62" s="191">
        <f t="shared" si="14"/>
        <v>6.7965520727588949E-2</v>
      </c>
      <c r="I62" s="191">
        <f t="shared" si="14"/>
        <v>0.11138722853583169</v>
      </c>
      <c r="J62" s="191">
        <f t="shared" si="14"/>
        <v>4.3787109062633736E-2</v>
      </c>
      <c r="K62" s="191">
        <f t="shared" si="14"/>
        <v>1</v>
      </c>
    </row>
    <row r="63" spans="1:11" x14ac:dyDescent="0.2">
      <c r="A63" s="182" t="s">
        <v>84</v>
      </c>
      <c r="B63" s="214">
        <f>B39</f>
        <v>4471</v>
      </c>
      <c r="C63" s="191">
        <f t="shared" si="14"/>
        <v>0.45704776604453895</v>
      </c>
      <c r="D63" s="191">
        <f t="shared" si="14"/>
        <v>5.349814706003185E-2</v>
      </c>
      <c r="E63" s="191">
        <f t="shared" si="14"/>
        <v>7.8737472610045545E-2</v>
      </c>
      <c r="F63" s="191">
        <f t="shared" si="14"/>
        <v>5.3786859843914292E-2</v>
      </c>
      <c r="G63" s="191">
        <f t="shared" si="14"/>
        <v>0.13697348532342876</v>
      </c>
      <c r="H63" s="191">
        <f t="shared" si="14"/>
        <v>8.5114315863299636E-2</v>
      </c>
      <c r="I63" s="191">
        <f t="shared" si="14"/>
        <v>9.355764319045852E-2</v>
      </c>
      <c r="J63" s="191">
        <f t="shared" si="14"/>
        <v>4.1284310064282383E-2</v>
      </c>
      <c r="K63" s="191">
        <f t="shared" si="14"/>
        <v>1</v>
      </c>
    </row>
    <row r="64" spans="1:11" x14ac:dyDescent="0.2">
      <c r="A64" s="182" t="s">
        <v>85</v>
      </c>
      <c r="B64" s="220">
        <f>B40</f>
        <v>1663</v>
      </c>
      <c r="C64" s="193">
        <f t="shared" si="14"/>
        <v>0.40866564482874085</v>
      </c>
      <c r="D64" s="193">
        <f t="shared" si="14"/>
        <v>3.5298861621255416E-2</v>
      </c>
      <c r="E64" s="193">
        <f t="shared" si="14"/>
        <v>0.12729176605438711</v>
      </c>
      <c r="F64" s="193">
        <f t="shared" si="14"/>
        <v>3.3187604760538343E-2</v>
      </c>
      <c r="G64" s="193">
        <f t="shared" si="14"/>
        <v>0.15016335972157033</v>
      </c>
      <c r="H64" s="193">
        <f t="shared" si="14"/>
        <v>8.9457166241127595E-2</v>
      </c>
      <c r="I64" s="193">
        <f t="shared" si="14"/>
        <v>0.10701589643812852</v>
      </c>
      <c r="J64" s="193">
        <f t="shared" si="14"/>
        <v>4.8919700334251748E-2</v>
      </c>
      <c r="K64" s="193">
        <f t="shared" si="14"/>
        <v>1</v>
      </c>
    </row>
    <row r="65" spans="1:11" x14ac:dyDescent="0.2">
      <c r="A65" s="182" t="s">
        <v>220</v>
      </c>
      <c r="B65" s="214">
        <f>SUM(B60:B64)</f>
        <v>38035</v>
      </c>
      <c r="C65" s="191">
        <f t="shared" si="14"/>
        <v>0.48305128069363107</v>
      </c>
      <c r="D65" s="191">
        <f t="shared" si="14"/>
        <v>8.303320164710172E-2</v>
      </c>
      <c r="E65" s="191">
        <f t="shared" si="14"/>
        <v>5.6624077779441034E-2</v>
      </c>
      <c r="F65" s="191">
        <f t="shared" si="14"/>
        <v>5.7950213483930528E-2</v>
      </c>
      <c r="G65" s="191">
        <f t="shared" si="14"/>
        <v>0.11088326559761559</v>
      </c>
      <c r="H65" s="191">
        <f t="shared" si="14"/>
        <v>5.8088366329293199E-2</v>
      </c>
      <c r="I65" s="191">
        <f t="shared" si="14"/>
        <v>9.8733303235369177E-2</v>
      </c>
      <c r="J65" s="191">
        <f t="shared" si="14"/>
        <v>5.1636291233617806E-2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10031</v>
      </c>
      <c r="C67" s="191">
        <f t="shared" ref="C67:K69" si="15">C43/$K43</f>
        <v>0.54214932133193861</v>
      </c>
      <c r="D67" s="191">
        <f t="shared" si="15"/>
        <v>5.4865798135457534E-2</v>
      </c>
      <c r="E67" s="191">
        <f t="shared" si="15"/>
        <v>5.2738656646498731E-2</v>
      </c>
      <c r="F67" s="191">
        <f t="shared" si="15"/>
        <v>5.5058011839206285E-2</v>
      </c>
      <c r="G67" s="191">
        <f t="shared" si="15"/>
        <v>9.8757179348194737E-2</v>
      </c>
      <c r="H67" s="191">
        <f t="shared" si="15"/>
        <v>5.9207875576856632E-2</v>
      </c>
      <c r="I67" s="191">
        <f t="shared" si="15"/>
        <v>7.5940975229725469E-2</v>
      </c>
      <c r="J67" s="191">
        <f t="shared" si="15"/>
        <v>6.1282181892121777E-2</v>
      </c>
      <c r="K67" s="191">
        <f t="shared" si="15"/>
        <v>1</v>
      </c>
    </row>
    <row r="68" spans="1:11" x14ac:dyDescent="0.2">
      <c r="A68" s="182" t="s">
        <v>87</v>
      </c>
      <c r="B68" s="220">
        <f>B44</f>
        <v>7543</v>
      </c>
      <c r="C68" s="193">
        <f t="shared" si="15"/>
        <v>0.50115651308553977</v>
      </c>
      <c r="D68" s="193">
        <f t="shared" si="15"/>
        <v>4.1098730990714358E-2</v>
      </c>
      <c r="E68" s="193">
        <f t="shared" si="15"/>
        <v>9.8829698818597933E-2</v>
      </c>
      <c r="F68" s="193">
        <f t="shared" si="15"/>
        <v>3.8113768322639761E-2</v>
      </c>
      <c r="G68" s="193">
        <f t="shared" si="15"/>
        <v>0.12224487643921797</v>
      </c>
      <c r="H68" s="193">
        <f t="shared" si="15"/>
        <v>6.7258004491422274E-2</v>
      </c>
      <c r="I68" s="193">
        <f t="shared" si="15"/>
        <v>8.8905837734175874E-2</v>
      </c>
      <c r="J68" s="193">
        <f t="shared" si="15"/>
        <v>4.239257011769211E-2</v>
      </c>
      <c r="K68" s="193">
        <f t="shared" si="15"/>
        <v>1</v>
      </c>
    </row>
    <row r="69" spans="1:11" x14ac:dyDescent="0.2">
      <c r="A69" s="182" t="s">
        <v>221</v>
      </c>
      <c r="B69" s="214">
        <f>SUM(B67:B68)</f>
        <v>17574</v>
      </c>
      <c r="C69" s="191">
        <f t="shared" si="15"/>
        <v>0.52083748317331224</v>
      </c>
      <c r="D69" s="191">
        <f t="shared" si="15"/>
        <v>4.7708408352739151E-2</v>
      </c>
      <c r="E69" s="191">
        <f t="shared" si="15"/>
        <v>7.6701026470734721E-2</v>
      </c>
      <c r="F69" s="191">
        <f t="shared" si="15"/>
        <v>4.6248833083390187E-2</v>
      </c>
      <c r="G69" s="191">
        <f t="shared" si="15"/>
        <v>0.11096824808283552</v>
      </c>
      <c r="H69" s="191">
        <f t="shared" si="15"/>
        <v>6.3393074198821564E-2</v>
      </c>
      <c r="I69" s="191">
        <f t="shared" si="15"/>
        <v>8.2681305137910346E-2</v>
      </c>
      <c r="J69" s="191">
        <f t="shared" si="15"/>
        <v>5.1461621500256134E-2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150187</v>
      </c>
      <c r="C71" s="195">
        <f t="shared" ref="C71:K71" si="16">C47/$K47</f>
        <v>0.52496895470614691</v>
      </c>
      <c r="D71" s="195">
        <f t="shared" si="16"/>
        <v>9.072023152612417E-2</v>
      </c>
      <c r="E71" s="195">
        <f t="shared" si="16"/>
        <v>5.7301028199132825E-2</v>
      </c>
      <c r="F71" s="195">
        <f t="shared" si="16"/>
        <v>5.2760873351520882E-2</v>
      </c>
      <c r="G71" s="195">
        <f t="shared" si="16"/>
        <v>9.9488731349405862E-2</v>
      </c>
      <c r="H71" s="195">
        <f t="shared" si="16"/>
        <v>5.1694385291381671E-2</v>
      </c>
      <c r="I71" s="195">
        <f t="shared" si="16"/>
        <v>6.7919011218815148E-2</v>
      </c>
      <c r="J71" s="195">
        <f t="shared" si="16"/>
        <v>5.5146784357472368E-2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75"/>
  <sheetViews>
    <sheetView topLeftCell="A19" zoomScaleNormal="100" workbookViewId="0">
      <selection activeCell="I12" sqref="I12"/>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1269</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
        <v>1260</v>
      </c>
      <c r="C3" s="12" t="s">
        <v>1270</v>
      </c>
      <c r="D3" s="12" t="s">
        <v>1271</v>
      </c>
      <c r="E3" s="12" t="s">
        <v>1272</v>
      </c>
      <c r="F3" s="12" t="s">
        <v>1273</v>
      </c>
      <c r="G3" s="12" t="s">
        <v>1274</v>
      </c>
      <c r="H3" s="12" t="s">
        <v>1275</v>
      </c>
      <c r="I3" s="12" t="s">
        <v>1276</v>
      </c>
      <c r="J3" s="12" t="s">
        <v>1277</v>
      </c>
      <c r="K3" s="12" t="s">
        <v>1278</v>
      </c>
    </row>
    <row r="4" spans="1:24" ht="15" x14ac:dyDescent="0.25">
      <c r="A4" s="33" t="s">
        <v>102</v>
      </c>
      <c r="B4" s="214">
        <v>40133</v>
      </c>
      <c r="C4" s="214">
        <v>216896316.63</v>
      </c>
      <c r="D4" s="214">
        <v>50147795.569999985</v>
      </c>
      <c r="E4" s="214">
        <v>14441456.57</v>
      </c>
      <c r="F4" s="214">
        <v>21167338.440000001</v>
      </c>
      <c r="G4" s="214">
        <v>30730764.91</v>
      </c>
      <c r="H4" s="214">
        <v>16342654.48</v>
      </c>
      <c r="I4" s="214">
        <v>14781145.869999999</v>
      </c>
      <c r="J4" s="214">
        <v>15907539.859999999</v>
      </c>
      <c r="K4" s="214">
        <f t="shared" ref="K4:K9" si="0">SUM(C4:J4)</f>
        <v>380415012.33000004</v>
      </c>
      <c r="N4" s="214"/>
      <c r="O4" s="294"/>
      <c r="P4" s="293"/>
      <c r="Q4" s="293"/>
      <c r="R4" s="293"/>
      <c r="S4" s="293"/>
      <c r="T4" s="293"/>
      <c r="U4" s="293"/>
      <c r="V4" s="293"/>
      <c r="W4" s="293"/>
      <c r="X4" s="293"/>
    </row>
    <row r="5" spans="1:24" ht="15" x14ac:dyDescent="0.25">
      <c r="A5" s="33" t="s">
        <v>76</v>
      </c>
      <c r="B5" s="214">
        <v>20955</v>
      </c>
      <c r="C5" s="214">
        <v>115537960.05</v>
      </c>
      <c r="D5" s="214">
        <v>26748708.709999997</v>
      </c>
      <c r="E5" s="214">
        <v>8636901.6000000015</v>
      </c>
      <c r="F5" s="214">
        <v>11373819.560000001</v>
      </c>
      <c r="G5" s="214">
        <v>21530509.82</v>
      </c>
      <c r="H5" s="214">
        <v>10371781.919999998</v>
      </c>
      <c r="I5" s="214">
        <v>11060744.17</v>
      </c>
      <c r="J5" s="214">
        <v>13542824.499999998</v>
      </c>
      <c r="K5" s="214">
        <f t="shared" si="0"/>
        <v>218803250.32999995</v>
      </c>
      <c r="N5" s="214"/>
      <c r="O5" s="294"/>
      <c r="P5" s="293"/>
      <c r="Q5" s="293"/>
      <c r="R5" s="293"/>
      <c r="S5" s="293"/>
      <c r="T5" s="293"/>
      <c r="U5" s="293"/>
      <c r="V5" s="293"/>
      <c r="W5" s="293"/>
      <c r="X5" s="293"/>
    </row>
    <row r="6" spans="1:24" ht="15" x14ac:dyDescent="0.25">
      <c r="A6" s="33" t="s">
        <v>77</v>
      </c>
      <c r="B6" s="214">
        <v>13511</v>
      </c>
      <c r="C6" s="214">
        <v>80230700.800000012</v>
      </c>
      <c r="D6" s="214">
        <v>12624759.469999997</v>
      </c>
      <c r="E6" s="214">
        <v>9473364.9299999997</v>
      </c>
      <c r="F6" s="214">
        <v>7987248.7400000002</v>
      </c>
      <c r="G6" s="214">
        <v>12967464.020000001</v>
      </c>
      <c r="H6" s="214">
        <v>6383134.5600000005</v>
      </c>
      <c r="I6" s="214">
        <v>8989876.0199999996</v>
      </c>
      <c r="J6" s="214">
        <v>7743641.8499999996</v>
      </c>
      <c r="K6" s="214">
        <f t="shared" si="0"/>
        <v>146400190.39000002</v>
      </c>
      <c r="N6" s="214"/>
      <c r="O6" s="294"/>
      <c r="P6" s="293"/>
      <c r="Q6" s="293"/>
      <c r="R6" s="293"/>
      <c r="S6" s="293"/>
      <c r="T6" s="293"/>
      <c r="U6" s="293"/>
      <c r="V6" s="293"/>
      <c r="W6" s="293"/>
      <c r="X6" s="293"/>
    </row>
    <row r="7" spans="1:24" ht="15" x14ac:dyDescent="0.25">
      <c r="A7" s="33" t="s">
        <v>78</v>
      </c>
      <c r="B7" s="214">
        <v>12550</v>
      </c>
      <c r="C7" s="214">
        <v>71575727.120000005</v>
      </c>
      <c r="D7" s="214">
        <v>8687689.2499999981</v>
      </c>
      <c r="E7" s="214">
        <v>10620397.320000004</v>
      </c>
      <c r="F7" s="214">
        <v>5722890.6299999999</v>
      </c>
      <c r="G7" s="214">
        <v>14253554.650000002</v>
      </c>
      <c r="H7" s="214">
        <v>6720679.4099999992</v>
      </c>
      <c r="I7" s="214">
        <v>9255190.6999999993</v>
      </c>
      <c r="J7" s="214">
        <v>9148110.4000000004</v>
      </c>
      <c r="K7" s="214">
        <f t="shared" si="0"/>
        <v>135984239.48000002</v>
      </c>
      <c r="N7" s="214"/>
      <c r="O7" s="294"/>
      <c r="P7" s="293"/>
      <c r="Q7" s="293"/>
      <c r="R7" s="293"/>
      <c r="S7" s="293"/>
      <c r="T7" s="293"/>
      <c r="U7" s="293"/>
      <c r="V7" s="293"/>
      <c r="W7" s="293"/>
      <c r="X7" s="293"/>
    </row>
    <row r="8" spans="1:24" ht="15" x14ac:dyDescent="0.25">
      <c r="A8" s="33" t="s">
        <v>79</v>
      </c>
      <c r="B8" s="214">
        <v>4913</v>
      </c>
      <c r="C8" s="214">
        <v>32197660.409999993</v>
      </c>
      <c r="D8" s="214">
        <v>2654657.5400000005</v>
      </c>
      <c r="E8" s="214">
        <v>5833901.6800000006</v>
      </c>
      <c r="F8" s="214">
        <v>2505896.9900000007</v>
      </c>
      <c r="G8" s="214">
        <v>7088535.7100000009</v>
      </c>
      <c r="H8" s="214">
        <v>4544744.1599999992</v>
      </c>
      <c r="I8" s="214">
        <v>4811920.6399999997</v>
      </c>
      <c r="J8" s="214">
        <v>3568330.1099999994</v>
      </c>
      <c r="K8" s="214">
        <f t="shared" si="0"/>
        <v>63205647.239999995</v>
      </c>
      <c r="N8" s="214"/>
      <c r="O8" s="294"/>
      <c r="P8" s="293"/>
      <c r="Q8" s="293"/>
      <c r="R8" s="293"/>
      <c r="S8" s="293"/>
      <c r="T8" s="293"/>
      <c r="U8" s="293"/>
      <c r="V8" s="293"/>
      <c r="W8" s="293"/>
      <c r="X8" s="293"/>
    </row>
    <row r="9" spans="1:24" ht="15" x14ac:dyDescent="0.25">
      <c r="A9" s="33" t="s">
        <v>80</v>
      </c>
      <c r="B9" s="220">
        <v>1676</v>
      </c>
      <c r="C9" s="220">
        <v>13980181.76</v>
      </c>
      <c r="D9" s="220">
        <v>757244.66999999993</v>
      </c>
      <c r="E9" s="220">
        <v>2810790.9899999993</v>
      </c>
      <c r="F9" s="220">
        <v>311125.27</v>
      </c>
      <c r="G9" s="220">
        <v>3158015.8099999996</v>
      </c>
      <c r="H9" s="220">
        <v>1682190.3099999998</v>
      </c>
      <c r="I9" s="220">
        <v>877678.39</v>
      </c>
      <c r="J9" s="220">
        <v>372196.17</v>
      </c>
      <c r="K9" s="220">
        <f t="shared" si="0"/>
        <v>23949423.369999997</v>
      </c>
      <c r="N9" s="214"/>
      <c r="O9" s="294"/>
      <c r="P9" s="293"/>
      <c r="Q9" s="293"/>
      <c r="R9" s="293"/>
      <c r="S9" s="293"/>
      <c r="T9" s="293"/>
      <c r="U9" s="293"/>
      <c r="V9" s="293"/>
      <c r="W9" s="293"/>
      <c r="X9" s="293"/>
    </row>
    <row r="10" spans="1:24" x14ac:dyDescent="0.2">
      <c r="A10" s="182" t="s">
        <v>103</v>
      </c>
      <c r="B10" s="214">
        <f t="shared" ref="B10:K10" si="1">SUM(B4:B9)</f>
        <v>93738</v>
      </c>
      <c r="C10" s="214">
        <f t="shared" si="1"/>
        <v>530418546.76999998</v>
      </c>
      <c r="D10" s="214">
        <f t="shared" si="1"/>
        <v>101620855.20999999</v>
      </c>
      <c r="E10" s="214">
        <f t="shared" si="1"/>
        <v>51816813.090000004</v>
      </c>
      <c r="F10" s="214">
        <f t="shared" si="1"/>
        <v>49068319.63000001</v>
      </c>
      <c r="G10" s="214">
        <f t="shared" si="1"/>
        <v>89728844.920000017</v>
      </c>
      <c r="H10" s="214">
        <f t="shared" si="1"/>
        <v>46045184.839999996</v>
      </c>
      <c r="I10" s="214">
        <f t="shared" si="1"/>
        <v>49776555.790000007</v>
      </c>
      <c r="J10" s="214">
        <f t="shared" si="1"/>
        <v>50282642.890000001</v>
      </c>
      <c r="K10" s="214">
        <f t="shared" si="1"/>
        <v>968757763.13999999</v>
      </c>
      <c r="N10" s="214"/>
    </row>
    <row r="11" spans="1:24" x14ac:dyDescent="0.2">
      <c r="A11" s="33"/>
      <c r="B11" s="214"/>
      <c r="C11" s="214"/>
      <c r="D11" s="214"/>
      <c r="E11" s="214"/>
      <c r="F11" s="214"/>
      <c r="G11" s="214"/>
      <c r="H11" s="214"/>
      <c r="I11" s="214"/>
      <c r="J11" s="214"/>
      <c r="K11" s="182"/>
      <c r="N11" s="214"/>
    </row>
    <row r="12" spans="1:24" ht="15" x14ac:dyDescent="0.25">
      <c r="A12" s="33" t="s">
        <v>81</v>
      </c>
      <c r="B12" s="214">
        <v>21295</v>
      </c>
      <c r="C12" s="214">
        <v>117672859.31999998</v>
      </c>
      <c r="D12" s="214">
        <v>21923480.500000004</v>
      </c>
      <c r="E12" s="214">
        <v>9195612.1499999985</v>
      </c>
      <c r="F12" s="214">
        <v>13413015.159999998</v>
      </c>
      <c r="G12" s="214">
        <v>21759865.780000001</v>
      </c>
      <c r="H12" s="214">
        <v>8942402.7599999998</v>
      </c>
      <c r="I12" s="214">
        <v>19710646.140000001</v>
      </c>
      <c r="J12" s="214">
        <v>11784738.639999999</v>
      </c>
      <c r="K12" s="214">
        <f>SUM(C12:J12)</f>
        <v>224402620.44999999</v>
      </c>
      <c r="N12" s="214"/>
      <c r="O12" s="294"/>
      <c r="P12" s="293"/>
      <c r="Q12" s="293"/>
      <c r="R12" s="293"/>
      <c r="S12" s="293"/>
      <c r="T12" s="293"/>
      <c r="U12" s="293"/>
      <c r="V12" s="293"/>
      <c r="W12" s="293"/>
      <c r="X12" s="293"/>
    </row>
    <row r="13" spans="1:24" ht="15" x14ac:dyDescent="0.25">
      <c r="A13" s="33" t="s">
        <v>82</v>
      </c>
      <c r="B13" s="214">
        <v>6285</v>
      </c>
      <c r="C13" s="214">
        <v>33601042.189999998</v>
      </c>
      <c r="D13" s="214">
        <v>6594078.4799999995</v>
      </c>
      <c r="E13" s="214">
        <v>3652678.26</v>
      </c>
      <c r="F13" s="214">
        <v>4873730.1500000004</v>
      </c>
      <c r="G13" s="214">
        <v>7463099.8500000006</v>
      </c>
      <c r="H13" s="214">
        <v>4876881.22</v>
      </c>
      <c r="I13" s="214">
        <v>8620875.1600000001</v>
      </c>
      <c r="J13" s="214">
        <v>5871282.4199999999</v>
      </c>
      <c r="K13" s="214">
        <f>SUM(C13:J13)</f>
        <v>75553667.729999989</v>
      </c>
      <c r="N13" s="214"/>
      <c r="O13" s="294"/>
      <c r="P13" s="293"/>
      <c r="Q13" s="293"/>
      <c r="R13" s="293"/>
      <c r="S13" s="293"/>
      <c r="T13" s="293"/>
      <c r="U13" s="293"/>
      <c r="V13" s="293"/>
      <c r="W13" s="293"/>
      <c r="X13" s="293"/>
    </row>
    <row r="14" spans="1:24" ht="15" x14ac:dyDescent="0.25">
      <c r="A14" s="33" t="s">
        <v>83</v>
      </c>
      <c r="B14" s="214">
        <v>4540</v>
      </c>
      <c r="C14" s="214">
        <v>25553609.280000005</v>
      </c>
      <c r="D14" s="214">
        <v>4018116.8899999997</v>
      </c>
      <c r="E14" s="214">
        <v>3808341.149999999</v>
      </c>
      <c r="F14" s="214">
        <v>3972890.83</v>
      </c>
      <c r="G14" s="214">
        <v>8835501.4000000004</v>
      </c>
      <c r="H14" s="214">
        <v>4326306.5200000005</v>
      </c>
      <c r="I14" s="214">
        <v>5783451.1600000001</v>
      </c>
      <c r="J14" s="214">
        <v>1852371.73</v>
      </c>
      <c r="K14" s="214">
        <f>SUM(C14:J14)</f>
        <v>58150588.960000001</v>
      </c>
      <c r="N14" s="214"/>
      <c r="O14" s="294"/>
      <c r="P14" s="293"/>
      <c r="Q14" s="293"/>
      <c r="R14" s="293"/>
      <c r="S14" s="293"/>
      <c r="T14" s="293"/>
      <c r="U14" s="293"/>
      <c r="V14" s="293"/>
      <c r="W14" s="293"/>
      <c r="X14" s="293"/>
    </row>
    <row r="15" spans="1:24" ht="15" x14ac:dyDescent="0.25">
      <c r="A15" s="33" t="s">
        <v>84</v>
      </c>
      <c r="B15" s="214">
        <v>4531</v>
      </c>
      <c r="C15" s="214">
        <v>30011865.390000008</v>
      </c>
      <c r="D15" s="214">
        <v>3475862.4400000009</v>
      </c>
      <c r="E15" s="214">
        <v>5210265.5600000005</v>
      </c>
      <c r="F15" s="214">
        <v>3637000.7799999993</v>
      </c>
      <c r="G15" s="214">
        <v>9266094.4899999984</v>
      </c>
      <c r="H15" s="214">
        <v>5126454.4300000006</v>
      </c>
      <c r="I15" s="214">
        <v>6257975.5500000007</v>
      </c>
      <c r="J15" s="214">
        <v>3171437.07</v>
      </c>
      <c r="K15" s="214">
        <f>SUM(C15:J15)</f>
        <v>66156955.710000016</v>
      </c>
      <c r="N15" s="214"/>
      <c r="O15" s="294"/>
      <c r="P15" s="293"/>
      <c r="Q15" s="293"/>
      <c r="R15" s="293"/>
      <c r="S15" s="293"/>
      <c r="T15" s="293"/>
      <c r="U15" s="293"/>
      <c r="V15" s="293"/>
      <c r="W15" s="293"/>
      <c r="X15" s="293"/>
    </row>
    <row r="16" spans="1:24" ht="15" x14ac:dyDescent="0.25">
      <c r="A16" s="33" t="s">
        <v>85</v>
      </c>
      <c r="B16" s="220">
        <v>1583</v>
      </c>
      <c r="C16" s="220">
        <v>14584273.229999999</v>
      </c>
      <c r="D16" s="220">
        <v>1569876.8800000006</v>
      </c>
      <c r="E16" s="220">
        <v>4444161.88</v>
      </c>
      <c r="F16" s="220">
        <v>1050601.4099999999</v>
      </c>
      <c r="G16" s="220">
        <v>5576690.9000000004</v>
      </c>
      <c r="H16" s="220">
        <v>3218502.58</v>
      </c>
      <c r="I16" s="220">
        <v>3766710.7000000016</v>
      </c>
      <c r="J16" s="220">
        <v>4405289.66</v>
      </c>
      <c r="K16" s="220">
        <f>SUM(C16:J16)</f>
        <v>38616107.239999995</v>
      </c>
      <c r="N16" s="214"/>
      <c r="O16" s="294"/>
      <c r="P16" s="293"/>
      <c r="Q16" s="293"/>
      <c r="R16" s="293"/>
      <c r="S16" s="293"/>
      <c r="T16" s="293"/>
      <c r="U16" s="293"/>
      <c r="V16" s="293"/>
      <c r="W16" s="293"/>
      <c r="X16" s="293"/>
    </row>
    <row r="17" spans="1:24" x14ac:dyDescent="0.2">
      <c r="A17" s="182" t="s">
        <v>104</v>
      </c>
      <c r="B17" s="214">
        <f t="shared" ref="B17:K17" si="2">SUM(B12:B16)</f>
        <v>38234</v>
      </c>
      <c r="C17" s="214">
        <f t="shared" si="2"/>
        <v>221423649.41</v>
      </c>
      <c r="D17" s="214">
        <f t="shared" si="2"/>
        <v>37581415.190000005</v>
      </c>
      <c r="E17" s="214">
        <f t="shared" si="2"/>
        <v>26311058.999999996</v>
      </c>
      <c r="F17" s="214">
        <f t="shared" si="2"/>
        <v>26947238.330000002</v>
      </c>
      <c r="G17" s="214">
        <f t="shared" si="2"/>
        <v>52901252.419999994</v>
      </c>
      <c r="H17" s="214">
        <f t="shared" si="2"/>
        <v>26490547.509999998</v>
      </c>
      <c r="I17" s="214">
        <f t="shared" si="2"/>
        <v>44139658.710000008</v>
      </c>
      <c r="J17" s="214">
        <f t="shared" si="2"/>
        <v>27085119.52</v>
      </c>
      <c r="K17" s="214">
        <f t="shared" si="2"/>
        <v>462879940.08999997</v>
      </c>
    </row>
    <row r="18" spans="1:24" x14ac:dyDescent="0.2">
      <c r="A18" s="33"/>
      <c r="B18" s="214"/>
      <c r="C18" s="214"/>
      <c r="D18" s="214"/>
      <c r="E18" s="214"/>
      <c r="F18" s="214"/>
      <c r="G18" s="214"/>
      <c r="H18" s="214"/>
      <c r="I18" s="214"/>
      <c r="J18" s="214"/>
      <c r="K18" s="182"/>
    </row>
    <row r="19" spans="1:24" ht="15" x14ac:dyDescent="0.25">
      <c r="A19" s="33" t="s">
        <v>86</v>
      </c>
      <c r="B19" s="214">
        <v>10038</v>
      </c>
      <c r="C19" s="214">
        <v>57458138.25</v>
      </c>
      <c r="D19" s="214">
        <v>5467617.8599999985</v>
      </c>
      <c r="E19" s="214">
        <v>5237128.9200000018</v>
      </c>
      <c r="F19" s="214">
        <v>5716779.75</v>
      </c>
      <c r="G19" s="214">
        <v>11209658.510000002</v>
      </c>
      <c r="H19" s="214">
        <v>5708431.8800000008</v>
      </c>
      <c r="I19" s="214">
        <v>8053039.8200000012</v>
      </c>
      <c r="J19" s="214">
        <v>6929148.1400000006</v>
      </c>
      <c r="K19" s="214">
        <f>SUM(C19:J19)</f>
        <v>105779943.13000001</v>
      </c>
      <c r="O19" s="294"/>
      <c r="P19" s="293"/>
      <c r="Q19" s="293"/>
      <c r="R19" s="293"/>
      <c r="S19" s="293"/>
      <c r="T19" s="293"/>
      <c r="U19" s="293"/>
      <c r="V19" s="293"/>
      <c r="W19" s="293"/>
      <c r="X19" s="293"/>
    </row>
    <row r="20" spans="1:24" ht="15" x14ac:dyDescent="0.25">
      <c r="A20" s="33" t="s">
        <v>87</v>
      </c>
      <c r="B20" s="233">
        <v>7400</v>
      </c>
      <c r="C20" s="234">
        <v>55373779.349999979</v>
      </c>
      <c r="D20" s="234">
        <v>4933859.7299999995</v>
      </c>
      <c r="E20" s="234">
        <v>10652620.239999996</v>
      </c>
      <c r="F20" s="234">
        <v>3725967.9</v>
      </c>
      <c r="G20" s="234">
        <v>13843783.48</v>
      </c>
      <c r="H20" s="234">
        <v>8720512.2200000007</v>
      </c>
      <c r="I20" s="234">
        <v>9985407.5800000001</v>
      </c>
      <c r="J20" s="220">
        <v>5580790.3599999994</v>
      </c>
      <c r="K20" s="220">
        <f>SUM(C20:J20)</f>
        <v>112816720.85999998</v>
      </c>
      <c r="O20" s="294"/>
      <c r="P20" s="293"/>
      <c r="Q20" s="293"/>
      <c r="R20" s="293"/>
      <c r="S20" s="293"/>
      <c r="T20" s="293"/>
      <c r="U20" s="293"/>
      <c r="V20" s="293"/>
      <c r="W20" s="293"/>
      <c r="X20" s="293"/>
    </row>
    <row r="21" spans="1:24" x14ac:dyDescent="0.2">
      <c r="A21" s="182" t="s">
        <v>105</v>
      </c>
      <c r="B21" s="214">
        <f t="shared" ref="B21:K21" si="3">SUM(B19:B20)</f>
        <v>17438</v>
      </c>
      <c r="C21" s="214">
        <f t="shared" si="3"/>
        <v>112831917.59999998</v>
      </c>
      <c r="D21" s="214">
        <f t="shared" si="3"/>
        <v>10401477.589999998</v>
      </c>
      <c r="E21" s="214">
        <f t="shared" si="3"/>
        <v>15889749.159999998</v>
      </c>
      <c r="F21" s="214">
        <f t="shared" si="3"/>
        <v>9442747.6500000004</v>
      </c>
      <c r="G21" s="214">
        <f t="shared" si="3"/>
        <v>25053441.990000002</v>
      </c>
      <c r="H21" s="214">
        <f t="shared" si="3"/>
        <v>14428944.100000001</v>
      </c>
      <c r="I21" s="214">
        <f t="shared" si="3"/>
        <v>18038447.400000002</v>
      </c>
      <c r="J21" s="214">
        <f t="shared" si="3"/>
        <v>12509938.5</v>
      </c>
      <c r="K21" s="214">
        <f t="shared" si="3"/>
        <v>218596663.99000001</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149410</v>
      </c>
      <c r="C23" s="222">
        <f t="shared" si="4"/>
        <v>864674113.77999997</v>
      </c>
      <c r="D23" s="222">
        <f t="shared" si="4"/>
        <v>149603747.99000001</v>
      </c>
      <c r="E23" s="222">
        <f t="shared" si="4"/>
        <v>94017621.25</v>
      </c>
      <c r="F23" s="222">
        <f t="shared" si="4"/>
        <v>85458305.610000014</v>
      </c>
      <c r="G23" s="222">
        <f t="shared" si="4"/>
        <v>167683539.33000001</v>
      </c>
      <c r="H23" s="222">
        <f t="shared" si="4"/>
        <v>86964676.449999988</v>
      </c>
      <c r="I23" s="222">
        <f t="shared" si="4"/>
        <v>111954661.90000002</v>
      </c>
      <c r="J23" s="222">
        <f t="shared" si="4"/>
        <v>89877700.909999996</v>
      </c>
      <c r="K23" s="222">
        <f t="shared" si="4"/>
        <v>1650234367.2199998</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FY2015</v>
      </c>
      <c r="C26" s="22"/>
      <c r="D26" s="22"/>
      <c r="E26" s="22"/>
      <c r="F26" s="22"/>
      <c r="G26" s="22"/>
      <c r="H26" s="22"/>
      <c r="I26" s="22"/>
      <c r="J26" s="22"/>
      <c r="K26" s="22"/>
    </row>
    <row r="27" spans="1:24" ht="39" customHeight="1" x14ac:dyDescent="0.2">
      <c r="A27" s="21" t="s">
        <v>245</v>
      </c>
      <c r="B27" s="21" t="str">
        <f>B3</f>
        <v>ANB15</v>
      </c>
      <c r="C27" s="21" t="str">
        <f t="shared" ref="C27:K27" si="5">C3</f>
        <v>15/Pupil Instruction</v>
      </c>
      <c r="D27" s="21" t="str">
        <f t="shared" si="5"/>
        <v>15/Pupil Student Services</v>
      </c>
      <c r="E27" s="21" t="str">
        <f t="shared" si="5"/>
        <v>15/Pupil General Admin</v>
      </c>
      <c r="F27" s="21" t="str">
        <f t="shared" si="5"/>
        <v>15/Pupil Bldg Admin</v>
      </c>
      <c r="G27" s="21" t="str">
        <f t="shared" si="5"/>
        <v>15/Pupil Bldg OM</v>
      </c>
      <c r="H27" s="21" t="str">
        <f t="shared" si="5"/>
        <v>15/Pupil Transport</v>
      </c>
      <c r="I27" s="21" t="str">
        <f t="shared" si="5"/>
        <v>15/Pupil Other</v>
      </c>
      <c r="J27" s="21" t="str">
        <f t="shared" si="5"/>
        <v>15/Pupil Bonds/ Facilities</v>
      </c>
      <c r="K27" s="21" t="str">
        <f t="shared" si="5"/>
        <v>15/Pupil Total</v>
      </c>
    </row>
    <row r="28" spans="1:24" x14ac:dyDescent="0.2">
      <c r="A28" s="182" t="s">
        <v>102</v>
      </c>
      <c r="B28" s="214">
        <f t="shared" ref="B28:B33" si="6">B4</f>
        <v>40133</v>
      </c>
      <c r="C28" s="182">
        <f t="shared" ref="C28:K34" si="7">C4/$B28</f>
        <v>5404.4381588717515</v>
      </c>
      <c r="D28" s="182">
        <f t="shared" si="7"/>
        <v>1249.5401681907654</v>
      </c>
      <c r="E28" s="182">
        <f t="shared" si="7"/>
        <v>359.8399464281265</v>
      </c>
      <c r="F28" s="182">
        <f t="shared" si="7"/>
        <v>527.42975705778292</v>
      </c>
      <c r="G28" s="182">
        <f t="shared" si="7"/>
        <v>765.7230934642314</v>
      </c>
      <c r="H28" s="182">
        <f t="shared" si="7"/>
        <v>407.21238083372788</v>
      </c>
      <c r="I28" s="182">
        <f t="shared" si="7"/>
        <v>368.30403583086235</v>
      </c>
      <c r="J28" s="182">
        <f t="shared" si="7"/>
        <v>396.37056437345825</v>
      </c>
      <c r="K28" s="182">
        <f t="shared" si="7"/>
        <v>9478.8581050507073</v>
      </c>
    </row>
    <row r="29" spans="1:24" ht="15" x14ac:dyDescent="0.25">
      <c r="A29" s="182" t="s">
        <v>76</v>
      </c>
      <c r="B29" s="214">
        <f t="shared" si="6"/>
        <v>20955</v>
      </c>
      <c r="C29" s="182">
        <f t="shared" si="7"/>
        <v>5513.6225268432354</v>
      </c>
      <c r="D29" s="182">
        <f t="shared" si="7"/>
        <v>1276.4833552851346</v>
      </c>
      <c r="E29" s="182">
        <f t="shared" si="7"/>
        <v>412.16423765211175</v>
      </c>
      <c r="F29" s="182">
        <f t="shared" si="7"/>
        <v>542.77354139823433</v>
      </c>
      <c r="G29" s="182">
        <f t="shared" si="7"/>
        <v>1027.4640811262229</v>
      </c>
      <c r="H29" s="182">
        <f t="shared" si="7"/>
        <v>494.95499498926262</v>
      </c>
      <c r="I29" s="182">
        <f t="shared" si="7"/>
        <v>527.83317442137911</v>
      </c>
      <c r="J29" s="182">
        <f t="shared" si="7"/>
        <v>646.28129324743486</v>
      </c>
      <c r="K29" s="182">
        <f t="shared" si="7"/>
        <v>10441.577204963014</v>
      </c>
      <c r="O29" s="247"/>
      <c r="P29" s="273"/>
      <c r="Q29" s="273"/>
      <c r="R29" s="273"/>
      <c r="S29" s="273"/>
      <c r="T29" s="273"/>
      <c r="U29" s="273"/>
    </row>
    <row r="30" spans="1:24" ht="15" x14ac:dyDescent="0.25">
      <c r="A30" s="182" t="s">
        <v>77</v>
      </c>
      <c r="B30" s="214">
        <f t="shared" si="6"/>
        <v>13511</v>
      </c>
      <c r="C30" s="182">
        <f t="shared" si="7"/>
        <v>5938.1763600029617</v>
      </c>
      <c r="D30" s="182">
        <f t="shared" si="7"/>
        <v>934.4060002960548</v>
      </c>
      <c r="E30" s="182">
        <f t="shared" si="7"/>
        <v>701.15942047220778</v>
      </c>
      <c r="F30" s="182">
        <f t="shared" si="7"/>
        <v>591.16636370364893</v>
      </c>
      <c r="G30" s="182">
        <f t="shared" si="7"/>
        <v>959.77085485900386</v>
      </c>
      <c r="H30" s="182">
        <f t="shared" si="7"/>
        <v>472.43983124861228</v>
      </c>
      <c r="I30" s="182">
        <f t="shared" si="7"/>
        <v>665.37458515283845</v>
      </c>
      <c r="J30" s="182">
        <f t="shared" si="7"/>
        <v>573.1361002146399</v>
      </c>
      <c r="K30" s="182">
        <f t="shared" si="7"/>
        <v>10835.629515949968</v>
      </c>
      <c r="O30" s="247"/>
      <c r="P30" s="273"/>
      <c r="Q30" s="273"/>
      <c r="R30" s="273"/>
      <c r="S30" s="273"/>
      <c r="T30" s="273"/>
      <c r="U30" s="273"/>
    </row>
    <row r="31" spans="1:24" ht="15" x14ac:dyDescent="0.25">
      <c r="A31" s="182" t="s">
        <v>78</v>
      </c>
      <c r="B31" s="214">
        <f t="shared" si="6"/>
        <v>12550</v>
      </c>
      <c r="C31" s="182">
        <f t="shared" si="7"/>
        <v>5703.2451888446221</v>
      </c>
      <c r="D31" s="182">
        <f t="shared" si="7"/>
        <v>692.24615537848592</v>
      </c>
      <c r="E31" s="182">
        <f t="shared" si="7"/>
        <v>846.24679840637486</v>
      </c>
      <c r="F31" s="182">
        <f t="shared" si="7"/>
        <v>456.00722151394422</v>
      </c>
      <c r="G31" s="182">
        <f t="shared" si="7"/>
        <v>1135.7414063745023</v>
      </c>
      <c r="H31" s="182">
        <f t="shared" si="7"/>
        <v>535.51230358565726</v>
      </c>
      <c r="I31" s="182">
        <f t="shared" si="7"/>
        <v>737.46539442231074</v>
      </c>
      <c r="J31" s="182">
        <f t="shared" si="7"/>
        <v>728.93309960159365</v>
      </c>
      <c r="K31" s="182">
        <f t="shared" si="7"/>
        <v>10835.397568127491</v>
      </c>
      <c r="O31" s="247"/>
      <c r="P31" s="273"/>
      <c r="Q31" s="273"/>
      <c r="R31" s="273"/>
      <c r="S31" s="273"/>
      <c r="T31" s="273"/>
      <c r="U31" s="273"/>
    </row>
    <row r="32" spans="1:24" ht="15" x14ac:dyDescent="0.25">
      <c r="A32" s="182" t="s">
        <v>79</v>
      </c>
      <c r="B32" s="214">
        <f t="shared" si="6"/>
        <v>4913</v>
      </c>
      <c r="C32" s="182">
        <f t="shared" si="7"/>
        <v>6553.564097292895</v>
      </c>
      <c r="D32" s="182">
        <f t="shared" si="7"/>
        <v>540.33330755139434</v>
      </c>
      <c r="E32" s="182">
        <f t="shared" si="7"/>
        <v>1187.4418237329535</v>
      </c>
      <c r="F32" s="182">
        <f t="shared" si="7"/>
        <v>510.05434357826192</v>
      </c>
      <c r="G32" s="182">
        <f t="shared" si="7"/>
        <v>1442.8120720537352</v>
      </c>
      <c r="H32" s="182">
        <f t="shared" si="7"/>
        <v>925.04460818237317</v>
      </c>
      <c r="I32" s="182">
        <f t="shared" si="7"/>
        <v>979.42614288622019</v>
      </c>
      <c r="J32" s="182">
        <f t="shared" si="7"/>
        <v>726.30370649297765</v>
      </c>
      <c r="K32" s="182">
        <f t="shared" si="7"/>
        <v>12864.980101770811</v>
      </c>
      <c r="O32" s="247"/>
      <c r="P32" s="273"/>
      <c r="Q32" s="273"/>
      <c r="R32" s="273"/>
      <c r="S32" s="273"/>
      <c r="T32" s="273"/>
      <c r="U32" s="273"/>
    </row>
    <row r="33" spans="1:21" ht="15" x14ac:dyDescent="0.25">
      <c r="A33" s="182" t="s">
        <v>80</v>
      </c>
      <c r="B33" s="220">
        <f t="shared" si="6"/>
        <v>1676</v>
      </c>
      <c r="C33" s="183">
        <f t="shared" si="7"/>
        <v>8341.397231503579</v>
      </c>
      <c r="D33" s="183">
        <f t="shared" si="7"/>
        <v>451.81662887828156</v>
      </c>
      <c r="E33" s="183">
        <f t="shared" si="7"/>
        <v>1677.0829295942717</v>
      </c>
      <c r="F33" s="183">
        <f t="shared" si="7"/>
        <v>185.63560262529833</v>
      </c>
      <c r="G33" s="183">
        <f t="shared" si="7"/>
        <v>1884.2576431980904</v>
      </c>
      <c r="H33" s="183">
        <f t="shared" si="7"/>
        <v>1003.6935023866347</v>
      </c>
      <c r="I33" s="183">
        <f t="shared" si="7"/>
        <v>523.67445704057275</v>
      </c>
      <c r="J33" s="183">
        <f t="shared" si="7"/>
        <v>222.07408711217184</v>
      </c>
      <c r="K33" s="183">
        <f t="shared" si="7"/>
        <v>14289.632082338901</v>
      </c>
      <c r="O33" s="247"/>
      <c r="P33" s="273"/>
      <c r="Q33" s="273"/>
      <c r="R33" s="273"/>
      <c r="S33" s="273"/>
      <c r="T33" s="273"/>
      <c r="U33" s="273"/>
    </row>
    <row r="34" spans="1:21" ht="15" x14ac:dyDescent="0.25">
      <c r="A34" s="182" t="s">
        <v>219</v>
      </c>
      <c r="B34" s="214">
        <f>SUM(B28:B33)</f>
        <v>93738</v>
      </c>
      <c r="C34" s="182">
        <f t="shared" si="7"/>
        <v>5658.5221230450825</v>
      </c>
      <c r="D34" s="182">
        <f t="shared" si="7"/>
        <v>1084.0945530094518</v>
      </c>
      <c r="E34" s="182">
        <f t="shared" si="7"/>
        <v>552.78342923894263</v>
      </c>
      <c r="F34" s="182">
        <f t="shared" si="7"/>
        <v>523.46241257547649</v>
      </c>
      <c r="G34" s="182">
        <f t="shared" si="7"/>
        <v>957.23020461285728</v>
      </c>
      <c r="H34" s="182">
        <f t="shared" si="7"/>
        <v>491.21151336704429</v>
      </c>
      <c r="I34" s="182">
        <f t="shared" si="7"/>
        <v>531.01789871770256</v>
      </c>
      <c r="J34" s="182">
        <f t="shared" si="7"/>
        <v>536.41685218374619</v>
      </c>
      <c r="K34" s="182">
        <f t="shared" si="7"/>
        <v>10334.738986750304</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21295</v>
      </c>
      <c r="C36" s="182">
        <f t="shared" ref="C36:K41" si="8">C12/$B36</f>
        <v>5525.8445325193697</v>
      </c>
      <c r="D36" s="182">
        <f t="shared" si="8"/>
        <v>1029.5130547076781</v>
      </c>
      <c r="E36" s="182">
        <f t="shared" si="8"/>
        <v>431.82024653674563</v>
      </c>
      <c r="F36" s="182">
        <f t="shared" si="8"/>
        <v>629.86687767081469</v>
      </c>
      <c r="G36" s="182">
        <f t="shared" si="8"/>
        <v>1021.8298088753229</v>
      </c>
      <c r="H36" s="182">
        <f t="shared" si="8"/>
        <v>419.92969053768491</v>
      </c>
      <c r="I36" s="182">
        <f t="shared" si="8"/>
        <v>925.59972481803243</v>
      </c>
      <c r="J36" s="182">
        <f t="shared" si="8"/>
        <v>553.40402160131475</v>
      </c>
      <c r="K36" s="182">
        <f t="shared" si="8"/>
        <v>10537.807957266963</v>
      </c>
      <c r="O36" s="247"/>
      <c r="P36" s="273"/>
      <c r="Q36" s="273"/>
      <c r="R36" s="273"/>
      <c r="S36" s="273"/>
      <c r="T36" s="273"/>
      <c r="U36" s="273"/>
    </row>
    <row r="37" spans="1:21" ht="15" x14ac:dyDescent="0.25">
      <c r="A37" s="182" t="s">
        <v>82</v>
      </c>
      <c r="B37" s="214">
        <f>B13</f>
        <v>6285</v>
      </c>
      <c r="C37" s="182">
        <f t="shared" si="8"/>
        <v>5346.2278743038978</v>
      </c>
      <c r="D37" s="182">
        <f t="shared" si="8"/>
        <v>1049.1771646778043</v>
      </c>
      <c r="E37" s="182">
        <f t="shared" si="8"/>
        <v>581.17394749403343</v>
      </c>
      <c r="F37" s="182">
        <f t="shared" si="8"/>
        <v>775.4542800318219</v>
      </c>
      <c r="G37" s="182">
        <f t="shared" si="8"/>
        <v>1187.4462768496421</v>
      </c>
      <c r="H37" s="182">
        <f t="shared" si="8"/>
        <v>775.95564359586308</v>
      </c>
      <c r="I37" s="182">
        <f t="shared" si="8"/>
        <v>1371.6587366746221</v>
      </c>
      <c r="J37" s="182">
        <f t="shared" si="8"/>
        <v>934.1738138424821</v>
      </c>
      <c r="K37" s="182">
        <f t="shared" si="8"/>
        <v>12021.267737470165</v>
      </c>
      <c r="O37" s="247"/>
      <c r="P37" s="273"/>
      <c r="Q37" s="273"/>
      <c r="R37" s="273"/>
      <c r="S37" s="273"/>
      <c r="T37" s="273"/>
      <c r="U37" s="273"/>
    </row>
    <row r="38" spans="1:21" ht="15" x14ac:dyDescent="0.25">
      <c r="A38" s="182" t="s">
        <v>83</v>
      </c>
      <c r="B38" s="214">
        <f>B14</f>
        <v>4540</v>
      </c>
      <c r="C38" s="182">
        <f t="shared" si="8"/>
        <v>5628.5482995594721</v>
      </c>
      <c r="D38" s="182">
        <f t="shared" si="8"/>
        <v>885.0477731277532</v>
      </c>
      <c r="E38" s="182">
        <f t="shared" si="8"/>
        <v>838.84166299559445</v>
      </c>
      <c r="F38" s="182">
        <f t="shared" si="8"/>
        <v>875.0860859030837</v>
      </c>
      <c r="G38" s="182">
        <f t="shared" si="8"/>
        <v>1946.1456828193834</v>
      </c>
      <c r="H38" s="182">
        <f t="shared" si="8"/>
        <v>952.93095154185028</v>
      </c>
      <c r="I38" s="182">
        <f t="shared" si="8"/>
        <v>1273.8879207048458</v>
      </c>
      <c r="J38" s="182">
        <f t="shared" si="8"/>
        <v>408.01139427312773</v>
      </c>
      <c r="K38" s="182">
        <f t="shared" si="8"/>
        <v>12808.499770925111</v>
      </c>
      <c r="O38" s="247"/>
      <c r="P38" s="273"/>
      <c r="Q38" s="273"/>
      <c r="R38" s="273"/>
      <c r="S38" s="273"/>
      <c r="T38" s="273"/>
      <c r="U38" s="273"/>
    </row>
    <row r="39" spans="1:21" ht="15" x14ac:dyDescent="0.25">
      <c r="A39" s="182" t="s">
        <v>84</v>
      </c>
      <c r="B39" s="214">
        <f>B15</f>
        <v>4531</v>
      </c>
      <c r="C39" s="182">
        <f t="shared" si="8"/>
        <v>6623.6736680644472</v>
      </c>
      <c r="D39" s="182">
        <f t="shared" si="8"/>
        <v>767.12920768042397</v>
      </c>
      <c r="E39" s="182">
        <f t="shared" si="8"/>
        <v>1149.9151533877732</v>
      </c>
      <c r="F39" s="182">
        <f t="shared" si="8"/>
        <v>802.69273449569619</v>
      </c>
      <c r="G39" s="182">
        <f t="shared" si="8"/>
        <v>2045.0440278084304</v>
      </c>
      <c r="H39" s="182">
        <f t="shared" si="8"/>
        <v>1131.417883469433</v>
      </c>
      <c r="I39" s="182">
        <f t="shared" si="8"/>
        <v>1381.1466674023395</v>
      </c>
      <c r="J39" s="182">
        <f t="shared" si="8"/>
        <v>699.94197086735812</v>
      </c>
      <c r="K39" s="182">
        <f t="shared" si="8"/>
        <v>14600.961313175903</v>
      </c>
      <c r="O39" s="247"/>
      <c r="P39" s="273"/>
      <c r="Q39" s="273"/>
      <c r="R39" s="273"/>
      <c r="S39" s="273"/>
      <c r="T39" s="273"/>
      <c r="U39" s="273"/>
    </row>
    <row r="40" spans="1:21" ht="15" x14ac:dyDescent="0.25">
      <c r="A40" s="182" t="s">
        <v>85</v>
      </c>
      <c r="B40" s="220">
        <f>B16</f>
        <v>1583</v>
      </c>
      <c r="C40" s="183">
        <f t="shared" si="8"/>
        <v>9213.0595262160441</v>
      </c>
      <c r="D40" s="183">
        <f t="shared" si="8"/>
        <v>991.70996841440342</v>
      </c>
      <c r="E40" s="183">
        <f t="shared" si="8"/>
        <v>2807.4301200252685</v>
      </c>
      <c r="F40" s="183">
        <f t="shared" si="8"/>
        <v>663.67745420088431</v>
      </c>
      <c r="G40" s="183">
        <f t="shared" si="8"/>
        <v>3522.8622236260267</v>
      </c>
      <c r="H40" s="183">
        <f t="shared" si="8"/>
        <v>2033.1665066329754</v>
      </c>
      <c r="I40" s="183">
        <f t="shared" si="8"/>
        <v>2379.4761212886933</v>
      </c>
      <c r="J40" s="183">
        <f t="shared" si="8"/>
        <v>2782.8740745420091</v>
      </c>
      <c r="K40" s="183">
        <f t="shared" si="8"/>
        <v>24394.255994946299</v>
      </c>
      <c r="O40" s="247"/>
      <c r="P40" s="273"/>
      <c r="Q40" s="273"/>
      <c r="R40" s="273"/>
      <c r="S40" s="273"/>
      <c r="T40" s="273"/>
      <c r="U40" s="273"/>
    </row>
    <row r="41" spans="1:21" ht="15" x14ac:dyDescent="0.25">
      <c r="A41" s="182" t="s">
        <v>220</v>
      </c>
      <c r="B41" s="214">
        <f>SUM(B36:B40)</f>
        <v>38234</v>
      </c>
      <c r="C41" s="182">
        <f t="shared" si="8"/>
        <v>5791.2760739132709</v>
      </c>
      <c r="D41" s="182">
        <f t="shared" si="8"/>
        <v>982.931819584663</v>
      </c>
      <c r="E41" s="182">
        <f t="shared" si="8"/>
        <v>688.15868075534854</v>
      </c>
      <c r="F41" s="182">
        <f t="shared" si="8"/>
        <v>704.79778024794689</v>
      </c>
      <c r="G41" s="182">
        <f t="shared" si="8"/>
        <v>1383.6180472877543</v>
      </c>
      <c r="H41" s="182">
        <f t="shared" si="8"/>
        <v>692.85315452215298</v>
      </c>
      <c r="I41" s="182">
        <f t="shared" si="8"/>
        <v>1154.4609172464302</v>
      </c>
      <c r="J41" s="182">
        <f t="shared" si="8"/>
        <v>708.40402573625568</v>
      </c>
      <c r="K41" s="182">
        <f t="shared" si="8"/>
        <v>12106.500499293821</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10038</v>
      </c>
      <c r="C43" s="182">
        <f t="shared" ref="C43:K45" si="9">C19/$B43</f>
        <v>5724.0623879258819</v>
      </c>
      <c r="D43" s="182">
        <f t="shared" si="9"/>
        <v>544.69195656505269</v>
      </c>
      <c r="E43" s="182">
        <f t="shared" si="9"/>
        <v>521.73031679617475</v>
      </c>
      <c r="F43" s="182">
        <f t="shared" si="9"/>
        <v>569.51382247459651</v>
      </c>
      <c r="G43" s="182">
        <f t="shared" si="9"/>
        <v>1116.7223062363023</v>
      </c>
      <c r="H43" s="182">
        <f t="shared" si="9"/>
        <v>568.68219565650531</v>
      </c>
      <c r="I43" s="182">
        <f t="shared" si="9"/>
        <v>802.25541143654129</v>
      </c>
      <c r="J43" s="182">
        <f t="shared" si="9"/>
        <v>690.2917055190278</v>
      </c>
      <c r="K43" s="182">
        <f t="shared" si="9"/>
        <v>10537.950102610082</v>
      </c>
    </row>
    <row r="44" spans="1:21" x14ac:dyDescent="0.2">
      <c r="A44" s="182" t="s">
        <v>87</v>
      </c>
      <c r="B44" s="220">
        <f>B20</f>
        <v>7400</v>
      </c>
      <c r="C44" s="183">
        <f t="shared" si="9"/>
        <v>7482.9431554054026</v>
      </c>
      <c r="D44" s="183">
        <f t="shared" si="9"/>
        <v>666.73780135135132</v>
      </c>
      <c r="E44" s="183">
        <f t="shared" si="9"/>
        <v>1439.5432756756752</v>
      </c>
      <c r="F44" s="183">
        <f t="shared" si="9"/>
        <v>503.50917567567564</v>
      </c>
      <c r="G44" s="183">
        <f t="shared" si="9"/>
        <v>1870.7815513513515</v>
      </c>
      <c r="H44" s="183">
        <f t="shared" si="9"/>
        <v>1178.4475972972973</v>
      </c>
      <c r="I44" s="183">
        <f t="shared" si="9"/>
        <v>1349.3794027027027</v>
      </c>
      <c r="J44" s="183">
        <f t="shared" si="9"/>
        <v>754.1608594594594</v>
      </c>
      <c r="K44" s="183">
        <f t="shared" si="9"/>
        <v>15245.502818918916</v>
      </c>
    </row>
    <row r="45" spans="1:21" x14ac:dyDescent="0.2">
      <c r="A45" s="182" t="s">
        <v>221</v>
      </c>
      <c r="B45" s="214">
        <f>SUM(B43:B44)</f>
        <v>17438</v>
      </c>
      <c r="C45" s="182">
        <f t="shared" si="9"/>
        <v>6470.4620713384547</v>
      </c>
      <c r="D45" s="182">
        <f t="shared" si="9"/>
        <v>596.48340348663828</v>
      </c>
      <c r="E45" s="182">
        <f t="shared" si="9"/>
        <v>911.21396719807308</v>
      </c>
      <c r="F45" s="182">
        <f t="shared" si="9"/>
        <v>541.50405149673134</v>
      </c>
      <c r="G45" s="182">
        <f t="shared" si="9"/>
        <v>1436.7153337538709</v>
      </c>
      <c r="H45" s="182">
        <f t="shared" si="9"/>
        <v>827.44260236265632</v>
      </c>
      <c r="I45" s="182">
        <f t="shared" si="9"/>
        <v>1034.433272164239</v>
      </c>
      <c r="J45" s="182">
        <f t="shared" si="9"/>
        <v>717.39525748365634</v>
      </c>
      <c r="K45" s="182">
        <f t="shared" si="9"/>
        <v>12535.649959284323</v>
      </c>
    </row>
    <row r="46" spans="1:21" x14ac:dyDescent="0.2">
      <c r="A46" s="182"/>
      <c r="B46" s="214"/>
      <c r="C46" s="182"/>
      <c r="D46" s="182"/>
      <c r="E46" s="182"/>
      <c r="F46" s="182"/>
      <c r="G46" s="182"/>
      <c r="H46" s="182"/>
      <c r="I46" s="182"/>
      <c r="J46" s="182"/>
      <c r="K46" s="182"/>
    </row>
    <row r="47" spans="1:21" ht="13.5" thickBot="1" x14ac:dyDescent="0.25">
      <c r="A47" s="182" t="s">
        <v>222</v>
      </c>
      <c r="B47" s="222">
        <f>B45+B41+B34</f>
        <v>149410</v>
      </c>
      <c r="C47" s="222">
        <f t="shared" ref="C47:K47" si="10">C23/$B47</f>
        <v>5787.2573039287863</v>
      </c>
      <c r="D47" s="222">
        <f t="shared" si="10"/>
        <v>1001.2967538317382</v>
      </c>
      <c r="E47" s="222">
        <f t="shared" si="10"/>
        <v>629.25922796332236</v>
      </c>
      <c r="F47" s="222">
        <f t="shared" si="10"/>
        <v>571.97179311960383</v>
      </c>
      <c r="G47" s="222">
        <f t="shared" si="10"/>
        <v>1122.3046605314237</v>
      </c>
      <c r="H47" s="222">
        <f t="shared" si="10"/>
        <v>582.05392175891836</v>
      </c>
      <c r="I47" s="222">
        <f t="shared" si="10"/>
        <v>749.31170537447304</v>
      </c>
      <c r="J47" s="222">
        <f t="shared" si="10"/>
        <v>601.55077243825713</v>
      </c>
      <c r="K47" s="222">
        <f t="shared" si="10"/>
        <v>11045.006138946521</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FY2015</v>
      </c>
      <c r="D50" s="182"/>
      <c r="E50" s="182"/>
      <c r="F50" s="182"/>
      <c r="G50" s="182"/>
      <c r="H50" s="182"/>
      <c r="I50" s="182"/>
      <c r="J50" s="182"/>
      <c r="K50" s="182"/>
    </row>
    <row r="51" spans="1:11" ht="40.5" customHeight="1" x14ac:dyDescent="0.2">
      <c r="A51" s="21" t="s">
        <v>1207</v>
      </c>
      <c r="B51" s="21" t="str">
        <f>B3</f>
        <v>ANB15</v>
      </c>
      <c r="C51" s="21" t="str">
        <f t="shared" ref="C51:K51" si="11">C3</f>
        <v>15/Pupil Instruction</v>
      </c>
      <c r="D51" s="21" t="str">
        <f t="shared" si="11"/>
        <v>15/Pupil Student Services</v>
      </c>
      <c r="E51" s="21" t="str">
        <f t="shared" si="11"/>
        <v>15/Pupil General Admin</v>
      </c>
      <c r="F51" s="21" t="str">
        <f t="shared" si="11"/>
        <v>15/Pupil Bldg Admin</v>
      </c>
      <c r="G51" s="21" t="str">
        <f t="shared" si="11"/>
        <v>15/Pupil Bldg OM</v>
      </c>
      <c r="H51" s="21" t="str">
        <f t="shared" si="11"/>
        <v>15/Pupil Transport</v>
      </c>
      <c r="I51" s="21" t="str">
        <f t="shared" si="11"/>
        <v>15/Pupil Other</v>
      </c>
      <c r="J51" s="21" t="str">
        <f t="shared" si="11"/>
        <v>15/Pupil Bonds/ Facilities</v>
      </c>
      <c r="K51" s="21" t="str">
        <f t="shared" si="11"/>
        <v>15/Pupil Total</v>
      </c>
    </row>
    <row r="52" spans="1:11" x14ac:dyDescent="0.2">
      <c r="A52" s="182" t="s">
        <v>102</v>
      </c>
      <c r="B52" s="214">
        <f t="shared" ref="B52:B57" si="12">B4</f>
        <v>40133</v>
      </c>
      <c r="C52" s="191">
        <f t="shared" ref="C52:K58" si="13">C28/$K28</f>
        <v>0.57015709054575414</v>
      </c>
      <c r="D52" s="191">
        <f t="shared" si="13"/>
        <v>0.13182391321217915</v>
      </c>
      <c r="E52" s="191">
        <f t="shared" si="13"/>
        <v>3.7962372939878662E-2</v>
      </c>
      <c r="F52" s="191">
        <f t="shared" si="13"/>
        <v>5.5642752662026625E-2</v>
      </c>
      <c r="G52" s="191">
        <f t="shared" si="13"/>
        <v>8.0782208677248168E-2</v>
      </c>
      <c r="H52" s="191">
        <f t="shared" si="13"/>
        <v>4.2960067164287345E-2</v>
      </c>
      <c r="I52" s="191">
        <f t="shared" si="13"/>
        <v>3.8855316932597132E-2</v>
      </c>
      <c r="J52" s="191">
        <f t="shared" si="13"/>
        <v>4.1816277866028657E-2</v>
      </c>
      <c r="K52" s="191">
        <f t="shared" si="13"/>
        <v>1</v>
      </c>
    </row>
    <row r="53" spans="1:11" x14ac:dyDescent="0.2">
      <c r="A53" s="182" t="s">
        <v>76</v>
      </c>
      <c r="B53" s="214">
        <f t="shared" si="12"/>
        <v>20955</v>
      </c>
      <c r="C53" s="191">
        <f t="shared" si="13"/>
        <v>0.52804498962307544</v>
      </c>
      <c r="D53" s="191">
        <f t="shared" si="13"/>
        <v>0.12225005190579885</v>
      </c>
      <c r="E53" s="191">
        <f t="shared" si="13"/>
        <v>3.9473369737304136E-2</v>
      </c>
      <c r="F53" s="191">
        <f t="shared" si="13"/>
        <v>5.198194973267517E-2</v>
      </c>
      <c r="G53" s="191">
        <f t="shared" si="13"/>
        <v>9.8401233928324186E-2</v>
      </c>
      <c r="H53" s="191">
        <f t="shared" si="13"/>
        <v>4.7402321054907701E-2</v>
      </c>
      <c r="I53" s="191">
        <f t="shared" si="13"/>
        <v>5.0551096262592715E-2</v>
      </c>
      <c r="J53" s="191">
        <f t="shared" si="13"/>
        <v>6.1894987755321977E-2</v>
      </c>
      <c r="K53" s="191">
        <f t="shared" si="13"/>
        <v>1</v>
      </c>
    </row>
    <row r="54" spans="1:11" x14ac:dyDescent="0.2">
      <c r="A54" s="182" t="s">
        <v>77</v>
      </c>
      <c r="B54" s="214">
        <f t="shared" si="12"/>
        <v>13511</v>
      </c>
      <c r="C54" s="191">
        <f t="shared" si="13"/>
        <v>0.54802319987611325</v>
      </c>
      <c r="D54" s="191">
        <f t="shared" si="13"/>
        <v>8.6234583687142125E-2</v>
      </c>
      <c r="E54" s="191">
        <f t="shared" si="13"/>
        <v>6.4708692692021841E-2</v>
      </c>
      <c r="F54" s="191">
        <f t="shared" si="13"/>
        <v>5.455763902166056E-2</v>
      </c>
      <c r="G54" s="191">
        <f t="shared" si="13"/>
        <v>8.8575458716655842E-2</v>
      </c>
      <c r="H54" s="191">
        <f t="shared" si="13"/>
        <v>4.3600589200026109E-2</v>
      </c>
      <c r="I54" s="191">
        <f t="shared" si="13"/>
        <v>6.1406177109821991E-2</v>
      </c>
      <c r="J54" s="191">
        <f t="shared" si="13"/>
        <v>5.2893659696558258E-2</v>
      </c>
      <c r="K54" s="191">
        <f t="shared" si="13"/>
        <v>1</v>
      </c>
    </row>
    <row r="55" spans="1:11" x14ac:dyDescent="0.2">
      <c r="A55" s="182" t="s">
        <v>78</v>
      </c>
      <c r="B55" s="214">
        <f t="shared" si="12"/>
        <v>12550</v>
      </c>
      <c r="C55" s="191">
        <f t="shared" si="13"/>
        <v>0.52635310822565629</v>
      </c>
      <c r="D55" s="191">
        <f t="shared" si="13"/>
        <v>6.3887471689524328E-2</v>
      </c>
      <c r="E55" s="191">
        <f t="shared" si="13"/>
        <v>7.8100207499134544E-2</v>
      </c>
      <c r="F55" s="191">
        <f t="shared" si="13"/>
        <v>4.2084955226312816E-2</v>
      </c>
      <c r="G55" s="191">
        <f t="shared" si="13"/>
        <v>0.10481769581905376</v>
      </c>
      <c r="H55" s="191">
        <f t="shared" si="13"/>
        <v>4.9422487750784144E-2</v>
      </c>
      <c r="I55" s="191">
        <f t="shared" si="13"/>
        <v>6.8060760095372777E-2</v>
      </c>
      <c r="J55" s="191">
        <f t="shared" si="13"/>
        <v>6.7273313694161341E-2</v>
      </c>
      <c r="K55" s="191">
        <f t="shared" si="13"/>
        <v>1</v>
      </c>
    </row>
    <row r="56" spans="1:11" x14ac:dyDescent="0.2">
      <c r="A56" s="182" t="s">
        <v>79</v>
      </c>
      <c r="B56" s="214">
        <f t="shared" si="12"/>
        <v>4913</v>
      </c>
      <c r="C56" s="191">
        <f t="shared" si="13"/>
        <v>0.5094111335928786</v>
      </c>
      <c r="D56" s="191">
        <f t="shared" si="13"/>
        <v>4.2000322058564223E-2</v>
      </c>
      <c r="E56" s="191">
        <f t="shared" si="13"/>
        <v>9.2300323384838123E-2</v>
      </c>
      <c r="F56" s="191">
        <f t="shared" si="13"/>
        <v>3.9646726193385648E-2</v>
      </c>
      <c r="G56" s="191">
        <f t="shared" si="13"/>
        <v>0.11215035395625199</v>
      </c>
      <c r="H56" s="191">
        <f t="shared" si="13"/>
        <v>7.1904083866794685E-2</v>
      </c>
      <c r="I56" s="191">
        <f t="shared" si="13"/>
        <v>7.61311821035313E-2</v>
      </c>
      <c r="J56" s="191">
        <f t="shared" si="13"/>
        <v>5.6455874843755492E-2</v>
      </c>
      <c r="K56" s="191">
        <f t="shared" si="13"/>
        <v>1</v>
      </c>
    </row>
    <row r="57" spans="1:11" x14ac:dyDescent="0.2">
      <c r="A57" s="182" t="s">
        <v>80</v>
      </c>
      <c r="B57" s="220">
        <f t="shared" si="12"/>
        <v>1676</v>
      </c>
      <c r="C57" s="193">
        <f t="shared" si="13"/>
        <v>0.58373771860879664</v>
      </c>
      <c r="D57" s="193">
        <f t="shared" si="13"/>
        <v>3.161849278377845E-2</v>
      </c>
      <c r="E57" s="193">
        <f t="shared" si="13"/>
        <v>0.11736361859638375</v>
      </c>
      <c r="F57" s="193">
        <f t="shared" si="13"/>
        <v>1.2990929476395156E-2</v>
      </c>
      <c r="G57" s="193">
        <f t="shared" si="13"/>
        <v>0.13186187246394648</v>
      </c>
      <c r="H57" s="193">
        <f t="shared" si="13"/>
        <v>7.0239282341435338E-2</v>
      </c>
      <c r="I57" s="193">
        <f t="shared" si="13"/>
        <v>3.6647161664001261E-2</v>
      </c>
      <c r="J57" s="193">
        <f t="shared" si="13"/>
        <v>1.5540924065262788E-2</v>
      </c>
      <c r="K57" s="193">
        <f t="shared" si="13"/>
        <v>1</v>
      </c>
    </row>
    <row r="58" spans="1:11" x14ac:dyDescent="0.2">
      <c r="A58" s="182" t="s">
        <v>219</v>
      </c>
      <c r="B58" s="214">
        <f>SUM(B52:B57)</f>
        <v>93738</v>
      </c>
      <c r="C58" s="191">
        <f t="shared" si="13"/>
        <v>0.54752443485022839</v>
      </c>
      <c r="D58" s="191">
        <f t="shared" si="13"/>
        <v>0.10489810670587035</v>
      </c>
      <c r="E58" s="191">
        <f t="shared" si="13"/>
        <v>5.3487894561018032E-2</v>
      </c>
      <c r="F58" s="191">
        <f t="shared" si="13"/>
        <v>5.0650762757200124E-2</v>
      </c>
      <c r="G58" s="191">
        <f t="shared" si="13"/>
        <v>9.2622581551413952E-2</v>
      </c>
      <c r="H58" s="191">
        <f t="shared" si="13"/>
        <v>4.7530132497473239E-2</v>
      </c>
      <c r="I58" s="191">
        <f t="shared" si="13"/>
        <v>5.1381839386412789E-2</v>
      </c>
      <c r="J58" s="191">
        <f t="shared" si="13"/>
        <v>5.1904247690383057E-2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21295</v>
      </c>
      <c r="C60" s="191">
        <f t="shared" ref="C60:K65" si="14">C36/$K36</f>
        <v>0.52438273262597268</v>
      </c>
      <c r="D60" s="191">
        <f t="shared" si="14"/>
        <v>9.7697078831059644E-2</v>
      </c>
      <c r="E60" s="191">
        <f t="shared" si="14"/>
        <v>4.0978185243825654E-2</v>
      </c>
      <c r="F60" s="191">
        <f t="shared" si="14"/>
        <v>5.9772096836937808E-2</v>
      </c>
      <c r="G60" s="191">
        <f t="shared" si="14"/>
        <v>9.6967966489715757E-2</v>
      </c>
      <c r="H60" s="191">
        <f t="shared" si="14"/>
        <v>3.9849814329563464E-2</v>
      </c>
      <c r="I60" s="191">
        <f t="shared" si="14"/>
        <v>8.7836078297453782E-2</v>
      </c>
      <c r="J60" s="191">
        <f t="shared" si="14"/>
        <v>5.2516047345471176E-2</v>
      </c>
      <c r="K60" s="191">
        <f t="shared" si="14"/>
        <v>1</v>
      </c>
    </row>
    <row r="61" spans="1:11" x14ac:dyDescent="0.2">
      <c r="A61" s="182" t="s">
        <v>82</v>
      </c>
      <c r="B61" s="214">
        <f>B37</f>
        <v>6285</v>
      </c>
      <c r="C61" s="191">
        <f t="shared" si="14"/>
        <v>0.44473078805488725</v>
      </c>
      <c r="D61" s="191">
        <f t="shared" si="14"/>
        <v>8.7276748808075386E-2</v>
      </c>
      <c r="E61" s="191">
        <f t="shared" si="14"/>
        <v>4.8345479044819901E-2</v>
      </c>
      <c r="F61" s="191">
        <f t="shared" si="14"/>
        <v>6.4506863749048612E-2</v>
      </c>
      <c r="G61" s="191">
        <f t="shared" si="14"/>
        <v>9.8778789623692062E-2</v>
      </c>
      <c r="H61" s="191">
        <f t="shared" si="14"/>
        <v>6.4548570129356442E-2</v>
      </c>
      <c r="I61" s="191">
        <f t="shared" si="14"/>
        <v>0.11410266925502177</v>
      </c>
      <c r="J61" s="191">
        <f t="shared" si="14"/>
        <v>7.7710091335098722E-2</v>
      </c>
      <c r="K61" s="191">
        <f t="shared" si="14"/>
        <v>1</v>
      </c>
    </row>
    <row r="62" spans="1:11" x14ac:dyDescent="0.2">
      <c r="A62" s="182" t="s">
        <v>83</v>
      </c>
      <c r="B62" s="214">
        <f>B38</f>
        <v>4540</v>
      </c>
      <c r="C62" s="191">
        <f t="shared" si="14"/>
        <v>0.43943852911924147</v>
      </c>
      <c r="D62" s="191">
        <f t="shared" si="14"/>
        <v>6.9098472807626043E-2</v>
      </c>
      <c r="E62" s="191">
        <f t="shared" si="14"/>
        <v>6.5491015965799398E-2</v>
      </c>
      <c r="F62" s="191">
        <f t="shared" si="14"/>
        <v>6.8320732447487834E-2</v>
      </c>
      <c r="G62" s="191">
        <f t="shared" si="14"/>
        <v>0.15194173538083458</v>
      </c>
      <c r="H62" s="191">
        <f t="shared" si="14"/>
        <v>7.4398326781796364E-2</v>
      </c>
      <c r="I62" s="191">
        <f t="shared" si="14"/>
        <v>9.9456450285968001E-2</v>
      </c>
      <c r="J62" s="191">
        <f t="shared" si="14"/>
        <v>3.1854737211246292E-2</v>
      </c>
      <c r="K62" s="191">
        <f t="shared" si="14"/>
        <v>1</v>
      </c>
    </row>
    <row r="63" spans="1:11" x14ac:dyDescent="0.2">
      <c r="A63" s="182" t="s">
        <v>84</v>
      </c>
      <c r="B63" s="214">
        <f>B39</f>
        <v>4531</v>
      </c>
      <c r="C63" s="191">
        <f t="shared" si="14"/>
        <v>0.45364640902700332</v>
      </c>
      <c r="D63" s="191">
        <f t="shared" si="14"/>
        <v>5.253963702980069E-2</v>
      </c>
      <c r="E63" s="191">
        <f t="shared" si="14"/>
        <v>7.8756126307251428E-2</v>
      </c>
      <c r="F63" s="191">
        <f t="shared" si="14"/>
        <v>5.4975334656311055E-2</v>
      </c>
      <c r="G63" s="191">
        <f t="shared" si="14"/>
        <v>0.14006228658129402</v>
      </c>
      <c r="H63" s="191">
        <f t="shared" si="14"/>
        <v>7.7489273425335486E-2</v>
      </c>
      <c r="I63" s="191">
        <f t="shared" si="14"/>
        <v>9.4592858495967186E-2</v>
      </c>
      <c r="J63" s="191">
        <f t="shared" si="14"/>
        <v>4.7938074477036706E-2</v>
      </c>
      <c r="K63" s="191">
        <f t="shared" si="14"/>
        <v>1</v>
      </c>
    </row>
    <row r="64" spans="1:11" x14ac:dyDescent="0.2">
      <c r="A64" s="182" t="s">
        <v>85</v>
      </c>
      <c r="B64" s="220">
        <f>B40</f>
        <v>1583</v>
      </c>
      <c r="C64" s="193">
        <f t="shared" si="14"/>
        <v>0.37767331490350403</v>
      </c>
      <c r="D64" s="193">
        <f t="shared" si="14"/>
        <v>4.0653421388209328E-2</v>
      </c>
      <c r="E64" s="193">
        <f t="shared" si="14"/>
        <v>0.11508570380694853</v>
      </c>
      <c r="F64" s="193">
        <f t="shared" si="14"/>
        <v>2.720630030029925E-2</v>
      </c>
      <c r="G64" s="193">
        <f t="shared" si="14"/>
        <v>0.14441359573974502</v>
      </c>
      <c r="H64" s="193">
        <f t="shared" si="14"/>
        <v>8.3346116686410995E-2</v>
      </c>
      <c r="I64" s="193">
        <f t="shared" si="14"/>
        <v>9.7542475645973542E-2</v>
      </c>
      <c r="J64" s="193">
        <f t="shared" si="14"/>
        <v>0.11407907152890953</v>
      </c>
      <c r="K64" s="193">
        <f t="shared" si="14"/>
        <v>1</v>
      </c>
    </row>
    <row r="65" spans="1:11" x14ac:dyDescent="0.2">
      <c r="A65" s="182" t="s">
        <v>220</v>
      </c>
      <c r="B65" s="214">
        <f>SUM(B60:B64)</f>
        <v>38234</v>
      </c>
      <c r="C65" s="191">
        <f t="shared" si="14"/>
        <v>0.47836086689552271</v>
      </c>
      <c r="D65" s="191">
        <f t="shared" si="14"/>
        <v>8.1190416639556409E-2</v>
      </c>
      <c r="E65" s="191">
        <f t="shared" si="14"/>
        <v>5.6842080896580251E-2</v>
      </c>
      <c r="F65" s="191">
        <f t="shared" si="14"/>
        <v>5.8216474718607421E-2</v>
      </c>
      <c r="G65" s="191">
        <f t="shared" si="14"/>
        <v>0.11428720028289442</v>
      </c>
      <c r="H65" s="191">
        <f t="shared" si="14"/>
        <v>5.7229845615796859E-2</v>
      </c>
      <c r="I65" s="191">
        <f t="shared" si="14"/>
        <v>9.5358763443967196E-2</v>
      </c>
      <c r="J65" s="191">
        <f t="shared" si="14"/>
        <v>5.851435150707484E-2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10038</v>
      </c>
      <c r="C67" s="191">
        <f t="shared" ref="C67:K69" si="15">C43/$K43</f>
        <v>0.54318556571150611</v>
      </c>
      <c r="D67" s="191">
        <f t="shared" si="15"/>
        <v>5.1688606537446134E-2</v>
      </c>
      <c r="E67" s="191">
        <f t="shared" si="15"/>
        <v>4.9509659062339881E-2</v>
      </c>
      <c r="F67" s="191">
        <f t="shared" si="15"/>
        <v>5.4044080388417952E-2</v>
      </c>
      <c r="G67" s="191">
        <f t="shared" si="15"/>
        <v>0.10597149306673107</v>
      </c>
      <c r="H67" s="191">
        <f t="shared" si="15"/>
        <v>5.3965163064840456E-2</v>
      </c>
      <c r="I67" s="191">
        <f t="shared" si="15"/>
        <v>7.613012052864393E-2</v>
      </c>
      <c r="J67" s="191">
        <f t="shared" si="15"/>
        <v>6.5505311640074435E-2</v>
      </c>
      <c r="K67" s="191">
        <f t="shared" si="15"/>
        <v>1</v>
      </c>
    </row>
    <row r="68" spans="1:11" x14ac:dyDescent="0.2">
      <c r="A68" s="182" t="s">
        <v>87</v>
      </c>
      <c r="B68" s="220">
        <f>B44</f>
        <v>7400</v>
      </c>
      <c r="C68" s="193">
        <f t="shared" si="15"/>
        <v>0.49082954129393752</v>
      </c>
      <c r="D68" s="193">
        <f t="shared" si="15"/>
        <v>4.373340842021705E-2</v>
      </c>
      <c r="E68" s="193">
        <f t="shared" si="15"/>
        <v>9.4424125774931686E-2</v>
      </c>
      <c r="F68" s="193">
        <f t="shared" si="15"/>
        <v>3.3026734615197187E-2</v>
      </c>
      <c r="G68" s="193">
        <f t="shared" si="15"/>
        <v>0.12271038702835067</v>
      </c>
      <c r="H68" s="193">
        <f t="shared" si="15"/>
        <v>7.7298047253312102E-2</v>
      </c>
      <c r="I68" s="193">
        <f t="shared" si="15"/>
        <v>8.8509996602289129E-2</v>
      </c>
      <c r="J68" s="193">
        <f t="shared" si="15"/>
        <v>4.9467759011764638E-2</v>
      </c>
      <c r="K68" s="193">
        <f t="shared" si="15"/>
        <v>1</v>
      </c>
    </row>
    <row r="69" spans="1:11" x14ac:dyDescent="0.2">
      <c r="A69" s="182" t="s">
        <v>221</v>
      </c>
      <c r="B69" s="214">
        <f>SUM(B67:B68)</f>
        <v>17438</v>
      </c>
      <c r="C69" s="191">
        <f t="shared" si="15"/>
        <v>0.51616486519282656</v>
      </c>
      <c r="D69" s="191">
        <f t="shared" si="15"/>
        <v>4.758296581541531E-2</v>
      </c>
      <c r="E69" s="191">
        <f t="shared" si="15"/>
        <v>7.2689806285089947E-2</v>
      </c>
      <c r="F69" s="191">
        <f t="shared" si="15"/>
        <v>4.3197126056928166E-2</v>
      </c>
      <c r="G69" s="191">
        <f t="shared" si="15"/>
        <v>0.11461035833166285</v>
      </c>
      <c r="H69" s="191">
        <f t="shared" si="15"/>
        <v>6.6007155995116515E-2</v>
      </c>
      <c r="I69" s="191">
        <f t="shared" si="15"/>
        <v>8.2519316949984156E-2</v>
      </c>
      <c r="J69" s="191">
        <f t="shared" si="15"/>
        <v>5.7228405372976243E-2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149410</v>
      </c>
      <c r="C71" s="195">
        <f t="shared" ref="C71:K71" si="16">C47/$K47</f>
        <v>0.52397049228627934</v>
      </c>
      <c r="D71" s="195">
        <f t="shared" si="16"/>
        <v>9.0656061321776907E-2</v>
      </c>
      <c r="E71" s="195">
        <f t="shared" si="16"/>
        <v>5.6972284129788768E-2</v>
      </c>
      <c r="F71" s="195">
        <f t="shared" si="16"/>
        <v>5.1785556832126746E-2</v>
      </c>
      <c r="G71" s="195">
        <f t="shared" si="16"/>
        <v>0.101611954435588</v>
      </c>
      <c r="H71" s="195">
        <f t="shared" si="16"/>
        <v>5.2698379198405317E-2</v>
      </c>
      <c r="I71" s="195">
        <f t="shared" si="16"/>
        <v>6.7841673960893134E-2</v>
      </c>
      <c r="J71" s="195">
        <f t="shared" si="16"/>
        <v>5.4463597835141937E-2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X75"/>
  <sheetViews>
    <sheetView topLeftCell="A19" zoomScaleNormal="100" workbookViewId="0">
      <selection activeCell="K3" sqref="K3"/>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1250</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
        <v>1241</v>
      </c>
      <c r="C3" s="12" t="s">
        <v>1251</v>
      </c>
      <c r="D3" s="12" t="s">
        <v>1252</v>
      </c>
      <c r="E3" s="12" t="s">
        <v>1253</v>
      </c>
      <c r="F3" s="12" t="s">
        <v>1254</v>
      </c>
      <c r="G3" s="12" t="s">
        <v>1255</v>
      </c>
      <c r="H3" s="12" t="s">
        <v>1256</v>
      </c>
      <c r="I3" s="12" t="s">
        <v>1248</v>
      </c>
      <c r="J3" s="12" t="s">
        <v>1257</v>
      </c>
      <c r="K3" s="12" t="s">
        <v>1258</v>
      </c>
    </row>
    <row r="4" spans="1:24" ht="15" x14ac:dyDescent="0.25">
      <c r="A4" s="33" t="s">
        <v>102</v>
      </c>
      <c r="B4" s="214">
        <v>39709</v>
      </c>
      <c r="C4" s="214">
        <v>213285173.67999998</v>
      </c>
      <c r="D4" s="214">
        <v>49769351.219999999</v>
      </c>
      <c r="E4" s="214">
        <v>12070303.34</v>
      </c>
      <c r="F4" s="214">
        <v>20784534.170000002</v>
      </c>
      <c r="G4" s="214">
        <v>29282947.609999999</v>
      </c>
      <c r="H4" s="214">
        <v>17046812.470000003</v>
      </c>
      <c r="I4" s="214">
        <v>13121636.24</v>
      </c>
      <c r="J4" s="214">
        <v>9916258.290000001</v>
      </c>
      <c r="K4" s="214">
        <f t="shared" ref="K4:K9" si="0">SUM(C4:J4)</f>
        <v>365277017.02000004</v>
      </c>
      <c r="N4" s="214"/>
      <c r="O4" s="294"/>
      <c r="P4" s="293"/>
      <c r="Q4" s="293"/>
      <c r="R4" s="293"/>
      <c r="S4" s="293"/>
      <c r="T4" s="293"/>
      <c r="U4" s="293"/>
      <c r="V4" s="293"/>
      <c r="W4" s="293"/>
      <c r="X4" s="293"/>
    </row>
    <row r="5" spans="1:24" ht="15" x14ac:dyDescent="0.25">
      <c r="A5" s="33" t="s">
        <v>76</v>
      </c>
      <c r="B5" s="214">
        <v>20553</v>
      </c>
      <c r="C5" s="214">
        <v>112372251.75999999</v>
      </c>
      <c r="D5" s="214">
        <v>25219161.880000003</v>
      </c>
      <c r="E5" s="214">
        <v>8308598.0900000008</v>
      </c>
      <c r="F5" s="214">
        <v>11624917.76</v>
      </c>
      <c r="G5" s="214">
        <v>19648749.730000004</v>
      </c>
      <c r="H5" s="214">
        <v>9542234.4399999995</v>
      </c>
      <c r="I5" s="214">
        <v>10031996.84</v>
      </c>
      <c r="J5" s="214">
        <v>12446981.58</v>
      </c>
      <c r="K5" s="214">
        <f t="shared" si="0"/>
        <v>209194892.07999998</v>
      </c>
      <c r="N5" s="214"/>
      <c r="O5" s="294"/>
      <c r="P5" s="293"/>
      <c r="Q5" s="293"/>
      <c r="R5" s="293"/>
      <c r="S5" s="293"/>
      <c r="T5" s="293"/>
      <c r="U5" s="293"/>
      <c r="V5" s="293"/>
      <c r="W5" s="293"/>
      <c r="X5" s="293"/>
    </row>
    <row r="6" spans="1:24" ht="15" x14ac:dyDescent="0.25">
      <c r="A6" s="33" t="s">
        <v>77</v>
      </c>
      <c r="B6" s="214">
        <v>12931</v>
      </c>
      <c r="C6" s="214">
        <v>76555850.329999998</v>
      </c>
      <c r="D6" s="214">
        <v>13433848.450000003</v>
      </c>
      <c r="E6" s="214">
        <v>8290986.5600000015</v>
      </c>
      <c r="F6" s="214">
        <v>7393592.71</v>
      </c>
      <c r="G6" s="214">
        <v>12408163.15</v>
      </c>
      <c r="H6" s="214">
        <v>6780526.4900000002</v>
      </c>
      <c r="I6" s="214">
        <v>8539799.9000000004</v>
      </c>
      <c r="J6" s="214">
        <v>7073174.5800000001</v>
      </c>
      <c r="K6" s="214">
        <f t="shared" si="0"/>
        <v>140475942.17000002</v>
      </c>
      <c r="N6" s="214"/>
      <c r="O6" s="294"/>
      <c r="P6" s="293"/>
      <c r="Q6" s="293"/>
      <c r="R6" s="293"/>
      <c r="S6" s="293"/>
      <c r="T6" s="293"/>
      <c r="U6" s="293"/>
      <c r="V6" s="293"/>
      <c r="W6" s="293"/>
      <c r="X6" s="293"/>
    </row>
    <row r="7" spans="1:24" ht="15" x14ac:dyDescent="0.25">
      <c r="A7" s="33" t="s">
        <v>78</v>
      </c>
      <c r="B7" s="214">
        <v>12657</v>
      </c>
      <c r="C7" s="214">
        <v>74075157.660000011</v>
      </c>
      <c r="D7" s="214">
        <v>8052492.5800000001</v>
      </c>
      <c r="E7" s="214">
        <v>10649407.259999998</v>
      </c>
      <c r="F7" s="214">
        <v>6005721.2799999993</v>
      </c>
      <c r="G7" s="214">
        <v>14277209.250000004</v>
      </c>
      <c r="H7" s="214">
        <v>6855078.169999999</v>
      </c>
      <c r="I7" s="214">
        <v>8944374.5900000017</v>
      </c>
      <c r="J7" s="214">
        <v>7116064.2400000002</v>
      </c>
      <c r="K7" s="214">
        <f t="shared" si="0"/>
        <v>135975505.03</v>
      </c>
      <c r="N7" s="214"/>
      <c r="O7" s="294"/>
      <c r="P7" s="293"/>
      <c r="Q7" s="293"/>
      <c r="R7" s="293"/>
      <c r="S7" s="293"/>
      <c r="T7" s="293"/>
      <c r="U7" s="293"/>
      <c r="V7" s="293"/>
      <c r="W7" s="293"/>
      <c r="X7" s="293"/>
    </row>
    <row r="8" spans="1:24" ht="15" x14ac:dyDescent="0.25">
      <c r="A8" s="33" t="s">
        <v>79</v>
      </c>
      <c r="B8" s="214">
        <v>5090</v>
      </c>
      <c r="C8" s="214">
        <v>33621520.750000007</v>
      </c>
      <c r="D8" s="214">
        <v>2796903.1899999995</v>
      </c>
      <c r="E8" s="214">
        <v>5561219.629999999</v>
      </c>
      <c r="F8" s="214">
        <v>2572413.2599999993</v>
      </c>
      <c r="G8" s="214">
        <v>6921869.7500000019</v>
      </c>
      <c r="H8" s="214">
        <v>4783441.0100000007</v>
      </c>
      <c r="I8" s="214">
        <v>4704220.0100000007</v>
      </c>
      <c r="J8" s="214">
        <v>2936050.73</v>
      </c>
      <c r="K8" s="214">
        <f t="shared" si="0"/>
        <v>63897638.329999998</v>
      </c>
      <c r="N8" s="214"/>
      <c r="O8" s="294"/>
      <c r="P8" s="293"/>
      <c r="Q8" s="293"/>
      <c r="R8" s="293"/>
      <c r="S8" s="293"/>
      <c r="T8" s="293"/>
      <c r="U8" s="293"/>
      <c r="V8" s="293"/>
      <c r="W8" s="293"/>
      <c r="X8" s="293"/>
    </row>
    <row r="9" spans="1:24" ht="15" x14ac:dyDescent="0.25">
      <c r="A9" s="33" t="s">
        <v>80</v>
      </c>
      <c r="B9" s="220">
        <v>1747</v>
      </c>
      <c r="C9" s="220">
        <v>14465562.609999994</v>
      </c>
      <c r="D9" s="220">
        <v>641403.79999999993</v>
      </c>
      <c r="E9" s="220">
        <v>2712202.1400000011</v>
      </c>
      <c r="F9" s="220">
        <v>343290.25</v>
      </c>
      <c r="G9" s="220">
        <v>2939367.1199999996</v>
      </c>
      <c r="H9" s="220">
        <v>1459804.6700000004</v>
      </c>
      <c r="I9" s="220">
        <v>860299.89000000013</v>
      </c>
      <c r="J9" s="220">
        <v>181400.44</v>
      </c>
      <c r="K9" s="220">
        <f t="shared" si="0"/>
        <v>23603330.920000002</v>
      </c>
      <c r="N9" s="214"/>
      <c r="O9" s="294"/>
      <c r="P9" s="293"/>
      <c r="Q9" s="293"/>
      <c r="R9" s="293"/>
      <c r="S9" s="293"/>
      <c r="T9" s="293"/>
      <c r="U9" s="293"/>
      <c r="V9" s="293"/>
      <c r="W9" s="293"/>
      <c r="X9" s="293"/>
    </row>
    <row r="10" spans="1:24" x14ac:dyDescent="0.2">
      <c r="A10" s="182" t="s">
        <v>103</v>
      </c>
      <c r="B10" s="214">
        <f t="shared" ref="B10:K10" si="1">SUM(B4:B9)</f>
        <v>92687</v>
      </c>
      <c r="C10" s="214">
        <f t="shared" si="1"/>
        <v>524375516.78999996</v>
      </c>
      <c r="D10" s="214">
        <f t="shared" si="1"/>
        <v>99913161.11999999</v>
      </c>
      <c r="E10" s="214">
        <f t="shared" si="1"/>
        <v>47592717.019999996</v>
      </c>
      <c r="F10" s="214">
        <f t="shared" si="1"/>
        <v>48724469.43</v>
      </c>
      <c r="G10" s="214">
        <f t="shared" si="1"/>
        <v>85478306.610000014</v>
      </c>
      <c r="H10" s="214">
        <f t="shared" si="1"/>
        <v>46467897.250000007</v>
      </c>
      <c r="I10" s="214">
        <f t="shared" si="1"/>
        <v>46202327.469999999</v>
      </c>
      <c r="J10" s="214">
        <f t="shared" si="1"/>
        <v>39669929.859999999</v>
      </c>
      <c r="K10" s="214">
        <f t="shared" si="1"/>
        <v>938424325.54999995</v>
      </c>
      <c r="N10" s="214"/>
    </row>
    <row r="11" spans="1:24" x14ac:dyDescent="0.2">
      <c r="A11" s="33"/>
      <c r="B11" s="214"/>
      <c r="C11" s="214"/>
      <c r="D11" s="214"/>
      <c r="E11" s="214"/>
      <c r="F11" s="214"/>
      <c r="G11" s="214"/>
      <c r="H11" s="214"/>
      <c r="I11" s="214"/>
      <c r="J11" s="214"/>
      <c r="K11" s="182"/>
      <c r="N11" s="214"/>
    </row>
    <row r="12" spans="1:24" ht="15" x14ac:dyDescent="0.25">
      <c r="A12" s="33" t="s">
        <v>81</v>
      </c>
      <c r="B12" s="214">
        <v>21393</v>
      </c>
      <c r="C12" s="214">
        <v>116083948.35000001</v>
      </c>
      <c r="D12" s="214">
        <v>21603252.359999999</v>
      </c>
      <c r="E12" s="214">
        <v>8295676.4800000014</v>
      </c>
      <c r="F12" s="214">
        <v>12826720.949999999</v>
      </c>
      <c r="G12" s="214">
        <v>22318402.270000003</v>
      </c>
      <c r="H12" s="214">
        <v>8773432.5399999991</v>
      </c>
      <c r="I12" s="214">
        <v>19242431.299999997</v>
      </c>
      <c r="J12" s="214">
        <v>14575216.109999999</v>
      </c>
      <c r="K12" s="214">
        <f>SUM(C12:J12)</f>
        <v>223719080.36000001</v>
      </c>
      <c r="N12" s="214"/>
      <c r="O12" s="294"/>
      <c r="P12" s="293"/>
      <c r="Q12" s="293"/>
      <c r="R12" s="293"/>
      <c r="S12" s="293"/>
      <c r="T12" s="293"/>
      <c r="U12" s="293"/>
      <c r="V12" s="293"/>
      <c r="W12" s="293"/>
      <c r="X12" s="293"/>
    </row>
    <row r="13" spans="1:24" ht="15" x14ac:dyDescent="0.25">
      <c r="A13" s="33" t="s">
        <v>82</v>
      </c>
      <c r="B13" s="214">
        <v>5870</v>
      </c>
      <c r="C13" s="214">
        <v>29782682.5</v>
      </c>
      <c r="D13" s="214">
        <v>6056802.25</v>
      </c>
      <c r="E13" s="214">
        <v>3026725.9499999997</v>
      </c>
      <c r="F13" s="214">
        <v>4466556.01</v>
      </c>
      <c r="G13" s="214">
        <v>7051609.8700000001</v>
      </c>
      <c r="H13" s="214">
        <v>4480934.71</v>
      </c>
      <c r="I13" s="214">
        <v>7356436.1300000008</v>
      </c>
      <c r="J13" s="214">
        <v>5350800.5600000005</v>
      </c>
      <c r="K13" s="214">
        <f>SUM(C13:J13)</f>
        <v>67572547.980000004</v>
      </c>
      <c r="N13" s="214"/>
      <c r="O13" s="294"/>
      <c r="P13" s="293"/>
      <c r="Q13" s="293"/>
      <c r="R13" s="293"/>
      <c r="S13" s="293"/>
      <c r="T13" s="293"/>
      <c r="U13" s="293"/>
      <c r="V13" s="293"/>
      <c r="W13" s="293"/>
      <c r="X13" s="293"/>
    </row>
    <row r="14" spans="1:24" ht="15" x14ac:dyDescent="0.25">
      <c r="A14" s="33" t="s">
        <v>83</v>
      </c>
      <c r="B14" s="214">
        <v>4769</v>
      </c>
      <c r="C14" s="214">
        <v>26882083.160000004</v>
      </c>
      <c r="D14" s="214">
        <v>4115174.17</v>
      </c>
      <c r="E14" s="214">
        <v>3643240.8399999994</v>
      </c>
      <c r="F14" s="214">
        <v>3958964.34</v>
      </c>
      <c r="G14" s="214">
        <v>8162016.8299999982</v>
      </c>
      <c r="H14" s="214">
        <v>4735230.41</v>
      </c>
      <c r="I14" s="214">
        <v>6252848.4299999997</v>
      </c>
      <c r="J14" s="214">
        <v>4107960.25</v>
      </c>
      <c r="K14" s="214">
        <f>SUM(C14:J14)</f>
        <v>61857518.43</v>
      </c>
      <c r="N14" s="214"/>
      <c r="O14" s="294"/>
      <c r="P14" s="293"/>
      <c r="Q14" s="293"/>
      <c r="R14" s="293"/>
      <c r="S14" s="293"/>
      <c r="T14" s="293"/>
      <c r="U14" s="293"/>
      <c r="V14" s="293"/>
      <c r="W14" s="293"/>
      <c r="X14" s="293"/>
    </row>
    <row r="15" spans="1:24" ht="15" x14ac:dyDescent="0.25">
      <c r="A15" s="33" t="s">
        <v>84</v>
      </c>
      <c r="B15" s="214">
        <v>5040</v>
      </c>
      <c r="C15" s="214">
        <v>33678375.069999993</v>
      </c>
      <c r="D15" s="214">
        <v>4114643.4699999993</v>
      </c>
      <c r="E15" s="214">
        <v>5824369.3999999985</v>
      </c>
      <c r="F15" s="214">
        <v>4145648.92</v>
      </c>
      <c r="G15" s="214">
        <v>10921824</v>
      </c>
      <c r="H15" s="214">
        <v>6674234.120000002</v>
      </c>
      <c r="I15" s="214">
        <v>7127645.7199999997</v>
      </c>
      <c r="J15" s="214">
        <v>2801503.2100000004</v>
      </c>
      <c r="K15" s="214">
        <f>SUM(C15:J15)</f>
        <v>75288243.909999996</v>
      </c>
      <c r="N15" s="214"/>
      <c r="O15" s="294"/>
      <c r="P15" s="293"/>
      <c r="Q15" s="293"/>
      <c r="R15" s="293"/>
      <c r="S15" s="293"/>
      <c r="T15" s="293"/>
      <c r="U15" s="293"/>
      <c r="V15" s="293"/>
      <c r="W15" s="293"/>
      <c r="X15" s="293"/>
    </row>
    <row r="16" spans="1:24" ht="15" x14ac:dyDescent="0.25">
      <c r="A16" s="33" t="s">
        <v>85</v>
      </c>
      <c r="B16" s="220">
        <v>1381</v>
      </c>
      <c r="C16" s="220">
        <v>13410236.919999998</v>
      </c>
      <c r="D16" s="220">
        <v>1383716.9800000002</v>
      </c>
      <c r="E16" s="220">
        <v>3811999.2699999996</v>
      </c>
      <c r="F16" s="220">
        <v>875891.06</v>
      </c>
      <c r="G16" s="220">
        <v>4682387.8299999991</v>
      </c>
      <c r="H16" s="220">
        <v>2861009.51</v>
      </c>
      <c r="I16" s="220">
        <v>2904727.28</v>
      </c>
      <c r="J16" s="220">
        <v>2846683.04</v>
      </c>
      <c r="K16" s="220">
        <f>SUM(C16:J16)</f>
        <v>32776651.889999993</v>
      </c>
      <c r="N16" s="214"/>
      <c r="O16" s="294"/>
      <c r="P16" s="293"/>
      <c r="Q16" s="293"/>
      <c r="R16" s="293"/>
      <c r="S16" s="293"/>
      <c r="T16" s="293"/>
      <c r="U16" s="293"/>
      <c r="V16" s="293"/>
      <c r="W16" s="293"/>
      <c r="X16" s="293"/>
    </row>
    <row r="17" spans="1:24" x14ac:dyDescent="0.2">
      <c r="A17" s="182" t="s">
        <v>104</v>
      </c>
      <c r="B17" s="214">
        <f t="shared" ref="B17:K17" si="2">SUM(B12:B16)</f>
        <v>38453</v>
      </c>
      <c r="C17" s="214">
        <f t="shared" si="2"/>
        <v>219837326</v>
      </c>
      <c r="D17" s="214">
        <f t="shared" si="2"/>
        <v>37273589.229999997</v>
      </c>
      <c r="E17" s="214">
        <f t="shared" si="2"/>
        <v>24602011.940000001</v>
      </c>
      <c r="F17" s="214">
        <f t="shared" si="2"/>
        <v>26273781.279999997</v>
      </c>
      <c r="G17" s="214">
        <f t="shared" si="2"/>
        <v>53136240.799999997</v>
      </c>
      <c r="H17" s="214">
        <f t="shared" si="2"/>
        <v>27524841.289999999</v>
      </c>
      <c r="I17" s="214">
        <f t="shared" si="2"/>
        <v>42884088.859999999</v>
      </c>
      <c r="J17" s="214">
        <f t="shared" si="2"/>
        <v>29682163.170000002</v>
      </c>
      <c r="K17" s="214">
        <f t="shared" si="2"/>
        <v>461214042.57000005</v>
      </c>
    </row>
    <row r="18" spans="1:24" x14ac:dyDescent="0.2">
      <c r="A18" s="33"/>
      <c r="B18" s="214"/>
      <c r="C18" s="214"/>
      <c r="D18" s="214"/>
      <c r="E18" s="214"/>
      <c r="F18" s="214"/>
      <c r="G18" s="214"/>
      <c r="H18" s="214"/>
      <c r="I18" s="214"/>
      <c r="J18" s="214"/>
      <c r="K18" s="182"/>
    </row>
    <row r="19" spans="1:24" ht="15" x14ac:dyDescent="0.25">
      <c r="A19" s="33" t="s">
        <v>86</v>
      </c>
      <c r="B19" s="214">
        <v>10095</v>
      </c>
      <c r="C19" s="214">
        <v>56137692.390000015</v>
      </c>
      <c r="D19" s="214">
        <v>5404027.54</v>
      </c>
      <c r="E19" s="214">
        <v>5175582.5199999996</v>
      </c>
      <c r="F19" s="214">
        <v>5687227.8100000005</v>
      </c>
      <c r="G19" s="214">
        <v>11084343.150000002</v>
      </c>
      <c r="H19" s="214">
        <v>6188986.0099999988</v>
      </c>
      <c r="I19" s="214">
        <v>7993963.6300000008</v>
      </c>
      <c r="J19" s="214">
        <v>6162566.3700000001</v>
      </c>
      <c r="K19" s="214">
        <f>SUM(C19:J19)</f>
        <v>103834389.42000003</v>
      </c>
      <c r="O19" s="294"/>
      <c r="P19" s="293"/>
      <c r="Q19" s="293"/>
      <c r="R19" s="293"/>
      <c r="S19" s="293"/>
      <c r="T19" s="293"/>
      <c r="U19" s="293"/>
      <c r="V19" s="293"/>
      <c r="W19" s="293"/>
      <c r="X19" s="293"/>
    </row>
    <row r="20" spans="1:24" ht="15" x14ac:dyDescent="0.25">
      <c r="A20" s="33" t="s">
        <v>87</v>
      </c>
      <c r="B20" s="233">
        <v>7332</v>
      </c>
      <c r="C20" s="234">
        <v>54313781.850000001</v>
      </c>
      <c r="D20" s="234">
        <v>4676325.620000001</v>
      </c>
      <c r="E20" s="234">
        <v>10217905.65</v>
      </c>
      <c r="F20" s="234">
        <v>3689071.8599999994</v>
      </c>
      <c r="G20" s="234">
        <v>13657025.41</v>
      </c>
      <c r="H20" s="234">
        <v>8701063.6100000013</v>
      </c>
      <c r="I20" s="234">
        <v>9599119.160000002</v>
      </c>
      <c r="J20" s="220">
        <v>7206008.3700000001</v>
      </c>
      <c r="K20" s="220">
        <f>SUM(C20:J20)</f>
        <v>112060301.53</v>
      </c>
      <c r="O20" s="294"/>
      <c r="P20" s="293"/>
      <c r="Q20" s="293"/>
      <c r="R20" s="293"/>
      <c r="S20" s="293"/>
      <c r="T20" s="293"/>
      <c r="U20" s="293"/>
      <c r="V20" s="293"/>
      <c r="W20" s="293"/>
      <c r="X20" s="293"/>
    </row>
    <row r="21" spans="1:24" x14ac:dyDescent="0.2">
      <c r="A21" s="182" t="s">
        <v>105</v>
      </c>
      <c r="B21" s="214">
        <f t="shared" ref="B21:K21" si="3">SUM(B19:B20)</f>
        <v>17427</v>
      </c>
      <c r="C21" s="214">
        <f t="shared" si="3"/>
        <v>110451474.24000001</v>
      </c>
      <c r="D21" s="214">
        <f t="shared" si="3"/>
        <v>10080353.16</v>
      </c>
      <c r="E21" s="214">
        <f t="shared" si="3"/>
        <v>15393488.17</v>
      </c>
      <c r="F21" s="214">
        <f t="shared" si="3"/>
        <v>9376299.6699999999</v>
      </c>
      <c r="G21" s="214">
        <f t="shared" si="3"/>
        <v>24741368.560000002</v>
      </c>
      <c r="H21" s="214">
        <f t="shared" si="3"/>
        <v>14890049.620000001</v>
      </c>
      <c r="I21" s="214">
        <f t="shared" si="3"/>
        <v>17593082.790000003</v>
      </c>
      <c r="J21" s="214">
        <f t="shared" si="3"/>
        <v>13368574.74</v>
      </c>
      <c r="K21" s="214">
        <f t="shared" si="3"/>
        <v>215894690.95000005</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148567</v>
      </c>
      <c r="C23" s="222">
        <f t="shared" si="4"/>
        <v>854664317.02999997</v>
      </c>
      <c r="D23" s="222">
        <f t="shared" si="4"/>
        <v>147267103.50999999</v>
      </c>
      <c r="E23" s="222">
        <f t="shared" si="4"/>
        <v>87588217.129999995</v>
      </c>
      <c r="F23" s="222">
        <f t="shared" si="4"/>
        <v>84374550.379999995</v>
      </c>
      <c r="G23" s="222">
        <f t="shared" si="4"/>
        <v>163355915.97000003</v>
      </c>
      <c r="H23" s="222">
        <f t="shared" si="4"/>
        <v>88882788.159999996</v>
      </c>
      <c r="I23" s="222">
        <f t="shared" si="4"/>
        <v>106679499.12</v>
      </c>
      <c r="J23" s="222">
        <f t="shared" si="4"/>
        <v>82720667.770000011</v>
      </c>
      <c r="K23" s="222">
        <f t="shared" si="4"/>
        <v>1615533059.0700002</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FY2014</v>
      </c>
      <c r="C26" s="22"/>
      <c r="D26" s="22"/>
      <c r="E26" s="22"/>
      <c r="F26" s="22"/>
      <c r="G26" s="22"/>
      <c r="H26" s="22"/>
      <c r="I26" s="22"/>
      <c r="J26" s="22"/>
      <c r="K26" s="22"/>
    </row>
    <row r="27" spans="1:24" ht="39" customHeight="1" x14ac:dyDescent="0.2">
      <c r="A27" s="21" t="s">
        <v>245</v>
      </c>
      <c r="B27" s="21" t="str">
        <f>B3</f>
        <v>ANB14</v>
      </c>
      <c r="C27" s="21" t="str">
        <f t="shared" ref="C27:K27" si="5">C3</f>
        <v>14/Pupil Instruction</v>
      </c>
      <c r="D27" s="21" t="str">
        <f t="shared" si="5"/>
        <v>14/Pupil Student Services</v>
      </c>
      <c r="E27" s="21" t="str">
        <f t="shared" si="5"/>
        <v>14/Pupil General Admin</v>
      </c>
      <c r="F27" s="21" t="str">
        <f t="shared" si="5"/>
        <v>14/Pupil Bldg Admin</v>
      </c>
      <c r="G27" s="21" t="str">
        <f t="shared" si="5"/>
        <v>14/Pupil Bldg OM</v>
      </c>
      <c r="H27" s="21" t="str">
        <f t="shared" si="5"/>
        <v>14/Pupil Transport</v>
      </c>
      <c r="I27" s="21" t="str">
        <f t="shared" si="5"/>
        <v>14/Pupil Other</v>
      </c>
      <c r="J27" s="21" t="str">
        <f t="shared" si="5"/>
        <v>14/Pupil Bonds/ Facilities</v>
      </c>
      <c r="K27" s="21" t="str">
        <f t="shared" si="5"/>
        <v>14/Pupil Total</v>
      </c>
    </row>
    <row r="28" spans="1:24" x14ac:dyDescent="0.2">
      <c r="A28" s="182" t="s">
        <v>102</v>
      </c>
      <c r="B28" s="214">
        <f t="shared" ref="B28:B33" si="6">B4</f>
        <v>39709</v>
      </c>
      <c r="C28" s="182">
        <f t="shared" ref="C28:K34" si="7">C4/$B28</f>
        <v>5371.2048573371267</v>
      </c>
      <c r="D28" s="182">
        <f t="shared" si="7"/>
        <v>1253.35191568662</v>
      </c>
      <c r="E28" s="182">
        <f t="shared" si="7"/>
        <v>303.96895766702761</v>
      </c>
      <c r="F28" s="182">
        <f t="shared" si="7"/>
        <v>523.42124379863515</v>
      </c>
      <c r="G28" s="182">
        <f t="shared" si="7"/>
        <v>737.43855574303052</v>
      </c>
      <c r="H28" s="182">
        <f t="shared" si="7"/>
        <v>429.2934213906168</v>
      </c>
      <c r="I28" s="182">
        <f t="shared" si="7"/>
        <v>330.44489259361859</v>
      </c>
      <c r="J28" s="182">
        <f t="shared" si="7"/>
        <v>249.72319348258583</v>
      </c>
      <c r="K28" s="182">
        <f t="shared" si="7"/>
        <v>9198.8470376992627</v>
      </c>
    </row>
    <row r="29" spans="1:24" ht="15" x14ac:dyDescent="0.25">
      <c r="A29" s="182" t="s">
        <v>76</v>
      </c>
      <c r="B29" s="214">
        <f t="shared" si="6"/>
        <v>20553</v>
      </c>
      <c r="C29" s="182">
        <f t="shared" si="7"/>
        <v>5467.4379292560689</v>
      </c>
      <c r="D29" s="182">
        <f t="shared" si="7"/>
        <v>1227.0306952756289</v>
      </c>
      <c r="E29" s="182">
        <f t="shared" si="7"/>
        <v>404.25232764073377</v>
      </c>
      <c r="F29" s="182">
        <f t="shared" si="7"/>
        <v>565.60685836617529</v>
      </c>
      <c r="G29" s="182">
        <f t="shared" si="7"/>
        <v>956.00397654843596</v>
      </c>
      <c r="H29" s="182">
        <f t="shared" si="7"/>
        <v>464.27453121198852</v>
      </c>
      <c r="I29" s="182">
        <f t="shared" si="7"/>
        <v>488.10377268525275</v>
      </c>
      <c r="J29" s="182">
        <f t="shared" si="7"/>
        <v>605.60412494526349</v>
      </c>
      <c r="K29" s="182">
        <f t="shared" si="7"/>
        <v>10178.314215929548</v>
      </c>
      <c r="O29" s="247"/>
      <c r="P29" s="273"/>
      <c r="Q29" s="273"/>
      <c r="R29" s="273"/>
      <c r="S29" s="273"/>
      <c r="T29" s="273"/>
      <c r="U29" s="273"/>
    </row>
    <row r="30" spans="1:24" ht="15" x14ac:dyDescent="0.25">
      <c r="A30" s="182" t="s">
        <v>77</v>
      </c>
      <c r="B30" s="214">
        <f t="shared" si="6"/>
        <v>12931</v>
      </c>
      <c r="C30" s="182">
        <f t="shared" si="7"/>
        <v>5920.3348797463459</v>
      </c>
      <c r="D30" s="182">
        <f t="shared" si="7"/>
        <v>1038.8870504988015</v>
      </c>
      <c r="E30" s="182">
        <f t="shared" si="7"/>
        <v>641.17133709689904</v>
      </c>
      <c r="F30" s="182">
        <f t="shared" si="7"/>
        <v>571.77269430051808</v>
      </c>
      <c r="G30" s="182">
        <f t="shared" si="7"/>
        <v>959.56717577913548</v>
      </c>
      <c r="H30" s="182">
        <f t="shared" si="7"/>
        <v>524.36211352563612</v>
      </c>
      <c r="I30" s="182">
        <f t="shared" si="7"/>
        <v>660.41295336787573</v>
      </c>
      <c r="J30" s="182">
        <f t="shared" si="7"/>
        <v>546.99362616966982</v>
      </c>
      <c r="K30" s="182">
        <f t="shared" si="7"/>
        <v>10863.501830484882</v>
      </c>
      <c r="O30" s="247"/>
      <c r="P30" s="273"/>
      <c r="Q30" s="273"/>
      <c r="R30" s="273"/>
      <c r="S30" s="273"/>
      <c r="T30" s="273"/>
      <c r="U30" s="273"/>
    </row>
    <row r="31" spans="1:24" ht="15" x14ac:dyDescent="0.25">
      <c r="A31" s="182" t="s">
        <v>78</v>
      </c>
      <c r="B31" s="214">
        <f t="shared" si="6"/>
        <v>12657</v>
      </c>
      <c r="C31" s="182">
        <f t="shared" si="7"/>
        <v>5852.5051481393702</v>
      </c>
      <c r="D31" s="182">
        <f t="shared" si="7"/>
        <v>636.20862605672755</v>
      </c>
      <c r="E31" s="182">
        <f t="shared" si="7"/>
        <v>841.38478786442272</v>
      </c>
      <c r="F31" s="182">
        <f t="shared" si="7"/>
        <v>474.49800742672033</v>
      </c>
      <c r="G31" s="182">
        <f t="shared" si="7"/>
        <v>1128.0089476179191</v>
      </c>
      <c r="H31" s="182">
        <f t="shared" si="7"/>
        <v>541.60371098996598</v>
      </c>
      <c r="I31" s="182">
        <f t="shared" si="7"/>
        <v>706.67414000158033</v>
      </c>
      <c r="J31" s="182">
        <f t="shared" si="7"/>
        <v>562.22361065023313</v>
      </c>
      <c r="K31" s="182">
        <f t="shared" si="7"/>
        <v>10743.106978746939</v>
      </c>
      <c r="O31" s="247"/>
      <c r="P31" s="273"/>
      <c r="Q31" s="273"/>
      <c r="R31" s="273"/>
      <c r="S31" s="273"/>
      <c r="T31" s="273"/>
      <c r="U31" s="273"/>
    </row>
    <row r="32" spans="1:24" ht="15" x14ac:dyDescent="0.25">
      <c r="A32" s="182" t="s">
        <v>79</v>
      </c>
      <c r="B32" s="214">
        <f t="shared" si="6"/>
        <v>5090</v>
      </c>
      <c r="C32" s="182">
        <f t="shared" si="7"/>
        <v>6605.4068271119859</v>
      </c>
      <c r="D32" s="182">
        <f t="shared" si="7"/>
        <v>549.48982121807455</v>
      </c>
      <c r="E32" s="182">
        <f t="shared" si="7"/>
        <v>1092.5775304518661</v>
      </c>
      <c r="F32" s="182">
        <f t="shared" si="7"/>
        <v>505.3857092337916</v>
      </c>
      <c r="G32" s="182">
        <f t="shared" si="7"/>
        <v>1359.8958251473482</v>
      </c>
      <c r="H32" s="182">
        <f t="shared" si="7"/>
        <v>939.77230058939108</v>
      </c>
      <c r="I32" s="182">
        <f t="shared" si="7"/>
        <v>924.20825343811407</v>
      </c>
      <c r="J32" s="182">
        <f t="shared" si="7"/>
        <v>576.82725540275044</v>
      </c>
      <c r="K32" s="182">
        <f t="shared" si="7"/>
        <v>12553.56352259332</v>
      </c>
      <c r="O32" s="247"/>
      <c r="P32" s="273"/>
      <c r="Q32" s="273"/>
      <c r="R32" s="273"/>
      <c r="S32" s="273"/>
      <c r="T32" s="273"/>
      <c r="U32" s="273"/>
    </row>
    <row r="33" spans="1:21" ht="15" x14ac:dyDescent="0.25">
      <c r="A33" s="182" t="s">
        <v>80</v>
      </c>
      <c r="B33" s="220">
        <f t="shared" si="6"/>
        <v>1747</v>
      </c>
      <c r="C33" s="183">
        <f t="shared" si="7"/>
        <v>8280.2304579278734</v>
      </c>
      <c r="D33" s="183">
        <f t="shared" si="7"/>
        <v>367.14585002862043</v>
      </c>
      <c r="E33" s="183">
        <f t="shared" si="7"/>
        <v>1552.4912077847746</v>
      </c>
      <c r="F33" s="183">
        <f t="shared" si="7"/>
        <v>196.5027189467659</v>
      </c>
      <c r="G33" s="183">
        <f t="shared" si="7"/>
        <v>1682.5226788780765</v>
      </c>
      <c r="H33" s="183">
        <f t="shared" si="7"/>
        <v>835.60656554092748</v>
      </c>
      <c r="I33" s="183">
        <f t="shared" si="7"/>
        <v>492.44412707498577</v>
      </c>
      <c r="J33" s="183">
        <f t="shared" si="7"/>
        <v>103.83539782484259</v>
      </c>
      <c r="K33" s="183">
        <f t="shared" si="7"/>
        <v>13510.77900400687</v>
      </c>
      <c r="O33" s="247"/>
      <c r="P33" s="273"/>
      <c r="Q33" s="273"/>
      <c r="R33" s="273"/>
      <c r="S33" s="273"/>
      <c r="T33" s="273"/>
      <c r="U33" s="273"/>
    </row>
    <row r="34" spans="1:21" ht="15" x14ac:dyDescent="0.25">
      <c r="A34" s="182" t="s">
        <v>219</v>
      </c>
      <c r="B34" s="214">
        <f>SUM(B28:B33)</f>
        <v>92687</v>
      </c>
      <c r="C34" s="182">
        <f t="shared" si="7"/>
        <v>5657.4872073753595</v>
      </c>
      <c r="D34" s="182">
        <f t="shared" si="7"/>
        <v>1077.9630489712688</v>
      </c>
      <c r="E34" s="182">
        <f t="shared" si="7"/>
        <v>513.47780184923442</v>
      </c>
      <c r="F34" s="182">
        <f t="shared" si="7"/>
        <v>525.68827807567402</v>
      </c>
      <c r="G34" s="182">
        <f t="shared" si="7"/>
        <v>922.2254103595975</v>
      </c>
      <c r="H34" s="182">
        <f t="shared" si="7"/>
        <v>501.34212187253883</v>
      </c>
      <c r="I34" s="182">
        <f t="shared" si="7"/>
        <v>498.47688963932376</v>
      </c>
      <c r="J34" s="182">
        <f t="shared" si="7"/>
        <v>427.99885485558923</v>
      </c>
      <c r="K34" s="182">
        <f t="shared" si="7"/>
        <v>10124.659612998586</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21393</v>
      </c>
      <c r="C36" s="182">
        <f t="shared" ref="C36:K41" si="8">C12/$B36</f>
        <v>5426.2585121301363</v>
      </c>
      <c r="D36" s="182">
        <f t="shared" si="8"/>
        <v>1009.8280914317767</v>
      </c>
      <c r="E36" s="182">
        <f t="shared" si="8"/>
        <v>387.77527602486799</v>
      </c>
      <c r="F36" s="182">
        <f t="shared" si="8"/>
        <v>599.57560650680125</v>
      </c>
      <c r="G36" s="182">
        <f t="shared" si="8"/>
        <v>1043.2572462955175</v>
      </c>
      <c r="H36" s="182">
        <f t="shared" si="8"/>
        <v>410.10763053335199</v>
      </c>
      <c r="I36" s="182">
        <f t="shared" si="8"/>
        <v>899.47325293320228</v>
      </c>
      <c r="J36" s="182">
        <f t="shared" si="8"/>
        <v>681.30772261954837</v>
      </c>
      <c r="K36" s="182">
        <f t="shared" si="8"/>
        <v>10457.583338475202</v>
      </c>
      <c r="O36" s="247"/>
      <c r="P36" s="273"/>
      <c r="Q36" s="273"/>
      <c r="R36" s="273"/>
      <c r="S36" s="273"/>
      <c r="T36" s="273"/>
      <c r="U36" s="273"/>
    </row>
    <row r="37" spans="1:21" ht="15" x14ac:dyDescent="0.25">
      <c r="A37" s="182" t="s">
        <v>82</v>
      </c>
      <c r="B37" s="214">
        <f>B13</f>
        <v>5870</v>
      </c>
      <c r="C37" s="182">
        <f t="shared" si="8"/>
        <v>5073.7108177172058</v>
      </c>
      <c r="D37" s="182">
        <f t="shared" si="8"/>
        <v>1031.8232112436117</v>
      </c>
      <c r="E37" s="182">
        <f t="shared" si="8"/>
        <v>515.62622657580914</v>
      </c>
      <c r="F37" s="182">
        <f t="shared" si="8"/>
        <v>760.9124378194208</v>
      </c>
      <c r="G37" s="182">
        <f t="shared" si="8"/>
        <v>1201.2964003407155</v>
      </c>
      <c r="H37" s="182">
        <f t="shared" si="8"/>
        <v>763.3619608177172</v>
      </c>
      <c r="I37" s="182">
        <f t="shared" si="8"/>
        <v>1253.2259165247019</v>
      </c>
      <c r="J37" s="182">
        <f t="shared" si="8"/>
        <v>911.55035093696767</v>
      </c>
      <c r="K37" s="182">
        <f t="shared" si="8"/>
        <v>11511.507321976151</v>
      </c>
      <c r="O37" s="247"/>
      <c r="P37" s="273"/>
      <c r="Q37" s="273"/>
      <c r="R37" s="273"/>
      <c r="S37" s="273"/>
      <c r="T37" s="273"/>
      <c r="U37" s="273"/>
    </row>
    <row r="38" spans="1:21" ht="15" x14ac:dyDescent="0.25">
      <c r="A38" s="182" t="s">
        <v>83</v>
      </c>
      <c r="B38" s="214">
        <f>B14</f>
        <v>4769</v>
      </c>
      <c r="C38" s="182">
        <f t="shared" si="8"/>
        <v>5636.8385741245556</v>
      </c>
      <c r="D38" s="182">
        <f t="shared" si="8"/>
        <v>862.90085342839166</v>
      </c>
      <c r="E38" s="182">
        <f t="shared" si="8"/>
        <v>763.94230236946942</v>
      </c>
      <c r="F38" s="182">
        <f t="shared" si="8"/>
        <v>830.14559446424823</v>
      </c>
      <c r="G38" s="182">
        <f t="shared" si="8"/>
        <v>1711.4734388760742</v>
      </c>
      <c r="H38" s="182">
        <f t="shared" si="8"/>
        <v>992.91893688404286</v>
      </c>
      <c r="I38" s="182">
        <f t="shared" si="8"/>
        <v>1311.1445648983015</v>
      </c>
      <c r="J38" s="182">
        <f t="shared" si="8"/>
        <v>861.38818410568251</v>
      </c>
      <c r="K38" s="182">
        <f t="shared" si="8"/>
        <v>12970.752449150765</v>
      </c>
      <c r="O38" s="247"/>
      <c r="P38" s="273"/>
      <c r="Q38" s="273"/>
      <c r="R38" s="273"/>
      <c r="S38" s="273"/>
      <c r="T38" s="273"/>
      <c r="U38" s="273"/>
    </row>
    <row r="39" spans="1:21" ht="15" x14ac:dyDescent="0.25">
      <c r="A39" s="182" t="s">
        <v>84</v>
      </c>
      <c r="B39" s="214">
        <f>B15</f>
        <v>5040</v>
      </c>
      <c r="C39" s="182">
        <f t="shared" si="8"/>
        <v>6682.2172757936496</v>
      </c>
      <c r="D39" s="182">
        <f t="shared" si="8"/>
        <v>816.39751388888874</v>
      </c>
      <c r="E39" s="182">
        <f t="shared" si="8"/>
        <v>1155.6288492063488</v>
      </c>
      <c r="F39" s="182">
        <f t="shared" si="8"/>
        <v>822.54938888888887</v>
      </c>
      <c r="G39" s="182">
        <f t="shared" si="8"/>
        <v>2167.0285714285715</v>
      </c>
      <c r="H39" s="182">
        <f t="shared" si="8"/>
        <v>1324.252801587302</v>
      </c>
      <c r="I39" s="182">
        <f t="shared" si="8"/>
        <v>1414.2154206349205</v>
      </c>
      <c r="J39" s="182">
        <f t="shared" si="8"/>
        <v>555.8538115079366</v>
      </c>
      <c r="K39" s="182">
        <f t="shared" si="8"/>
        <v>14938.143632936508</v>
      </c>
      <c r="O39" s="247"/>
      <c r="P39" s="273"/>
      <c r="Q39" s="273"/>
      <c r="R39" s="273"/>
      <c r="S39" s="273"/>
      <c r="T39" s="273"/>
      <c r="U39" s="273"/>
    </row>
    <row r="40" spans="1:21" ht="15" x14ac:dyDescent="0.25">
      <c r="A40" s="182" t="s">
        <v>85</v>
      </c>
      <c r="B40" s="220">
        <f>B16</f>
        <v>1381</v>
      </c>
      <c r="C40" s="183">
        <f t="shared" si="8"/>
        <v>9710.526372194061</v>
      </c>
      <c r="D40" s="183">
        <f t="shared" si="8"/>
        <v>1001.9674004344679</v>
      </c>
      <c r="E40" s="183">
        <f t="shared" si="8"/>
        <v>2760.3180811006514</v>
      </c>
      <c r="F40" s="183">
        <f t="shared" si="8"/>
        <v>634.24406951484434</v>
      </c>
      <c r="G40" s="183">
        <f t="shared" si="8"/>
        <v>3390.5777190441704</v>
      </c>
      <c r="H40" s="183">
        <f t="shared" si="8"/>
        <v>2071.6940695148442</v>
      </c>
      <c r="I40" s="183">
        <f t="shared" si="8"/>
        <v>2103.3506734250541</v>
      </c>
      <c r="J40" s="183">
        <f t="shared" si="8"/>
        <v>2061.3200868935555</v>
      </c>
      <c r="K40" s="183">
        <f t="shared" si="8"/>
        <v>23733.998472121646</v>
      </c>
      <c r="O40" s="247"/>
      <c r="P40" s="273"/>
      <c r="Q40" s="273"/>
      <c r="R40" s="273"/>
      <c r="S40" s="273"/>
      <c r="T40" s="273"/>
      <c r="U40" s="273"/>
    </row>
    <row r="41" spans="1:21" ht="15" x14ac:dyDescent="0.25">
      <c r="A41" s="182" t="s">
        <v>220</v>
      </c>
      <c r="B41" s="214">
        <f>SUM(B36:B40)</f>
        <v>38453</v>
      </c>
      <c r="C41" s="182">
        <f t="shared" si="8"/>
        <v>5717.0396588042549</v>
      </c>
      <c r="D41" s="182">
        <f t="shared" si="8"/>
        <v>969.32851090942177</v>
      </c>
      <c r="E41" s="182">
        <f t="shared" si="8"/>
        <v>639.7943447845422</v>
      </c>
      <c r="F41" s="182">
        <f t="shared" si="8"/>
        <v>683.26999921982679</v>
      </c>
      <c r="G41" s="182">
        <f t="shared" si="8"/>
        <v>1381.8490312849451</v>
      </c>
      <c r="H41" s="182">
        <f t="shared" si="8"/>
        <v>715.80478220164878</v>
      </c>
      <c r="I41" s="182">
        <f t="shared" si="8"/>
        <v>1115.233892284087</v>
      </c>
      <c r="J41" s="182">
        <f t="shared" si="8"/>
        <v>771.90760590851175</v>
      </c>
      <c r="K41" s="182">
        <f t="shared" si="8"/>
        <v>11994.22782539724</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10095</v>
      </c>
      <c r="C43" s="182">
        <f t="shared" ref="C43:K45" si="9">C19/$B43</f>
        <v>5560.9403060921268</v>
      </c>
      <c r="D43" s="182">
        <f t="shared" si="9"/>
        <v>535.31724021792968</v>
      </c>
      <c r="E43" s="182">
        <f t="shared" si="9"/>
        <v>512.68771867261012</v>
      </c>
      <c r="F43" s="182">
        <f t="shared" si="9"/>
        <v>563.37075879148097</v>
      </c>
      <c r="G43" s="182">
        <f t="shared" si="9"/>
        <v>1098.0032838038635</v>
      </c>
      <c r="H43" s="182">
        <f t="shared" si="9"/>
        <v>613.07439425458131</v>
      </c>
      <c r="I43" s="182">
        <f t="shared" si="9"/>
        <v>791.8735641406638</v>
      </c>
      <c r="J43" s="182">
        <f t="shared" si="9"/>
        <v>610.45729271916787</v>
      </c>
      <c r="K43" s="182">
        <f t="shared" si="9"/>
        <v>10285.724558692425</v>
      </c>
    </row>
    <row r="44" spans="1:21" x14ac:dyDescent="0.2">
      <c r="A44" s="182" t="s">
        <v>87</v>
      </c>
      <c r="B44" s="220">
        <f>B20</f>
        <v>7332</v>
      </c>
      <c r="C44" s="183">
        <f t="shared" si="9"/>
        <v>7407.7716653027828</v>
      </c>
      <c r="D44" s="183">
        <f t="shared" si="9"/>
        <v>637.79672940534658</v>
      </c>
      <c r="E44" s="183">
        <f t="shared" si="9"/>
        <v>1393.6041530278233</v>
      </c>
      <c r="F44" s="183">
        <f t="shared" si="9"/>
        <v>503.14673486088373</v>
      </c>
      <c r="G44" s="183">
        <f t="shared" si="9"/>
        <v>1862.6603123295145</v>
      </c>
      <c r="H44" s="183">
        <f t="shared" si="9"/>
        <v>1186.724442171304</v>
      </c>
      <c r="I44" s="183">
        <f t="shared" si="9"/>
        <v>1309.208832515003</v>
      </c>
      <c r="J44" s="183">
        <f t="shared" si="9"/>
        <v>982.81619885433713</v>
      </c>
      <c r="K44" s="183">
        <f t="shared" si="9"/>
        <v>15283.729068466993</v>
      </c>
    </row>
    <row r="45" spans="1:21" x14ac:dyDescent="0.2">
      <c r="A45" s="182" t="s">
        <v>221</v>
      </c>
      <c r="B45" s="214">
        <f>SUM(B43:B44)</f>
        <v>17427</v>
      </c>
      <c r="C45" s="182">
        <f t="shared" si="9"/>
        <v>6337.9511241177488</v>
      </c>
      <c r="D45" s="182">
        <f t="shared" si="9"/>
        <v>578.43307281804096</v>
      </c>
      <c r="E45" s="182">
        <f t="shared" si="9"/>
        <v>883.31257072358983</v>
      </c>
      <c r="F45" s="182">
        <f t="shared" si="9"/>
        <v>538.03291845986109</v>
      </c>
      <c r="G45" s="182">
        <f t="shared" si="9"/>
        <v>1419.7147277213521</v>
      </c>
      <c r="H45" s="182">
        <f t="shared" si="9"/>
        <v>854.42414758707753</v>
      </c>
      <c r="I45" s="182">
        <f t="shared" si="9"/>
        <v>1009.5301996901362</v>
      </c>
      <c r="J45" s="182">
        <f t="shared" si="9"/>
        <v>767.11853675331383</v>
      </c>
      <c r="K45" s="182">
        <f t="shared" si="9"/>
        <v>12388.517297871122</v>
      </c>
    </row>
    <row r="46" spans="1:21" x14ac:dyDescent="0.2">
      <c r="A46" s="182"/>
      <c r="B46" s="214"/>
      <c r="C46" s="182"/>
      <c r="D46" s="182"/>
      <c r="E46" s="182"/>
      <c r="F46" s="182"/>
      <c r="G46" s="182"/>
      <c r="H46" s="182"/>
      <c r="I46" s="182"/>
      <c r="J46" s="182"/>
      <c r="K46" s="182"/>
    </row>
    <row r="47" spans="1:21" ht="13.5" thickBot="1" x14ac:dyDescent="0.25">
      <c r="A47" s="182" t="s">
        <v>222</v>
      </c>
      <c r="B47" s="222">
        <f>B45+B41+B34</f>
        <v>148567</v>
      </c>
      <c r="C47" s="222">
        <f t="shared" ref="C47:K47" si="10">C23/$B47</f>
        <v>5752.7197630025512</v>
      </c>
      <c r="D47" s="222">
        <f t="shared" si="10"/>
        <v>991.25043589760844</v>
      </c>
      <c r="E47" s="222">
        <f t="shared" si="10"/>
        <v>589.55365007033856</v>
      </c>
      <c r="F47" s="222">
        <f t="shared" si="10"/>
        <v>567.92255601849672</v>
      </c>
      <c r="G47" s="222">
        <f t="shared" si="10"/>
        <v>1099.5437477367116</v>
      </c>
      <c r="H47" s="222">
        <f t="shared" si="10"/>
        <v>598.26736866195051</v>
      </c>
      <c r="I47" s="222">
        <f t="shared" si="10"/>
        <v>718.05649383779712</v>
      </c>
      <c r="J47" s="222">
        <f t="shared" si="10"/>
        <v>556.79032200959841</v>
      </c>
      <c r="K47" s="222">
        <f t="shared" si="10"/>
        <v>10874.104337235054</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FY2014</v>
      </c>
      <c r="D50" s="182"/>
      <c r="E50" s="182"/>
      <c r="F50" s="182"/>
      <c r="G50" s="182"/>
      <c r="H50" s="182"/>
      <c r="I50" s="182"/>
      <c r="J50" s="182"/>
      <c r="K50" s="182"/>
    </row>
    <row r="51" spans="1:11" ht="40.5" customHeight="1" x14ac:dyDescent="0.2">
      <c r="A51" s="21" t="s">
        <v>1207</v>
      </c>
      <c r="B51" s="21" t="str">
        <f>B3</f>
        <v>ANB14</v>
      </c>
      <c r="C51" s="21" t="str">
        <f t="shared" ref="C51:K51" si="11">C3</f>
        <v>14/Pupil Instruction</v>
      </c>
      <c r="D51" s="21" t="str">
        <f t="shared" si="11"/>
        <v>14/Pupil Student Services</v>
      </c>
      <c r="E51" s="21" t="str">
        <f t="shared" si="11"/>
        <v>14/Pupil General Admin</v>
      </c>
      <c r="F51" s="21" t="str">
        <f t="shared" si="11"/>
        <v>14/Pupil Bldg Admin</v>
      </c>
      <c r="G51" s="21" t="str">
        <f t="shared" si="11"/>
        <v>14/Pupil Bldg OM</v>
      </c>
      <c r="H51" s="21" t="str">
        <f t="shared" si="11"/>
        <v>14/Pupil Transport</v>
      </c>
      <c r="I51" s="21" t="str">
        <f t="shared" si="11"/>
        <v>14/Pupil Other</v>
      </c>
      <c r="J51" s="21" t="str">
        <f t="shared" si="11"/>
        <v>14/Pupil Bonds/ Facilities</v>
      </c>
      <c r="K51" s="21" t="str">
        <f t="shared" si="11"/>
        <v>14/Pupil Total</v>
      </c>
    </row>
    <row r="52" spans="1:11" x14ac:dyDescent="0.2">
      <c r="A52" s="182" t="s">
        <v>102</v>
      </c>
      <c r="B52" s="214">
        <f t="shared" ref="B52:B57" si="12">B4</f>
        <v>39709</v>
      </c>
      <c r="C52" s="191">
        <f t="shared" ref="C52:K58" si="13">C28/$K28</f>
        <v>0.58389979041118256</v>
      </c>
      <c r="D52" s="191">
        <f t="shared" si="13"/>
        <v>0.136250979122716</v>
      </c>
      <c r="E52" s="191">
        <f t="shared" si="13"/>
        <v>3.3044245264790675E-2</v>
      </c>
      <c r="F52" s="191">
        <f t="shared" si="13"/>
        <v>5.6900744370845503E-2</v>
      </c>
      <c r="G52" s="191">
        <f t="shared" si="13"/>
        <v>8.0166411368817844E-2</v>
      </c>
      <c r="H52" s="191">
        <f t="shared" si="13"/>
        <v>4.6668176960793124E-2</v>
      </c>
      <c r="I52" s="191">
        <f t="shared" si="13"/>
        <v>3.5922424977757501E-2</v>
      </c>
      <c r="J52" s="191">
        <f t="shared" si="13"/>
        <v>2.7147227523096683E-2</v>
      </c>
      <c r="K52" s="191">
        <f t="shared" si="13"/>
        <v>1</v>
      </c>
    </row>
    <row r="53" spans="1:11" x14ac:dyDescent="0.2">
      <c r="A53" s="182" t="s">
        <v>76</v>
      </c>
      <c r="B53" s="214">
        <f t="shared" si="12"/>
        <v>20553</v>
      </c>
      <c r="C53" s="191">
        <f t="shared" si="13"/>
        <v>0.53716537073489712</v>
      </c>
      <c r="D53" s="191">
        <f t="shared" si="13"/>
        <v>0.12055343048412352</v>
      </c>
      <c r="E53" s="191">
        <f t="shared" si="13"/>
        <v>3.971702180387196E-2</v>
      </c>
      <c r="F53" s="191">
        <f t="shared" si="13"/>
        <v>5.5569797352195471E-2</v>
      </c>
      <c r="G53" s="191">
        <f t="shared" si="13"/>
        <v>9.3925571196480068E-2</v>
      </c>
      <c r="H53" s="191">
        <f t="shared" si="13"/>
        <v>4.5614089068440895E-2</v>
      </c>
      <c r="I53" s="191">
        <f t="shared" si="13"/>
        <v>4.7955266690563263E-2</v>
      </c>
      <c r="J53" s="191">
        <f t="shared" si="13"/>
        <v>5.9499452669427723E-2</v>
      </c>
      <c r="K53" s="191">
        <f t="shared" si="13"/>
        <v>1</v>
      </c>
    </row>
    <row r="54" spans="1:11" x14ac:dyDescent="0.2">
      <c r="A54" s="182" t="s">
        <v>77</v>
      </c>
      <c r="B54" s="214">
        <f t="shared" si="12"/>
        <v>12931</v>
      </c>
      <c r="C54" s="191">
        <f t="shared" si="13"/>
        <v>0.54497481310610663</v>
      </c>
      <c r="D54" s="191">
        <f t="shared" si="13"/>
        <v>9.563095461387075E-2</v>
      </c>
      <c r="E54" s="191">
        <f t="shared" si="13"/>
        <v>5.9020686616691166E-2</v>
      </c>
      <c r="F54" s="191">
        <f t="shared" si="13"/>
        <v>5.2632447918039109E-2</v>
      </c>
      <c r="G54" s="191">
        <f t="shared" si="13"/>
        <v>8.8329453131440777E-2</v>
      </c>
      <c r="H54" s="191">
        <f t="shared" si="13"/>
        <v>4.8268239993680906E-2</v>
      </c>
      <c r="I54" s="191">
        <f t="shared" si="13"/>
        <v>6.0791903354279531E-2</v>
      </c>
      <c r="J54" s="191">
        <f t="shared" si="13"/>
        <v>5.0351501265891101E-2</v>
      </c>
      <c r="K54" s="191">
        <f t="shared" si="13"/>
        <v>1</v>
      </c>
    </row>
    <row r="55" spans="1:11" x14ac:dyDescent="0.2">
      <c r="A55" s="182" t="s">
        <v>78</v>
      </c>
      <c r="B55" s="214">
        <f t="shared" si="12"/>
        <v>12657</v>
      </c>
      <c r="C55" s="191">
        <f t="shared" si="13"/>
        <v>0.54476839518747844</v>
      </c>
      <c r="D55" s="191">
        <f t="shared" si="13"/>
        <v>5.9220170413953568E-2</v>
      </c>
      <c r="E55" s="191">
        <f t="shared" si="13"/>
        <v>7.8318571110660276E-2</v>
      </c>
      <c r="F55" s="191">
        <f t="shared" si="13"/>
        <v>4.4167670336469567E-2</v>
      </c>
      <c r="G55" s="191">
        <f t="shared" si="13"/>
        <v>0.10499839104734379</v>
      </c>
      <c r="H55" s="191">
        <f t="shared" si="13"/>
        <v>5.0414066625364455E-2</v>
      </c>
      <c r="I55" s="191">
        <f t="shared" si="13"/>
        <v>6.5779307736541393E-2</v>
      </c>
      <c r="J55" s="191">
        <f t="shared" si="13"/>
        <v>5.2333427542188553E-2</v>
      </c>
      <c r="K55" s="191">
        <f t="shared" si="13"/>
        <v>1</v>
      </c>
    </row>
    <row r="56" spans="1:11" x14ac:dyDescent="0.2">
      <c r="A56" s="182" t="s">
        <v>79</v>
      </c>
      <c r="B56" s="214">
        <f t="shared" si="12"/>
        <v>5090</v>
      </c>
      <c r="C56" s="191">
        <f t="shared" si="13"/>
        <v>0.52617783111734617</v>
      </c>
      <c r="D56" s="191">
        <f t="shared" si="13"/>
        <v>4.3771620721807659E-2</v>
      </c>
      <c r="E56" s="191">
        <f t="shared" si="13"/>
        <v>8.703325780647829E-2</v>
      </c>
      <c r="F56" s="191">
        <f t="shared" si="13"/>
        <v>4.0258346430813996E-2</v>
      </c>
      <c r="G56" s="191">
        <f t="shared" si="13"/>
        <v>0.10832747392402731</v>
      </c>
      <c r="H56" s="191">
        <f t="shared" si="13"/>
        <v>7.4860998544200821E-2</v>
      </c>
      <c r="I56" s="191">
        <f t="shared" si="13"/>
        <v>7.3621187464003104E-2</v>
      </c>
      <c r="J56" s="191">
        <f t="shared" si="13"/>
        <v>4.5949283991322747E-2</v>
      </c>
      <c r="K56" s="191">
        <f t="shared" si="13"/>
        <v>1</v>
      </c>
    </row>
    <row r="57" spans="1:11" x14ac:dyDescent="0.2">
      <c r="A57" s="182" t="s">
        <v>80</v>
      </c>
      <c r="B57" s="220">
        <f t="shared" si="12"/>
        <v>1747</v>
      </c>
      <c r="C57" s="193">
        <f t="shared" si="13"/>
        <v>0.61286106859361833</v>
      </c>
      <c r="D57" s="193">
        <f t="shared" si="13"/>
        <v>2.7174291720687353E-2</v>
      </c>
      <c r="E57" s="193">
        <f t="shared" si="13"/>
        <v>0.1149076013547668</v>
      </c>
      <c r="F57" s="193">
        <f t="shared" si="13"/>
        <v>1.4544144263516514E-2</v>
      </c>
      <c r="G57" s="193">
        <f t="shared" si="13"/>
        <v>0.1245318777236378</v>
      </c>
      <c r="H57" s="193">
        <f t="shared" si="13"/>
        <v>6.1847400900652209E-2</v>
      </c>
      <c r="I57" s="193">
        <f t="shared" si="13"/>
        <v>3.6448240840068688E-2</v>
      </c>
      <c r="J57" s="193">
        <f t="shared" si="13"/>
        <v>7.685374603051999E-3</v>
      </c>
      <c r="K57" s="193">
        <f t="shared" si="13"/>
        <v>1</v>
      </c>
    </row>
    <row r="58" spans="1:11" x14ac:dyDescent="0.2">
      <c r="A58" s="182" t="s">
        <v>219</v>
      </c>
      <c r="B58" s="214">
        <f>SUM(B52:B57)</f>
        <v>92687</v>
      </c>
      <c r="C58" s="191">
        <f t="shared" si="13"/>
        <v>0.55878295405723777</v>
      </c>
      <c r="D58" s="191">
        <f t="shared" si="13"/>
        <v>0.10646906564516218</v>
      </c>
      <c r="E58" s="191">
        <f t="shared" si="13"/>
        <v>5.0715561952325176E-2</v>
      </c>
      <c r="F58" s="191">
        <f t="shared" si="13"/>
        <v>5.1921575457289142E-2</v>
      </c>
      <c r="G58" s="191">
        <f t="shared" si="13"/>
        <v>9.1087053353931483E-2</v>
      </c>
      <c r="H58" s="191">
        <f t="shared" si="13"/>
        <v>4.9516935979644058E-2</v>
      </c>
      <c r="I58" s="191">
        <f t="shared" si="13"/>
        <v>4.9233940566194651E-2</v>
      </c>
      <c r="J58" s="191">
        <f t="shared" si="13"/>
        <v>4.2272912988215533E-2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21393</v>
      </c>
      <c r="C60" s="191">
        <f t="shared" ref="C60:K65" si="14">C36/$K36</f>
        <v>0.51888264587536415</v>
      </c>
      <c r="D60" s="191">
        <f t="shared" si="14"/>
        <v>9.6564192581325148E-2</v>
      </c>
      <c r="E60" s="191">
        <f t="shared" si="14"/>
        <v>3.7080773202942383E-2</v>
      </c>
      <c r="F60" s="191">
        <f t="shared" si="14"/>
        <v>5.7334050047764103E-2</v>
      </c>
      <c r="G60" s="191">
        <f t="shared" si="14"/>
        <v>9.9760835035107881E-2</v>
      </c>
      <c r="H60" s="191">
        <f t="shared" si="14"/>
        <v>3.9216290921105762E-2</v>
      </c>
      <c r="I60" s="191">
        <f t="shared" si="14"/>
        <v>8.6011578757769908E-2</v>
      </c>
      <c r="J60" s="191">
        <f t="shared" si="14"/>
        <v>6.5149633578620691E-2</v>
      </c>
      <c r="K60" s="191">
        <f t="shared" si="14"/>
        <v>1</v>
      </c>
    </row>
    <row r="61" spans="1:11" x14ac:dyDescent="0.2">
      <c r="A61" s="182" t="s">
        <v>82</v>
      </c>
      <c r="B61" s="214">
        <f>B37</f>
        <v>5870</v>
      </c>
      <c r="C61" s="191">
        <f t="shared" si="14"/>
        <v>0.44075121318223814</v>
      </c>
      <c r="D61" s="191">
        <f t="shared" si="14"/>
        <v>8.9634066363646403E-2</v>
      </c>
      <c r="E61" s="191">
        <f t="shared" si="14"/>
        <v>4.4792242419152882E-2</v>
      </c>
      <c r="F61" s="191">
        <f t="shared" si="14"/>
        <v>6.610015669857533E-2</v>
      </c>
      <c r="G61" s="191">
        <f t="shared" si="14"/>
        <v>0.1043561339745117</v>
      </c>
      <c r="H61" s="191">
        <f t="shared" si="14"/>
        <v>6.6312945773870452E-2</v>
      </c>
      <c r="I61" s="191">
        <f t="shared" si="14"/>
        <v>0.10886723010914647</v>
      </c>
      <c r="J61" s="191">
        <f t="shared" si="14"/>
        <v>7.9186011478858551E-2</v>
      </c>
      <c r="K61" s="191">
        <f t="shared" si="14"/>
        <v>1</v>
      </c>
    </row>
    <row r="62" spans="1:11" x14ac:dyDescent="0.2">
      <c r="A62" s="182" t="s">
        <v>83</v>
      </c>
      <c r="B62" s="214">
        <f>B38</f>
        <v>4769</v>
      </c>
      <c r="C62" s="191">
        <f t="shared" si="14"/>
        <v>0.43458069192382259</v>
      </c>
      <c r="D62" s="191">
        <f t="shared" si="14"/>
        <v>6.6526661179543867E-2</v>
      </c>
      <c r="E62" s="191">
        <f t="shared" si="14"/>
        <v>5.8897300319650084E-2</v>
      </c>
      <c r="F62" s="191">
        <f t="shared" si="14"/>
        <v>6.4001344387587977E-2</v>
      </c>
      <c r="G62" s="191">
        <f t="shared" si="14"/>
        <v>0.1319486626227401</v>
      </c>
      <c r="H62" s="191">
        <f t="shared" si="14"/>
        <v>7.6550604197912389E-2</v>
      </c>
      <c r="I62" s="191">
        <f t="shared" si="14"/>
        <v>0.10108469574439732</v>
      </c>
      <c r="J62" s="191">
        <f t="shared" si="14"/>
        <v>6.6410039624345787E-2</v>
      </c>
      <c r="K62" s="191">
        <f t="shared" si="14"/>
        <v>1</v>
      </c>
    </row>
    <row r="63" spans="1:11" x14ac:dyDescent="0.2">
      <c r="A63" s="182" t="s">
        <v>84</v>
      </c>
      <c r="B63" s="214">
        <f>B39</f>
        <v>5040</v>
      </c>
      <c r="C63" s="191">
        <f t="shared" si="14"/>
        <v>0.44732581504038421</v>
      </c>
      <c r="D63" s="191">
        <f t="shared" si="14"/>
        <v>5.4651872009641611E-2</v>
      </c>
      <c r="E63" s="191">
        <f t="shared" si="14"/>
        <v>7.7360941064882352E-2</v>
      </c>
      <c r="F63" s="191">
        <f t="shared" si="14"/>
        <v>5.5063695269021447E-2</v>
      </c>
      <c r="G63" s="191">
        <f t="shared" si="14"/>
        <v>0.14506679174315729</v>
      </c>
      <c r="H63" s="191">
        <f t="shared" si="14"/>
        <v>8.8649087472121413E-2</v>
      </c>
      <c r="I63" s="191">
        <f t="shared" si="14"/>
        <v>9.4671430091003692E-2</v>
      </c>
      <c r="J63" s="191">
        <f t="shared" si="14"/>
        <v>3.7210367309787877E-2</v>
      </c>
      <c r="K63" s="191">
        <f t="shared" si="14"/>
        <v>1</v>
      </c>
    </row>
    <row r="64" spans="1:11" x14ac:dyDescent="0.2">
      <c r="A64" s="182" t="s">
        <v>85</v>
      </c>
      <c r="B64" s="220">
        <f>B40</f>
        <v>1381</v>
      </c>
      <c r="C64" s="193">
        <f t="shared" si="14"/>
        <v>0.4091399257314442</v>
      </c>
      <c r="D64" s="193">
        <f t="shared" si="14"/>
        <v>4.2216544406177309E-2</v>
      </c>
      <c r="E64" s="193">
        <f t="shared" si="14"/>
        <v>0.11630227769429444</v>
      </c>
      <c r="F64" s="193">
        <f t="shared" si="14"/>
        <v>2.6723018047710677E-2</v>
      </c>
      <c r="G64" s="193">
        <f t="shared" si="14"/>
        <v>0.14285741709416558</v>
      </c>
      <c r="H64" s="193">
        <f t="shared" si="14"/>
        <v>8.7288034165346848E-2</v>
      </c>
      <c r="I64" s="193">
        <f t="shared" si="14"/>
        <v>8.8621842455062314E-2</v>
      </c>
      <c r="J64" s="193">
        <f t="shared" si="14"/>
        <v>8.6850940405798743E-2</v>
      </c>
      <c r="K64" s="193">
        <f t="shared" si="14"/>
        <v>1</v>
      </c>
    </row>
    <row r="65" spans="1:11" x14ac:dyDescent="0.2">
      <c r="A65" s="182" t="s">
        <v>220</v>
      </c>
      <c r="B65" s="214">
        <f>SUM(B60:B64)</f>
        <v>38453</v>
      </c>
      <c r="C65" s="191">
        <f t="shared" si="14"/>
        <v>0.47664924679008347</v>
      </c>
      <c r="D65" s="191">
        <f t="shared" si="14"/>
        <v>8.0816249701119738E-2</v>
      </c>
      <c r="E65" s="191">
        <f t="shared" si="14"/>
        <v>5.3341853606432781E-2</v>
      </c>
      <c r="F65" s="191">
        <f t="shared" si="14"/>
        <v>5.6966568349905211E-2</v>
      </c>
      <c r="G65" s="191">
        <f t="shared" si="14"/>
        <v>0.11520950338786642</v>
      </c>
      <c r="H65" s="191">
        <f t="shared" si="14"/>
        <v>5.9679105034670443E-2</v>
      </c>
      <c r="I65" s="191">
        <f t="shared" si="14"/>
        <v>9.2980882847883653E-2</v>
      </c>
      <c r="J65" s="191">
        <f t="shared" si="14"/>
        <v>6.4356590282038162E-2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10095</v>
      </c>
      <c r="C67" s="191">
        <f t="shared" ref="C67:K69" si="15">C43/$K43</f>
        <v>0.54064643422641512</v>
      </c>
      <c r="D67" s="191">
        <f t="shared" si="15"/>
        <v>5.2044679707618183E-2</v>
      </c>
      <c r="E67" s="191">
        <f t="shared" si="15"/>
        <v>4.98445895325225E-2</v>
      </c>
      <c r="F67" s="191">
        <f t="shared" si="15"/>
        <v>5.4772102400445728E-2</v>
      </c>
      <c r="G67" s="191">
        <f t="shared" si="15"/>
        <v>0.10675021264067831</v>
      </c>
      <c r="H67" s="191">
        <f t="shared" si="15"/>
        <v>5.9604395466382049E-2</v>
      </c>
      <c r="I67" s="191">
        <f t="shared" si="15"/>
        <v>7.6987630732484907E-2</v>
      </c>
      <c r="J67" s="191">
        <f t="shared" si="15"/>
        <v>5.9349955293453077E-2</v>
      </c>
      <c r="K67" s="191">
        <f t="shared" si="15"/>
        <v>1</v>
      </c>
    </row>
    <row r="68" spans="1:11" x14ac:dyDescent="0.2">
      <c r="A68" s="182" t="s">
        <v>87</v>
      </c>
      <c r="B68" s="220">
        <f>B44</f>
        <v>7332</v>
      </c>
      <c r="C68" s="193">
        <f t="shared" si="15"/>
        <v>0.48468352403513298</v>
      </c>
      <c r="D68" s="193">
        <f t="shared" si="15"/>
        <v>4.1730439380872876E-2</v>
      </c>
      <c r="E68" s="193">
        <f t="shared" si="15"/>
        <v>9.1182207351677827E-2</v>
      </c>
      <c r="F68" s="193">
        <f t="shared" si="15"/>
        <v>3.2920417040037925E-2</v>
      </c>
      <c r="G68" s="193">
        <f t="shared" si="15"/>
        <v>0.12187211013655748</v>
      </c>
      <c r="H68" s="193">
        <f t="shared" si="15"/>
        <v>7.7646262692507684E-2</v>
      </c>
      <c r="I68" s="193">
        <f t="shared" si="15"/>
        <v>8.566030100704479E-2</v>
      </c>
      <c r="J68" s="193">
        <f t="shared" si="15"/>
        <v>6.4304738356168512E-2</v>
      </c>
      <c r="K68" s="193">
        <f t="shared" si="15"/>
        <v>1</v>
      </c>
    </row>
    <row r="69" spans="1:11" x14ac:dyDescent="0.2">
      <c r="A69" s="182" t="s">
        <v>221</v>
      </c>
      <c r="B69" s="214">
        <f>SUM(B67:B68)</f>
        <v>17427</v>
      </c>
      <c r="C69" s="191">
        <f t="shared" si="15"/>
        <v>0.5115988436491008</v>
      </c>
      <c r="D69" s="191">
        <f t="shared" si="15"/>
        <v>4.6691065517375556E-2</v>
      </c>
      <c r="E69" s="191">
        <f t="shared" si="15"/>
        <v>7.1300911116730717E-2</v>
      </c>
      <c r="F69" s="191">
        <f t="shared" si="15"/>
        <v>4.3429968697893992E-2</v>
      </c>
      <c r="G69" s="191">
        <f t="shared" si="15"/>
        <v>0.11459924489634607</v>
      </c>
      <c r="H69" s="191">
        <f t="shared" si="15"/>
        <v>6.8969040204182E-2</v>
      </c>
      <c r="I69" s="191">
        <f t="shared" si="15"/>
        <v>8.1489186753899656E-2</v>
      </c>
      <c r="J69" s="191">
        <f t="shared" si="15"/>
        <v>6.1921739164471093E-2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148567</v>
      </c>
      <c r="C71" s="195">
        <f t="shared" ref="C71:K71" si="16">C47/$K47</f>
        <v>0.52902929607766558</v>
      </c>
      <c r="D71" s="195">
        <f t="shared" si="16"/>
        <v>9.1156973039459771E-2</v>
      </c>
      <c r="E71" s="195">
        <f t="shared" si="16"/>
        <v>5.4216295134450004E-2</v>
      </c>
      <c r="F71" s="195">
        <f t="shared" si="16"/>
        <v>5.2227065182170372E-2</v>
      </c>
      <c r="G71" s="195">
        <f t="shared" si="16"/>
        <v>0.10111579893266789</v>
      </c>
      <c r="H71" s="195">
        <f t="shared" si="16"/>
        <v>5.5017622611304766E-2</v>
      </c>
      <c r="I71" s="195">
        <f t="shared" si="16"/>
        <v>6.6033621856931388E-2</v>
      </c>
      <c r="J71" s="195">
        <f t="shared" si="16"/>
        <v>5.1203327165350046E-2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X75"/>
  <sheetViews>
    <sheetView zoomScaleNormal="100" workbookViewId="0">
      <selection activeCell="K3" sqref="K3"/>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38" t="s">
        <v>1209</v>
      </c>
      <c r="E1" s="22"/>
      <c r="F1" s="22"/>
      <c r="G1" s="22"/>
      <c r="H1" s="22"/>
      <c r="I1" s="22"/>
      <c r="J1" s="22"/>
      <c r="K1" s="22"/>
    </row>
    <row r="2" spans="1:24" x14ac:dyDescent="0.2">
      <c r="A2" s="22" t="s">
        <v>1208</v>
      </c>
      <c r="B2" s="22"/>
      <c r="C2" s="22"/>
      <c r="E2" s="22"/>
      <c r="F2" s="22"/>
      <c r="G2" s="22"/>
      <c r="H2" s="22"/>
      <c r="I2" s="22"/>
      <c r="J2" s="22"/>
      <c r="K2" s="22"/>
    </row>
    <row r="3" spans="1:24" ht="33.75" x14ac:dyDescent="0.2">
      <c r="A3" s="21" t="s">
        <v>245</v>
      </c>
      <c r="B3" s="21" t="s">
        <v>1197</v>
      </c>
      <c r="C3" s="12" t="s">
        <v>1198</v>
      </c>
      <c r="D3" s="12" t="s">
        <v>1199</v>
      </c>
      <c r="E3" s="12" t="s">
        <v>1200</v>
      </c>
      <c r="F3" s="12" t="s">
        <v>1201</v>
      </c>
      <c r="G3" s="12" t="s">
        <v>1202</v>
      </c>
      <c r="H3" s="12" t="s">
        <v>1203</v>
      </c>
      <c r="I3" s="12" t="s">
        <v>1204</v>
      </c>
      <c r="J3" s="12" t="s">
        <v>1205</v>
      </c>
      <c r="K3" s="12" t="s">
        <v>1206</v>
      </c>
    </row>
    <row r="4" spans="1:24" ht="15" x14ac:dyDescent="0.25">
      <c r="A4" s="33" t="s">
        <v>102</v>
      </c>
      <c r="B4" s="214">
        <v>39033</v>
      </c>
      <c r="C4" s="214">
        <v>202518309.63999999</v>
      </c>
      <c r="D4" s="214">
        <v>46728323.920000002</v>
      </c>
      <c r="E4" s="214">
        <v>11579772.189999999</v>
      </c>
      <c r="F4" s="214">
        <v>19225803.690000001</v>
      </c>
      <c r="G4" s="214">
        <v>27252609.109999999</v>
      </c>
      <c r="H4" s="214">
        <v>15581164.800000001</v>
      </c>
      <c r="I4" s="214">
        <v>11969296.91</v>
      </c>
      <c r="J4" s="214">
        <v>11322472.67</v>
      </c>
      <c r="K4" s="214">
        <f t="shared" ref="K4:K9" si="0">SUM(C4:J4)</f>
        <v>346177752.93000007</v>
      </c>
      <c r="N4" s="214"/>
      <c r="O4" s="294"/>
      <c r="P4" s="293"/>
      <c r="Q4" s="293"/>
      <c r="R4" s="293"/>
      <c r="S4" s="293"/>
      <c r="T4" s="293"/>
      <c r="U4" s="293"/>
      <c r="V4" s="293"/>
      <c r="W4" s="293"/>
      <c r="X4" s="293"/>
    </row>
    <row r="5" spans="1:24" ht="15" x14ac:dyDescent="0.25">
      <c r="A5" s="33" t="s">
        <v>76</v>
      </c>
      <c r="B5" s="214">
        <v>20207</v>
      </c>
      <c r="C5" s="214">
        <v>111609449.33</v>
      </c>
      <c r="D5" s="214">
        <v>23327962.649999999</v>
      </c>
      <c r="E5" s="214">
        <v>7400279.5599999996</v>
      </c>
      <c r="F5" s="214">
        <v>11404795.5</v>
      </c>
      <c r="G5" s="214">
        <v>17941275.57</v>
      </c>
      <c r="H5" s="214">
        <v>9583782.4299999997</v>
      </c>
      <c r="I5" s="214">
        <v>9925945.5299999993</v>
      </c>
      <c r="J5" s="214">
        <v>12508078.689999999</v>
      </c>
      <c r="K5" s="214">
        <f t="shared" si="0"/>
        <v>203701569.25999999</v>
      </c>
      <c r="N5" s="214"/>
      <c r="O5" s="294"/>
      <c r="P5" s="293"/>
      <c r="Q5" s="293"/>
      <c r="R5" s="293"/>
      <c r="S5" s="293"/>
      <c r="T5" s="293"/>
      <c r="U5" s="293"/>
      <c r="V5" s="293"/>
      <c r="W5" s="293"/>
      <c r="X5" s="293"/>
    </row>
    <row r="6" spans="1:24" ht="15" x14ac:dyDescent="0.25">
      <c r="A6" s="33" t="s">
        <v>77</v>
      </c>
      <c r="B6" s="214">
        <v>12825</v>
      </c>
      <c r="C6" s="214">
        <v>74035885.349999994</v>
      </c>
      <c r="D6" s="214">
        <v>12836423.119999999</v>
      </c>
      <c r="E6" s="214">
        <v>8193174.2000000002</v>
      </c>
      <c r="F6" s="214">
        <v>7099922.96</v>
      </c>
      <c r="G6" s="214">
        <v>11444171.710000001</v>
      </c>
      <c r="H6" s="214">
        <v>6202897.7800000003</v>
      </c>
      <c r="I6" s="214">
        <v>8233748.3300000001</v>
      </c>
      <c r="J6" s="214">
        <v>5382894.7400000002</v>
      </c>
      <c r="K6" s="214">
        <f t="shared" si="0"/>
        <v>133429118.19</v>
      </c>
      <c r="N6" s="214"/>
      <c r="O6" s="294"/>
      <c r="P6" s="293"/>
      <c r="Q6" s="293"/>
      <c r="R6" s="293"/>
      <c r="S6" s="293"/>
      <c r="T6" s="293"/>
      <c r="U6" s="293"/>
      <c r="V6" s="293"/>
      <c r="W6" s="293"/>
      <c r="X6" s="293"/>
    </row>
    <row r="7" spans="1:24" ht="15" x14ac:dyDescent="0.25">
      <c r="A7" s="33" t="s">
        <v>78</v>
      </c>
      <c r="B7" s="214">
        <v>12640</v>
      </c>
      <c r="C7" s="214">
        <v>73025030.269999996</v>
      </c>
      <c r="D7" s="214">
        <v>8063568.9400000004</v>
      </c>
      <c r="E7" s="214">
        <v>10022801.77</v>
      </c>
      <c r="F7" s="214">
        <v>6057946.2699999996</v>
      </c>
      <c r="G7" s="214">
        <v>13118754.4</v>
      </c>
      <c r="H7" s="214">
        <v>7236339</v>
      </c>
      <c r="I7" s="214">
        <v>8572721.6500000004</v>
      </c>
      <c r="J7" s="214">
        <v>5918463.6900000004</v>
      </c>
      <c r="K7" s="214">
        <f t="shared" si="0"/>
        <v>132015625.98999999</v>
      </c>
      <c r="N7" s="214"/>
      <c r="O7" s="294"/>
      <c r="P7" s="293"/>
      <c r="Q7" s="293"/>
      <c r="R7" s="293"/>
      <c r="S7" s="293"/>
      <c r="T7" s="293"/>
      <c r="U7" s="293"/>
      <c r="V7" s="293"/>
      <c r="W7" s="293"/>
      <c r="X7" s="293"/>
    </row>
    <row r="8" spans="1:24" ht="15" x14ac:dyDescent="0.25">
      <c r="A8" s="33" t="s">
        <v>79</v>
      </c>
      <c r="B8" s="214">
        <v>4985</v>
      </c>
      <c r="C8" s="214">
        <v>33948656.950000003</v>
      </c>
      <c r="D8" s="214">
        <v>2810080.06</v>
      </c>
      <c r="E8" s="214">
        <v>5386245.6600000001</v>
      </c>
      <c r="F8" s="214">
        <v>2632708.19</v>
      </c>
      <c r="G8" s="214">
        <v>6407128.7400000002</v>
      </c>
      <c r="H8" s="214">
        <v>4509501.05</v>
      </c>
      <c r="I8" s="214">
        <v>4844467.8099999996</v>
      </c>
      <c r="J8" s="214">
        <v>3810205.26</v>
      </c>
      <c r="K8" s="214">
        <f t="shared" si="0"/>
        <v>64348993.719999999</v>
      </c>
      <c r="N8" s="214"/>
      <c r="O8" s="294"/>
      <c r="P8" s="293"/>
      <c r="Q8" s="293"/>
      <c r="R8" s="293"/>
      <c r="S8" s="293"/>
      <c r="T8" s="293"/>
      <c r="U8" s="293"/>
      <c r="V8" s="293"/>
      <c r="W8" s="293"/>
      <c r="X8" s="293"/>
    </row>
    <row r="9" spans="1:24" ht="15" x14ac:dyDescent="0.25">
      <c r="A9" s="33" t="s">
        <v>80</v>
      </c>
      <c r="B9" s="220">
        <v>1674</v>
      </c>
      <c r="C9" s="220">
        <v>11623249.08</v>
      </c>
      <c r="D9" s="220">
        <v>457320.89</v>
      </c>
      <c r="E9" s="220">
        <v>2172093.13</v>
      </c>
      <c r="F9" s="220">
        <v>172087.32</v>
      </c>
      <c r="G9" s="220">
        <v>2548684.6</v>
      </c>
      <c r="H9" s="220">
        <v>1491005.01</v>
      </c>
      <c r="I9" s="220">
        <v>796836.53</v>
      </c>
      <c r="J9" s="220">
        <v>617802.98</v>
      </c>
      <c r="K9" s="220">
        <f t="shared" si="0"/>
        <v>19879079.540000007</v>
      </c>
      <c r="N9" s="214"/>
      <c r="O9" s="294"/>
      <c r="P9" s="293"/>
      <c r="Q9" s="293"/>
      <c r="R9" s="293"/>
      <c r="S9" s="293"/>
      <c r="T9" s="293"/>
      <c r="U9" s="293"/>
      <c r="V9" s="293"/>
      <c r="W9" s="293"/>
      <c r="X9" s="293"/>
    </row>
    <row r="10" spans="1:24" x14ac:dyDescent="0.2">
      <c r="A10" s="182" t="s">
        <v>103</v>
      </c>
      <c r="B10" s="214">
        <f t="shared" ref="B10:K10" si="1">SUM(B4:B9)</f>
        <v>91364</v>
      </c>
      <c r="C10" s="214">
        <f t="shared" si="1"/>
        <v>506760580.61999989</v>
      </c>
      <c r="D10" s="214">
        <f t="shared" si="1"/>
        <v>94223679.579999998</v>
      </c>
      <c r="E10" s="214">
        <f t="shared" si="1"/>
        <v>44754366.509999998</v>
      </c>
      <c r="F10" s="214">
        <f t="shared" si="1"/>
        <v>46593263.93</v>
      </c>
      <c r="G10" s="214">
        <f t="shared" si="1"/>
        <v>78712624.129999995</v>
      </c>
      <c r="H10" s="214">
        <f t="shared" si="1"/>
        <v>44604690.07</v>
      </c>
      <c r="I10" s="214">
        <f t="shared" si="1"/>
        <v>44343016.759999998</v>
      </c>
      <c r="J10" s="214">
        <f t="shared" si="1"/>
        <v>39559918.029999994</v>
      </c>
      <c r="K10" s="214">
        <f t="shared" si="1"/>
        <v>899552139.63000011</v>
      </c>
      <c r="N10" s="214"/>
    </row>
    <row r="11" spans="1:24" x14ac:dyDescent="0.2">
      <c r="A11" s="33"/>
      <c r="B11" s="214"/>
      <c r="C11" s="214"/>
      <c r="D11" s="214"/>
      <c r="E11" s="214"/>
      <c r="F11" s="214"/>
      <c r="G11" s="214"/>
      <c r="H11" s="214"/>
      <c r="I11" s="214"/>
      <c r="J11" s="214"/>
      <c r="K11" s="182"/>
      <c r="N11" s="214"/>
    </row>
    <row r="12" spans="1:24" ht="15" x14ac:dyDescent="0.25">
      <c r="A12" s="33" t="s">
        <v>81</v>
      </c>
      <c r="B12" s="214">
        <v>21424</v>
      </c>
      <c r="C12" s="214">
        <v>114668448.76000001</v>
      </c>
      <c r="D12" s="214">
        <v>21443451.420000002</v>
      </c>
      <c r="E12" s="214">
        <v>7410033.5</v>
      </c>
      <c r="F12" s="214">
        <v>12576914.82</v>
      </c>
      <c r="G12" s="214">
        <v>21708051.149999999</v>
      </c>
      <c r="H12" s="214">
        <v>8324088.3099999996</v>
      </c>
      <c r="I12" s="214">
        <v>18346908.16</v>
      </c>
      <c r="J12" s="214">
        <v>11801224.41</v>
      </c>
      <c r="K12" s="214">
        <f>SUM(C12:J12)</f>
        <v>216279120.53</v>
      </c>
      <c r="N12" s="214"/>
      <c r="O12" s="294"/>
      <c r="P12" s="293"/>
      <c r="Q12" s="293"/>
      <c r="R12" s="293"/>
      <c r="S12" s="293"/>
      <c r="T12" s="293"/>
      <c r="U12" s="293"/>
      <c r="V12" s="293"/>
      <c r="W12" s="293"/>
      <c r="X12" s="293"/>
    </row>
    <row r="13" spans="1:24" ht="15" x14ac:dyDescent="0.25">
      <c r="A13" s="33" t="s">
        <v>82</v>
      </c>
      <c r="B13" s="214">
        <v>6363</v>
      </c>
      <c r="C13" s="214">
        <v>32092626.800000001</v>
      </c>
      <c r="D13" s="214">
        <v>6053238.7300000004</v>
      </c>
      <c r="E13" s="214">
        <v>3299628.49</v>
      </c>
      <c r="F13" s="214">
        <v>4621778.57</v>
      </c>
      <c r="G13" s="214">
        <v>7893876.8799999999</v>
      </c>
      <c r="H13" s="214">
        <v>4539764.1500000004</v>
      </c>
      <c r="I13" s="214">
        <v>7713574.1100000003</v>
      </c>
      <c r="J13" s="214">
        <v>6131261.2199999997</v>
      </c>
      <c r="K13" s="214">
        <f>SUM(C13:J13)</f>
        <v>72345748.950000003</v>
      </c>
      <c r="N13" s="214"/>
      <c r="O13" s="294"/>
      <c r="P13" s="293"/>
      <c r="Q13" s="293"/>
      <c r="R13" s="293"/>
      <c r="S13" s="293"/>
      <c r="T13" s="293"/>
      <c r="U13" s="293"/>
      <c r="V13" s="293"/>
      <c r="W13" s="293"/>
      <c r="X13" s="293"/>
    </row>
    <row r="14" spans="1:24" ht="15" x14ac:dyDescent="0.25">
      <c r="A14" s="33" t="s">
        <v>83</v>
      </c>
      <c r="B14" s="214">
        <v>4424</v>
      </c>
      <c r="C14" s="214">
        <v>24052863.199999999</v>
      </c>
      <c r="D14" s="214">
        <v>3841117.95</v>
      </c>
      <c r="E14" s="214">
        <v>3014763.36</v>
      </c>
      <c r="F14" s="214">
        <v>3417527.67</v>
      </c>
      <c r="G14" s="214">
        <v>6435083.5199999996</v>
      </c>
      <c r="H14" s="214">
        <v>3949429.36</v>
      </c>
      <c r="I14" s="214">
        <v>5316208.62</v>
      </c>
      <c r="J14" s="214">
        <v>1824947.35</v>
      </c>
      <c r="K14" s="214">
        <f>SUM(C14:J14)</f>
        <v>51851941.030000001</v>
      </c>
      <c r="N14" s="214"/>
      <c r="O14" s="294"/>
      <c r="P14" s="293"/>
      <c r="Q14" s="293"/>
      <c r="R14" s="293"/>
      <c r="S14" s="293"/>
      <c r="T14" s="293"/>
      <c r="U14" s="293"/>
      <c r="V14" s="293"/>
      <c r="W14" s="293"/>
      <c r="X14" s="293"/>
    </row>
    <row r="15" spans="1:24" ht="15" x14ac:dyDescent="0.25">
      <c r="A15" s="33" t="s">
        <v>84</v>
      </c>
      <c r="B15" s="214">
        <v>4952</v>
      </c>
      <c r="C15" s="214">
        <v>30924631.710000001</v>
      </c>
      <c r="D15" s="214">
        <v>3937392.79</v>
      </c>
      <c r="E15" s="214">
        <v>5023517.79</v>
      </c>
      <c r="F15" s="214">
        <v>4109596.49</v>
      </c>
      <c r="G15" s="214">
        <v>8593911.5299999993</v>
      </c>
      <c r="H15" s="214">
        <v>6312489.5599999996</v>
      </c>
      <c r="I15" s="214">
        <v>6017886.8399999999</v>
      </c>
      <c r="J15" s="214">
        <v>3316456.03</v>
      </c>
      <c r="K15" s="214">
        <f>SUM(C15:J15)</f>
        <v>68235882.74000001</v>
      </c>
      <c r="N15" s="214"/>
      <c r="O15" s="294"/>
      <c r="P15" s="293"/>
      <c r="Q15" s="293"/>
      <c r="R15" s="293"/>
      <c r="S15" s="293"/>
      <c r="T15" s="293"/>
      <c r="U15" s="293"/>
      <c r="V15" s="293"/>
      <c r="W15" s="293"/>
      <c r="X15" s="293"/>
    </row>
    <row r="16" spans="1:24" ht="15" x14ac:dyDescent="0.25">
      <c r="A16" s="33" t="s">
        <v>85</v>
      </c>
      <c r="B16" s="220">
        <v>1691</v>
      </c>
      <c r="C16" s="220">
        <v>16082081.57</v>
      </c>
      <c r="D16" s="220">
        <v>1727268.22</v>
      </c>
      <c r="E16" s="220">
        <v>4492540.03</v>
      </c>
      <c r="F16" s="220">
        <v>1032806.51</v>
      </c>
      <c r="G16" s="220">
        <v>4850767.34</v>
      </c>
      <c r="H16" s="220">
        <v>3273173.19</v>
      </c>
      <c r="I16" s="220">
        <v>3589209.5</v>
      </c>
      <c r="J16" s="220">
        <v>2255096.2000000002</v>
      </c>
      <c r="K16" s="220">
        <f>SUM(C16:J16)</f>
        <v>37302942.560000002</v>
      </c>
      <c r="N16" s="214"/>
      <c r="O16" s="294"/>
      <c r="P16" s="293"/>
      <c r="Q16" s="293"/>
      <c r="R16" s="293"/>
      <c r="S16" s="293"/>
      <c r="T16" s="293"/>
      <c r="U16" s="293"/>
      <c r="V16" s="293"/>
      <c r="W16" s="293"/>
      <c r="X16" s="293"/>
    </row>
    <row r="17" spans="1:24" x14ac:dyDescent="0.2">
      <c r="A17" s="182" t="s">
        <v>104</v>
      </c>
      <c r="B17" s="214">
        <f t="shared" ref="B17:K17" si="2">SUM(B12:B16)</f>
        <v>38854</v>
      </c>
      <c r="C17" s="214">
        <f t="shared" si="2"/>
        <v>217820652.03999999</v>
      </c>
      <c r="D17" s="214">
        <f t="shared" si="2"/>
        <v>37002469.109999999</v>
      </c>
      <c r="E17" s="214">
        <f t="shared" si="2"/>
        <v>23240483.170000002</v>
      </c>
      <c r="F17" s="214">
        <f t="shared" si="2"/>
        <v>25758624.060000006</v>
      </c>
      <c r="G17" s="214">
        <f t="shared" si="2"/>
        <v>49481690.420000002</v>
      </c>
      <c r="H17" s="214">
        <f t="shared" si="2"/>
        <v>26398944.57</v>
      </c>
      <c r="I17" s="214">
        <f t="shared" si="2"/>
        <v>40983787.230000004</v>
      </c>
      <c r="J17" s="214">
        <f t="shared" si="2"/>
        <v>25328985.210000001</v>
      </c>
      <c r="K17" s="214">
        <f t="shared" si="2"/>
        <v>446015635.81</v>
      </c>
    </row>
    <row r="18" spans="1:24" x14ac:dyDescent="0.2">
      <c r="A18" s="33"/>
      <c r="B18" s="214"/>
      <c r="C18" s="214"/>
      <c r="D18" s="214"/>
      <c r="E18" s="214"/>
      <c r="F18" s="214"/>
      <c r="G18" s="214"/>
      <c r="H18" s="214"/>
      <c r="I18" s="214"/>
      <c r="J18" s="214"/>
      <c r="K18" s="182"/>
    </row>
    <row r="19" spans="1:24" ht="15" x14ac:dyDescent="0.25">
      <c r="A19" s="33" t="s">
        <v>86</v>
      </c>
      <c r="B19" s="214">
        <v>10244</v>
      </c>
      <c r="C19" s="214">
        <v>55412717.409999996</v>
      </c>
      <c r="D19" s="214">
        <v>5847322.5800000001</v>
      </c>
      <c r="E19" s="214">
        <v>4646861.57</v>
      </c>
      <c r="F19" s="214">
        <v>5585384.9800000004</v>
      </c>
      <c r="G19" s="214">
        <v>9887154.2699999996</v>
      </c>
      <c r="H19" s="214">
        <v>5532598.3200000003</v>
      </c>
      <c r="I19" s="214">
        <v>7705202.2999999998</v>
      </c>
      <c r="J19" s="214">
        <v>12786202.67</v>
      </c>
      <c r="K19" s="214">
        <f>SUM(C19:J19)</f>
        <v>107403444.09999999</v>
      </c>
      <c r="O19" s="294"/>
      <c r="P19" s="293"/>
      <c r="Q19" s="293"/>
      <c r="R19" s="293"/>
      <c r="S19" s="293"/>
      <c r="T19" s="293"/>
      <c r="U19" s="293"/>
      <c r="V19" s="293"/>
      <c r="W19" s="293"/>
      <c r="X19" s="293"/>
    </row>
    <row r="20" spans="1:24" ht="15" x14ac:dyDescent="0.25">
      <c r="A20" s="33" t="s">
        <v>87</v>
      </c>
      <c r="B20" s="233">
        <v>7243</v>
      </c>
      <c r="C20" s="234">
        <v>51274928.130000003</v>
      </c>
      <c r="D20" s="234">
        <v>4130908.04</v>
      </c>
      <c r="E20" s="234">
        <v>9804462.5700000003</v>
      </c>
      <c r="F20" s="234">
        <v>3345397.25</v>
      </c>
      <c r="G20" s="234">
        <v>12334066.869999999</v>
      </c>
      <c r="H20" s="234">
        <v>8051696.1699999999</v>
      </c>
      <c r="I20" s="234">
        <v>9340440.3000000007</v>
      </c>
      <c r="J20" s="220">
        <v>4925661.84</v>
      </c>
      <c r="K20" s="220">
        <f>SUM(C20:J20)</f>
        <v>103207561.17000002</v>
      </c>
      <c r="O20" s="294"/>
      <c r="P20" s="293"/>
      <c r="Q20" s="293"/>
      <c r="R20" s="293"/>
      <c r="S20" s="293"/>
      <c r="T20" s="293"/>
      <c r="U20" s="293"/>
      <c r="V20" s="293"/>
      <c r="W20" s="293"/>
      <c r="X20" s="293"/>
    </row>
    <row r="21" spans="1:24" x14ac:dyDescent="0.2">
      <c r="A21" s="182" t="s">
        <v>105</v>
      </c>
      <c r="B21" s="214">
        <f t="shared" ref="B21:K21" si="3">SUM(B19:B20)</f>
        <v>17487</v>
      </c>
      <c r="C21" s="214">
        <f t="shared" si="3"/>
        <v>106687645.53999999</v>
      </c>
      <c r="D21" s="214">
        <f t="shared" si="3"/>
        <v>9978230.620000001</v>
      </c>
      <c r="E21" s="214">
        <f t="shared" si="3"/>
        <v>14451324.140000001</v>
      </c>
      <c r="F21" s="214">
        <f t="shared" si="3"/>
        <v>8930782.2300000004</v>
      </c>
      <c r="G21" s="214">
        <f t="shared" si="3"/>
        <v>22221221.140000001</v>
      </c>
      <c r="H21" s="214">
        <f t="shared" si="3"/>
        <v>13584294.49</v>
      </c>
      <c r="I21" s="214">
        <f t="shared" si="3"/>
        <v>17045642.600000001</v>
      </c>
      <c r="J21" s="214">
        <f t="shared" si="3"/>
        <v>17711864.509999998</v>
      </c>
      <c r="K21" s="214">
        <f t="shared" si="3"/>
        <v>210611005.27000001</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147705</v>
      </c>
      <c r="C23" s="222">
        <f t="shared" si="4"/>
        <v>831268878.19999981</v>
      </c>
      <c r="D23" s="222">
        <f t="shared" si="4"/>
        <v>141204379.31</v>
      </c>
      <c r="E23" s="222">
        <f t="shared" si="4"/>
        <v>82446173.819999993</v>
      </c>
      <c r="F23" s="222">
        <f t="shared" si="4"/>
        <v>81282670.219999999</v>
      </c>
      <c r="G23" s="222">
        <f t="shared" si="4"/>
        <v>150415535.69</v>
      </c>
      <c r="H23" s="222">
        <f t="shared" si="4"/>
        <v>84587929.129999995</v>
      </c>
      <c r="I23" s="222">
        <f t="shared" si="4"/>
        <v>102372446.59</v>
      </c>
      <c r="J23" s="222">
        <f t="shared" si="4"/>
        <v>82600767.75</v>
      </c>
      <c r="K23" s="222">
        <f t="shared" si="4"/>
        <v>1556178780.71</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1210</v>
      </c>
      <c r="B26" s="22" t="str">
        <f>D1</f>
        <v xml:space="preserve"> FY2013</v>
      </c>
      <c r="C26" s="22"/>
      <c r="D26" s="22"/>
      <c r="E26" s="22"/>
      <c r="F26" s="22"/>
      <c r="G26" s="22"/>
      <c r="H26" s="22"/>
      <c r="I26" s="22"/>
      <c r="J26" s="22"/>
      <c r="K26" s="22"/>
    </row>
    <row r="27" spans="1:24" ht="39" customHeight="1" x14ac:dyDescent="0.2">
      <c r="A27" s="21" t="s">
        <v>245</v>
      </c>
      <c r="B27" s="21" t="str">
        <f>B3</f>
        <v>ANB13</v>
      </c>
      <c r="C27" s="21" t="str">
        <f t="shared" ref="C27:K27" si="5">C3</f>
        <v>13/Pupil Instruction</v>
      </c>
      <c r="D27" s="21" t="str">
        <f t="shared" si="5"/>
        <v>13/Pupil Student Services</v>
      </c>
      <c r="E27" s="21" t="str">
        <f t="shared" si="5"/>
        <v>13/Pupil General Admin</v>
      </c>
      <c r="F27" s="21" t="str">
        <f t="shared" si="5"/>
        <v>13/Pupil Bldg Admin</v>
      </c>
      <c r="G27" s="21" t="str">
        <f t="shared" si="5"/>
        <v>13/Pupil Bldg OM</v>
      </c>
      <c r="H27" s="21" t="str">
        <f t="shared" si="5"/>
        <v>13/Pupil Transport</v>
      </c>
      <c r="I27" s="21" t="str">
        <f t="shared" si="5"/>
        <v>13/Pupil Other</v>
      </c>
      <c r="J27" s="21" t="str">
        <f t="shared" si="5"/>
        <v>13/Pupil Bonds/ Facilities</v>
      </c>
      <c r="K27" s="21" t="str">
        <f t="shared" si="5"/>
        <v>13/Pupil Total</v>
      </c>
    </row>
    <row r="28" spans="1:24" x14ac:dyDescent="0.2">
      <c r="A28" s="182" t="s">
        <v>102</v>
      </c>
      <c r="B28" s="214">
        <f t="shared" ref="B28:B33" si="6">B4</f>
        <v>39033</v>
      </c>
      <c r="C28" s="182">
        <f t="shared" ref="C28:K34" si="7">C4/$B28</f>
        <v>5188.3869966438651</v>
      </c>
      <c r="D28" s="182">
        <f t="shared" si="7"/>
        <v>1197.1491794122921</v>
      </c>
      <c r="E28" s="182">
        <f t="shared" si="7"/>
        <v>296.66621038608355</v>
      </c>
      <c r="F28" s="182">
        <f t="shared" si="7"/>
        <v>492.55255014987324</v>
      </c>
      <c r="G28" s="182">
        <f t="shared" si="7"/>
        <v>698.19406937719361</v>
      </c>
      <c r="H28" s="182">
        <f t="shared" si="7"/>
        <v>399.17927907155484</v>
      </c>
      <c r="I28" s="182">
        <f t="shared" si="7"/>
        <v>306.6455796377424</v>
      </c>
      <c r="J28" s="182">
        <f t="shared" si="7"/>
        <v>290.07436451207951</v>
      </c>
      <c r="K28" s="182">
        <f t="shared" si="7"/>
        <v>8868.8482291906857</v>
      </c>
    </row>
    <row r="29" spans="1:24" ht="15" x14ac:dyDescent="0.25">
      <c r="A29" s="182" t="s">
        <v>76</v>
      </c>
      <c r="B29" s="214">
        <f t="shared" si="6"/>
        <v>20207</v>
      </c>
      <c r="C29" s="182">
        <f t="shared" si="7"/>
        <v>5523.3062468451526</v>
      </c>
      <c r="D29" s="182">
        <f t="shared" si="7"/>
        <v>1154.4495793536892</v>
      </c>
      <c r="E29" s="182">
        <f t="shared" si="7"/>
        <v>366.22356411144654</v>
      </c>
      <c r="F29" s="182">
        <f t="shared" si="7"/>
        <v>564.39825308061563</v>
      </c>
      <c r="G29" s="182">
        <f t="shared" si="7"/>
        <v>887.87427970505269</v>
      </c>
      <c r="H29" s="182">
        <f t="shared" si="7"/>
        <v>474.28032018607411</v>
      </c>
      <c r="I29" s="182">
        <f t="shared" si="7"/>
        <v>491.21321967634975</v>
      </c>
      <c r="J29" s="182">
        <f t="shared" si="7"/>
        <v>618.99731231751366</v>
      </c>
      <c r="K29" s="182">
        <f t="shared" si="7"/>
        <v>10080.742775275894</v>
      </c>
      <c r="O29" s="247"/>
      <c r="P29" s="273"/>
      <c r="Q29" s="273"/>
      <c r="R29" s="273"/>
      <c r="S29" s="273"/>
      <c r="T29" s="273"/>
      <c r="U29" s="273"/>
    </row>
    <row r="30" spans="1:24" ht="15" x14ac:dyDescent="0.25">
      <c r="A30" s="182" t="s">
        <v>77</v>
      </c>
      <c r="B30" s="214">
        <f t="shared" si="6"/>
        <v>12825</v>
      </c>
      <c r="C30" s="182">
        <f t="shared" si="7"/>
        <v>5772.778584795321</v>
      </c>
      <c r="D30" s="182">
        <f t="shared" si="7"/>
        <v>1000.8906916179336</v>
      </c>
      <c r="E30" s="182">
        <f t="shared" si="7"/>
        <v>638.84399220272905</v>
      </c>
      <c r="F30" s="182">
        <f t="shared" si="7"/>
        <v>553.6002307992203</v>
      </c>
      <c r="G30" s="182">
        <f t="shared" si="7"/>
        <v>892.33307680311896</v>
      </c>
      <c r="H30" s="182">
        <f t="shared" si="7"/>
        <v>483.65674697855752</v>
      </c>
      <c r="I30" s="182">
        <f t="shared" si="7"/>
        <v>642.00766705653018</v>
      </c>
      <c r="J30" s="182">
        <f t="shared" si="7"/>
        <v>419.71888810916181</v>
      </c>
      <c r="K30" s="182">
        <f t="shared" si="7"/>
        <v>10403.829878362572</v>
      </c>
      <c r="O30" s="247"/>
      <c r="P30" s="273"/>
      <c r="Q30" s="273"/>
      <c r="R30" s="273"/>
      <c r="S30" s="273"/>
      <c r="T30" s="273"/>
      <c r="U30" s="273"/>
    </row>
    <row r="31" spans="1:24" ht="15" x14ac:dyDescent="0.25">
      <c r="A31" s="182" t="s">
        <v>78</v>
      </c>
      <c r="B31" s="214">
        <f t="shared" si="6"/>
        <v>12640</v>
      </c>
      <c r="C31" s="182">
        <f t="shared" si="7"/>
        <v>5777.2966985759494</v>
      </c>
      <c r="D31" s="182">
        <f t="shared" si="7"/>
        <v>637.94058069620257</v>
      </c>
      <c r="E31" s="182">
        <f t="shared" si="7"/>
        <v>792.94317800632905</v>
      </c>
      <c r="F31" s="182">
        <f t="shared" si="7"/>
        <v>479.26790110759492</v>
      </c>
      <c r="G31" s="182">
        <f t="shared" si="7"/>
        <v>1037.8761392405063</v>
      </c>
      <c r="H31" s="182">
        <f t="shared" si="7"/>
        <v>572.49517405063295</v>
      </c>
      <c r="I31" s="182">
        <f t="shared" si="7"/>
        <v>678.22164952531648</v>
      </c>
      <c r="J31" s="182">
        <f t="shared" si="7"/>
        <v>468.23288686708867</v>
      </c>
      <c r="K31" s="182">
        <f t="shared" si="7"/>
        <v>10444.274208069621</v>
      </c>
      <c r="O31" s="247"/>
      <c r="P31" s="273"/>
      <c r="Q31" s="273"/>
      <c r="R31" s="273"/>
      <c r="S31" s="273"/>
      <c r="T31" s="273"/>
      <c r="U31" s="273"/>
    </row>
    <row r="32" spans="1:24" ht="15" x14ac:dyDescent="0.25">
      <c r="A32" s="182" t="s">
        <v>79</v>
      </c>
      <c r="B32" s="214">
        <f t="shared" si="6"/>
        <v>4985</v>
      </c>
      <c r="C32" s="182">
        <f t="shared" si="7"/>
        <v>6810.1618756268808</v>
      </c>
      <c r="D32" s="182">
        <f t="shared" si="7"/>
        <v>563.70713340020063</v>
      </c>
      <c r="E32" s="182">
        <f t="shared" si="7"/>
        <v>1080.4906038114343</v>
      </c>
      <c r="F32" s="182">
        <f t="shared" si="7"/>
        <v>528.12601604814438</v>
      </c>
      <c r="G32" s="182">
        <f t="shared" si="7"/>
        <v>1285.2815927783352</v>
      </c>
      <c r="H32" s="182">
        <f t="shared" si="7"/>
        <v>904.61405215646937</v>
      </c>
      <c r="I32" s="182">
        <f t="shared" si="7"/>
        <v>971.80898896690064</v>
      </c>
      <c r="J32" s="182">
        <f t="shared" si="7"/>
        <v>764.3340541624874</v>
      </c>
      <c r="K32" s="182">
        <f t="shared" si="7"/>
        <v>12908.524316950852</v>
      </c>
      <c r="O32" s="247"/>
      <c r="P32" s="273"/>
      <c r="Q32" s="273"/>
      <c r="R32" s="273"/>
      <c r="S32" s="273"/>
      <c r="T32" s="273"/>
      <c r="U32" s="273"/>
    </row>
    <row r="33" spans="1:21" ht="15" x14ac:dyDescent="0.25">
      <c r="A33" s="182" t="s">
        <v>80</v>
      </c>
      <c r="B33" s="220">
        <f t="shared" si="6"/>
        <v>1674</v>
      </c>
      <c r="C33" s="183">
        <f t="shared" si="7"/>
        <v>6943.398494623656</v>
      </c>
      <c r="D33" s="183">
        <f t="shared" si="7"/>
        <v>273.19049581839903</v>
      </c>
      <c r="E33" s="183">
        <f t="shared" si="7"/>
        <v>1297.5466726403822</v>
      </c>
      <c r="F33" s="183">
        <f t="shared" si="7"/>
        <v>102.80007168458782</v>
      </c>
      <c r="G33" s="183">
        <f t="shared" si="7"/>
        <v>1522.5117084826763</v>
      </c>
      <c r="H33" s="183">
        <f t="shared" si="7"/>
        <v>890.68399641577059</v>
      </c>
      <c r="I33" s="183">
        <f t="shared" si="7"/>
        <v>476.00748506571091</v>
      </c>
      <c r="J33" s="183">
        <f t="shared" si="7"/>
        <v>369.05793309438468</v>
      </c>
      <c r="K33" s="183">
        <f t="shared" si="7"/>
        <v>11875.196857825571</v>
      </c>
      <c r="O33" s="247"/>
      <c r="P33" s="273"/>
      <c r="Q33" s="273"/>
      <c r="R33" s="273"/>
      <c r="S33" s="273"/>
      <c r="T33" s="273"/>
      <c r="U33" s="273"/>
    </row>
    <row r="34" spans="1:21" ht="15" x14ac:dyDescent="0.25">
      <c r="A34" s="182" t="s">
        <v>219</v>
      </c>
      <c r="B34" s="214">
        <f>SUM(B28:B33)</f>
        <v>91364</v>
      </c>
      <c r="C34" s="182">
        <f t="shared" si="7"/>
        <v>5546.6111446521591</v>
      </c>
      <c r="D34" s="182">
        <f t="shared" si="7"/>
        <v>1031.2998509259664</v>
      </c>
      <c r="E34" s="182">
        <f t="shared" si="7"/>
        <v>489.84683803248544</v>
      </c>
      <c r="F34" s="182">
        <f t="shared" si="7"/>
        <v>509.97399336719059</v>
      </c>
      <c r="G34" s="182">
        <f t="shared" si="7"/>
        <v>861.52778041679426</v>
      </c>
      <c r="H34" s="182">
        <f t="shared" si="7"/>
        <v>488.20859496081607</v>
      </c>
      <c r="I34" s="182">
        <f t="shared" si="7"/>
        <v>485.34452038001837</v>
      </c>
      <c r="J34" s="182">
        <f t="shared" si="7"/>
        <v>432.99240433868914</v>
      </c>
      <c r="K34" s="182">
        <f t="shared" si="7"/>
        <v>9845.8051270741216</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21424</v>
      </c>
      <c r="C36" s="182">
        <f t="shared" ref="C36:K41" si="8">C12/$B36</f>
        <v>5352.3361071695299</v>
      </c>
      <c r="D36" s="182">
        <f t="shared" si="8"/>
        <v>1000.9079266243466</v>
      </c>
      <c r="E36" s="182">
        <f t="shared" si="8"/>
        <v>345.87535007468261</v>
      </c>
      <c r="F36" s="182">
        <f t="shared" si="8"/>
        <v>587.04792849141154</v>
      </c>
      <c r="G36" s="182">
        <f t="shared" si="8"/>
        <v>1013.258548823749</v>
      </c>
      <c r="H36" s="182">
        <f t="shared" si="8"/>
        <v>388.54034307318892</v>
      </c>
      <c r="I36" s="182">
        <f t="shared" si="8"/>
        <v>856.37174010455567</v>
      </c>
      <c r="J36" s="182">
        <f t="shared" si="8"/>
        <v>550.84131861463777</v>
      </c>
      <c r="K36" s="182">
        <f t="shared" si="8"/>
        <v>10095.179262976102</v>
      </c>
      <c r="O36" s="247"/>
      <c r="P36" s="273"/>
      <c r="Q36" s="273"/>
      <c r="R36" s="273"/>
      <c r="S36" s="273"/>
      <c r="T36" s="273"/>
      <c r="U36" s="273"/>
    </row>
    <row r="37" spans="1:21" ht="15" x14ac:dyDescent="0.25">
      <c r="A37" s="182" t="s">
        <v>82</v>
      </c>
      <c r="B37" s="214">
        <f>B13</f>
        <v>6363</v>
      </c>
      <c r="C37" s="182">
        <f t="shared" si="8"/>
        <v>5043.6314317145998</v>
      </c>
      <c r="D37" s="182">
        <f t="shared" si="8"/>
        <v>951.31836083608368</v>
      </c>
      <c r="E37" s="182">
        <f t="shared" si="8"/>
        <v>518.56490491906334</v>
      </c>
      <c r="F37" s="182">
        <f t="shared" si="8"/>
        <v>726.35212478390702</v>
      </c>
      <c r="G37" s="182">
        <f t="shared" si="8"/>
        <v>1240.5904258997327</v>
      </c>
      <c r="H37" s="182">
        <f t="shared" si="8"/>
        <v>713.46285557127146</v>
      </c>
      <c r="I37" s="182">
        <f t="shared" si="8"/>
        <v>1212.2542998585573</v>
      </c>
      <c r="J37" s="182">
        <f t="shared" si="8"/>
        <v>963.58026402640257</v>
      </c>
      <c r="K37" s="182">
        <f t="shared" si="8"/>
        <v>11369.754667609619</v>
      </c>
      <c r="O37" s="247"/>
      <c r="P37" s="273"/>
      <c r="Q37" s="273"/>
      <c r="R37" s="273"/>
      <c r="S37" s="273"/>
      <c r="T37" s="273"/>
      <c r="U37" s="273"/>
    </row>
    <row r="38" spans="1:21" ht="15" x14ac:dyDescent="0.25">
      <c r="A38" s="182" t="s">
        <v>83</v>
      </c>
      <c r="B38" s="214">
        <f>B14</f>
        <v>4424</v>
      </c>
      <c r="C38" s="182">
        <f t="shared" si="8"/>
        <v>5436.9039783001808</v>
      </c>
      <c r="D38" s="182">
        <f t="shared" si="8"/>
        <v>868.24546790235081</v>
      </c>
      <c r="E38" s="182">
        <f t="shared" si="8"/>
        <v>681.45645569620251</v>
      </c>
      <c r="F38" s="182">
        <f t="shared" si="8"/>
        <v>772.49721292947561</v>
      </c>
      <c r="G38" s="182">
        <f t="shared" si="8"/>
        <v>1454.5848824593127</v>
      </c>
      <c r="H38" s="182">
        <f t="shared" si="8"/>
        <v>892.72815551537064</v>
      </c>
      <c r="I38" s="182">
        <f t="shared" si="8"/>
        <v>1201.6746428571428</v>
      </c>
      <c r="J38" s="182">
        <f t="shared" si="8"/>
        <v>412.51070298372514</v>
      </c>
      <c r="K38" s="182">
        <f t="shared" si="8"/>
        <v>11720.601498643762</v>
      </c>
      <c r="O38" s="247"/>
      <c r="P38" s="273"/>
      <c r="Q38" s="273"/>
      <c r="R38" s="273"/>
      <c r="S38" s="273"/>
      <c r="T38" s="273"/>
      <c r="U38" s="273"/>
    </row>
    <row r="39" spans="1:21" ht="15" x14ac:dyDescent="0.25">
      <c r="A39" s="182" t="s">
        <v>84</v>
      </c>
      <c r="B39" s="214">
        <f>B15</f>
        <v>4952</v>
      </c>
      <c r="C39" s="182">
        <f t="shared" si="8"/>
        <v>6244.8771627625201</v>
      </c>
      <c r="D39" s="182">
        <f t="shared" si="8"/>
        <v>795.11162964458811</v>
      </c>
      <c r="E39" s="182">
        <f t="shared" si="8"/>
        <v>1014.4422031502423</v>
      </c>
      <c r="F39" s="182">
        <f t="shared" si="8"/>
        <v>829.88620557350566</v>
      </c>
      <c r="G39" s="182">
        <f t="shared" si="8"/>
        <v>1735.4425545234246</v>
      </c>
      <c r="H39" s="182">
        <f t="shared" si="8"/>
        <v>1274.7353715670436</v>
      </c>
      <c r="I39" s="182">
        <f t="shared" si="8"/>
        <v>1215.2437075928917</v>
      </c>
      <c r="J39" s="182">
        <f t="shared" si="8"/>
        <v>669.72052302100155</v>
      </c>
      <c r="K39" s="182">
        <f t="shared" si="8"/>
        <v>13779.45935783522</v>
      </c>
      <c r="O39" s="247"/>
      <c r="P39" s="273"/>
      <c r="Q39" s="273"/>
      <c r="R39" s="273"/>
      <c r="S39" s="273"/>
      <c r="T39" s="273"/>
      <c r="U39" s="273"/>
    </row>
    <row r="40" spans="1:21" ht="15" x14ac:dyDescent="0.25">
      <c r="A40" s="182" t="s">
        <v>85</v>
      </c>
      <c r="B40" s="220">
        <f>B16</f>
        <v>1691</v>
      </c>
      <c r="C40" s="183">
        <f t="shared" si="8"/>
        <v>9510.3971437019518</v>
      </c>
      <c r="D40" s="183">
        <f t="shared" si="8"/>
        <v>1021.4477942046126</v>
      </c>
      <c r="E40" s="183">
        <f t="shared" si="8"/>
        <v>2656.735677114134</v>
      </c>
      <c r="F40" s="183">
        <f t="shared" si="8"/>
        <v>610.76671200473095</v>
      </c>
      <c r="G40" s="183">
        <f t="shared" si="8"/>
        <v>2868.5791484328797</v>
      </c>
      <c r="H40" s="183">
        <f t="shared" si="8"/>
        <v>1935.6435186280307</v>
      </c>
      <c r="I40" s="183">
        <f t="shared" si="8"/>
        <v>2122.5366646954467</v>
      </c>
      <c r="J40" s="183">
        <f t="shared" si="8"/>
        <v>1333.5873447664105</v>
      </c>
      <c r="K40" s="183">
        <f t="shared" si="8"/>
        <v>22059.694003548197</v>
      </c>
      <c r="O40" s="247"/>
      <c r="P40" s="273"/>
      <c r="Q40" s="273"/>
      <c r="R40" s="273"/>
      <c r="S40" s="273"/>
      <c r="T40" s="273"/>
      <c r="U40" s="273"/>
    </row>
    <row r="41" spans="1:21" ht="15" x14ac:dyDescent="0.25">
      <c r="A41" s="182" t="s">
        <v>220</v>
      </c>
      <c r="B41" s="214">
        <f>SUM(B36:B40)</f>
        <v>38854</v>
      </c>
      <c r="C41" s="182">
        <f t="shared" si="8"/>
        <v>5606.1319822926853</v>
      </c>
      <c r="D41" s="182">
        <f t="shared" si="8"/>
        <v>952.34645364698611</v>
      </c>
      <c r="E41" s="182">
        <f t="shared" si="8"/>
        <v>598.14904951871108</v>
      </c>
      <c r="F41" s="182">
        <f t="shared" si="8"/>
        <v>662.95938796520318</v>
      </c>
      <c r="G41" s="182">
        <f t="shared" si="8"/>
        <v>1273.528862407989</v>
      </c>
      <c r="H41" s="182">
        <f t="shared" si="8"/>
        <v>679.43955757450976</v>
      </c>
      <c r="I41" s="182">
        <f t="shared" si="8"/>
        <v>1054.815134349102</v>
      </c>
      <c r="J41" s="182">
        <f t="shared" si="8"/>
        <v>651.90161141709996</v>
      </c>
      <c r="K41" s="182">
        <f t="shared" si="8"/>
        <v>11479.272039172287</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10244</v>
      </c>
      <c r="C43" s="182">
        <f t="shared" ref="C43:K45" si="9">C19/$B43</f>
        <v>5409.2851825458802</v>
      </c>
      <c r="D43" s="182">
        <f t="shared" si="9"/>
        <v>570.80462514642716</v>
      </c>
      <c r="E43" s="182">
        <f t="shared" si="9"/>
        <v>453.6178807106599</v>
      </c>
      <c r="F43" s="182">
        <f t="shared" si="9"/>
        <v>545.23476962124175</v>
      </c>
      <c r="G43" s="182">
        <f t="shared" si="9"/>
        <v>965.16539144865283</v>
      </c>
      <c r="H43" s="182">
        <f t="shared" si="9"/>
        <v>540.08183522061699</v>
      </c>
      <c r="I43" s="182">
        <f t="shared" si="9"/>
        <v>752.16734673955489</v>
      </c>
      <c r="J43" s="182">
        <f t="shared" si="9"/>
        <v>1248.1650400234284</v>
      </c>
      <c r="K43" s="182">
        <f t="shared" si="9"/>
        <v>10484.522071456462</v>
      </c>
    </row>
    <row r="44" spans="1:21" x14ac:dyDescent="0.2">
      <c r="A44" s="182" t="s">
        <v>87</v>
      </c>
      <c r="B44" s="220">
        <f>B20</f>
        <v>7243</v>
      </c>
      <c r="C44" s="183">
        <f t="shared" si="9"/>
        <v>7079.2390073174101</v>
      </c>
      <c r="D44" s="183">
        <f t="shared" si="9"/>
        <v>570.33108380505314</v>
      </c>
      <c r="E44" s="183">
        <f t="shared" si="9"/>
        <v>1353.64663399144</v>
      </c>
      <c r="F44" s="183">
        <f t="shared" si="9"/>
        <v>461.88005660637856</v>
      </c>
      <c r="G44" s="183">
        <f t="shared" si="9"/>
        <v>1702.8947770260941</v>
      </c>
      <c r="H44" s="183">
        <f t="shared" si="9"/>
        <v>1111.6521013392241</v>
      </c>
      <c r="I44" s="183">
        <f t="shared" si="9"/>
        <v>1289.5817064752175</v>
      </c>
      <c r="J44" s="183">
        <f t="shared" si="9"/>
        <v>680.05824106033413</v>
      </c>
      <c r="K44" s="183">
        <f t="shared" si="9"/>
        <v>14249.283607621153</v>
      </c>
    </row>
    <row r="45" spans="1:21" x14ac:dyDescent="0.2">
      <c r="A45" s="182" t="s">
        <v>221</v>
      </c>
      <c r="B45" s="214">
        <f>SUM(B43:B44)</f>
        <v>17487</v>
      </c>
      <c r="C45" s="182">
        <f t="shared" si="9"/>
        <v>6100.96903642706</v>
      </c>
      <c r="D45" s="182">
        <f t="shared" si="9"/>
        <v>570.60848744781845</v>
      </c>
      <c r="E45" s="182">
        <f t="shared" si="9"/>
        <v>826.40385086063941</v>
      </c>
      <c r="F45" s="182">
        <f t="shared" si="9"/>
        <v>510.70979756390466</v>
      </c>
      <c r="G45" s="182">
        <f t="shared" si="9"/>
        <v>1270.728034539944</v>
      </c>
      <c r="H45" s="182">
        <f t="shared" si="9"/>
        <v>776.82246754732091</v>
      </c>
      <c r="I45" s="182">
        <f t="shared" si="9"/>
        <v>974.76082804368968</v>
      </c>
      <c r="J45" s="182">
        <f t="shared" si="9"/>
        <v>1012.8589529364669</v>
      </c>
      <c r="K45" s="182">
        <f t="shared" si="9"/>
        <v>12043.861455366845</v>
      </c>
    </row>
    <row r="46" spans="1:21" x14ac:dyDescent="0.2">
      <c r="A46" s="182"/>
      <c r="B46" s="214"/>
      <c r="C46" s="182"/>
      <c r="D46" s="182"/>
      <c r="E46" s="182"/>
      <c r="F46" s="182"/>
      <c r="G46" s="182"/>
      <c r="H46" s="182"/>
      <c r="I46" s="182"/>
      <c r="J46" s="182"/>
      <c r="K46" s="182"/>
    </row>
    <row r="47" spans="1:21" ht="13.5" thickBot="1" x14ac:dyDescent="0.25">
      <c r="A47" s="182" t="s">
        <v>222</v>
      </c>
      <c r="B47" s="222">
        <f>B45+B41+B34</f>
        <v>147705</v>
      </c>
      <c r="C47" s="222">
        <f t="shared" ref="C47:K47" si="10">C23/$B47</f>
        <v>5627.8993818760355</v>
      </c>
      <c r="D47" s="222">
        <f t="shared" si="10"/>
        <v>955.98916292610272</v>
      </c>
      <c r="E47" s="222">
        <f t="shared" si="10"/>
        <v>558.18133319792821</v>
      </c>
      <c r="F47" s="222">
        <f t="shared" si="10"/>
        <v>550.30412118750212</v>
      </c>
      <c r="G47" s="222">
        <f t="shared" si="10"/>
        <v>1018.3510083612606</v>
      </c>
      <c r="H47" s="222">
        <f t="shared" si="10"/>
        <v>572.68155532988044</v>
      </c>
      <c r="I47" s="222">
        <f t="shared" si="10"/>
        <v>693.08721160421112</v>
      </c>
      <c r="J47" s="222">
        <f t="shared" si="10"/>
        <v>559.2279729866965</v>
      </c>
      <c r="K47" s="192">
        <f t="shared" si="10"/>
        <v>10535.721747469619</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1211</v>
      </c>
      <c r="B50" s="182"/>
      <c r="C50" s="22" t="str">
        <f>D1</f>
        <v xml:space="preserve"> FY2013</v>
      </c>
      <c r="D50" s="182"/>
      <c r="E50" s="182"/>
      <c r="F50" s="182"/>
      <c r="G50" s="182"/>
      <c r="H50" s="182"/>
      <c r="I50" s="182"/>
      <c r="J50" s="182"/>
      <c r="K50" s="182"/>
    </row>
    <row r="51" spans="1:11" ht="40.5" customHeight="1" x14ac:dyDescent="0.2">
      <c r="A51" s="21" t="s">
        <v>1207</v>
      </c>
      <c r="B51" s="21" t="str">
        <f>B3</f>
        <v>ANB13</v>
      </c>
      <c r="C51" s="21" t="str">
        <f t="shared" ref="C51:K51" si="11">C3</f>
        <v>13/Pupil Instruction</v>
      </c>
      <c r="D51" s="21" t="str">
        <f t="shared" si="11"/>
        <v>13/Pupil Student Services</v>
      </c>
      <c r="E51" s="21" t="str">
        <f t="shared" si="11"/>
        <v>13/Pupil General Admin</v>
      </c>
      <c r="F51" s="21" t="str">
        <f t="shared" si="11"/>
        <v>13/Pupil Bldg Admin</v>
      </c>
      <c r="G51" s="21" t="str">
        <f t="shared" si="11"/>
        <v>13/Pupil Bldg OM</v>
      </c>
      <c r="H51" s="21" t="str">
        <f t="shared" si="11"/>
        <v>13/Pupil Transport</v>
      </c>
      <c r="I51" s="21" t="str">
        <f t="shared" si="11"/>
        <v>13/Pupil Other</v>
      </c>
      <c r="J51" s="21" t="str">
        <f t="shared" si="11"/>
        <v>13/Pupil Bonds/ Facilities</v>
      </c>
      <c r="K51" s="21" t="str">
        <f t="shared" si="11"/>
        <v>13/Pupil Total</v>
      </c>
    </row>
    <row r="52" spans="1:11" x14ac:dyDescent="0.2">
      <c r="A52" s="182" t="s">
        <v>102</v>
      </c>
      <c r="B52" s="214">
        <f t="shared" ref="B52:B57" si="12">B4</f>
        <v>39033</v>
      </c>
      <c r="C52" s="191">
        <f t="shared" ref="C52:K58" si="13">C28/$K28</f>
        <v>0.58501249120116294</v>
      </c>
      <c r="D52" s="191">
        <f t="shared" si="13"/>
        <v>0.13498361325792316</v>
      </c>
      <c r="E52" s="191">
        <f t="shared" si="13"/>
        <v>3.3450364998878261E-2</v>
      </c>
      <c r="F52" s="191">
        <f t="shared" si="13"/>
        <v>5.5537375025620485E-2</v>
      </c>
      <c r="G52" s="191">
        <f t="shared" si="13"/>
        <v>7.8724322632918287E-2</v>
      </c>
      <c r="H52" s="191">
        <f t="shared" si="13"/>
        <v>4.5009145354151743E-2</v>
      </c>
      <c r="I52" s="191">
        <f t="shared" si="13"/>
        <v>3.457558092249876E-2</v>
      </c>
      <c r="J52" s="191">
        <f t="shared" si="13"/>
        <v>3.2707106606846267E-2</v>
      </c>
      <c r="K52" s="191">
        <f t="shared" si="13"/>
        <v>1</v>
      </c>
    </row>
    <row r="53" spans="1:11" x14ac:dyDescent="0.2">
      <c r="A53" s="182" t="s">
        <v>76</v>
      </c>
      <c r="B53" s="214">
        <f t="shared" si="12"/>
        <v>20207</v>
      </c>
      <c r="C53" s="191">
        <f t="shared" si="13"/>
        <v>0.54790667413830407</v>
      </c>
      <c r="D53" s="191">
        <f t="shared" si="13"/>
        <v>0.11452028933672437</v>
      </c>
      <c r="E53" s="191">
        <f t="shared" si="13"/>
        <v>3.6329025774732515E-2</v>
      </c>
      <c r="F53" s="191">
        <f t="shared" si="13"/>
        <v>5.5987764558863964E-2</v>
      </c>
      <c r="G53" s="191">
        <f t="shared" si="13"/>
        <v>8.8076275677091961E-2</v>
      </c>
      <c r="H53" s="191">
        <f t="shared" si="13"/>
        <v>4.7048152180739856E-2</v>
      </c>
      <c r="I53" s="191">
        <f t="shared" si="13"/>
        <v>4.872787954485884E-2</v>
      </c>
      <c r="J53" s="191">
        <f t="shared" si="13"/>
        <v>6.1403938788684415E-2</v>
      </c>
      <c r="K53" s="191">
        <f t="shared" si="13"/>
        <v>1</v>
      </c>
    </row>
    <row r="54" spans="1:11" x14ac:dyDescent="0.2">
      <c r="A54" s="182" t="s">
        <v>77</v>
      </c>
      <c r="B54" s="214">
        <f t="shared" si="12"/>
        <v>12825</v>
      </c>
      <c r="C54" s="191">
        <f t="shared" si="13"/>
        <v>0.55487052866957121</v>
      </c>
      <c r="D54" s="191">
        <f t="shared" si="13"/>
        <v>9.6204061708039079E-2</v>
      </c>
      <c r="E54" s="191">
        <f t="shared" si="13"/>
        <v>6.140469420125455E-2</v>
      </c>
      <c r="F54" s="191">
        <f t="shared" si="13"/>
        <v>5.3211195999136214E-2</v>
      </c>
      <c r="G54" s="191">
        <f t="shared" si="13"/>
        <v>8.5769672056917615E-2</v>
      </c>
      <c r="H54" s="191">
        <f t="shared" si="13"/>
        <v>4.648833675995083E-2</v>
      </c>
      <c r="I54" s="191">
        <f t="shared" si="13"/>
        <v>6.1708781723906259E-2</v>
      </c>
      <c r="J54" s="191">
        <f t="shared" si="13"/>
        <v>4.0342728881224275E-2</v>
      </c>
      <c r="K54" s="191">
        <f t="shared" si="13"/>
        <v>1</v>
      </c>
    </row>
    <row r="55" spans="1:11" x14ac:dyDescent="0.2">
      <c r="A55" s="182" t="s">
        <v>78</v>
      </c>
      <c r="B55" s="214">
        <f t="shared" si="12"/>
        <v>12640</v>
      </c>
      <c r="C55" s="191">
        <f t="shared" si="13"/>
        <v>0.55315444457712559</v>
      </c>
      <c r="D55" s="191">
        <f t="shared" si="13"/>
        <v>6.1080412864237786E-2</v>
      </c>
      <c r="E55" s="191">
        <f t="shared" si="13"/>
        <v>7.5921328970247906E-2</v>
      </c>
      <c r="F55" s="191">
        <f t="shared" si="13"/>
        <v>4.5888100174284525E-2</v>
      </c>
      <c r="G55" s="191">
        <f t="shared" si="13"/>
        <v>9.9372739413391309E-2</v>
      </c>
      <c r="H55" s="191">
        <f t="shared" si="13"/>
        <v>5.4814261158358198E-2</v>
      </c>
      <c r="I55" s="191">
        <f t="shared" si="13"/>
        <v>6.4937173805844559E-2</v>
      </c>
      <c r="J55" s="191">
        <f t="shared" si="13"/>
        <v>4.4831539036510083E-2</v>
      </c>
      <c r="K55" s="191">
        <f t="shared" si="13"/>
        <v>1</v>
      </c>
    </row>
    <row r="56" spans="1:11" x14ac:dyDescent="0.2">
      <c r="A56" s="182" t="s">
        <v>79</v>
      </c>
      <c r="B56" s="214">
        <f t="shared" si="12"/>
        <v>4985</v>
      </c>
      <c r="C56" s="191">
        <f t="shared" si="13"/>
        <v>0.52757090651207161</v>
      </c>
      <c r="D56" s="191">
        <f t="shared" si="13"/>
        <v>4.3669370685537431E-2</v>
      </c>
      <c r="E56" s="191">
        <f t="shared" si="13"/>
        <v>8.3703650183513709E-2</v>
      </c>
      <c r="F56" s="191">
        <f t="shared" si="13"/>
        <v>4.0912965965802517E-2</v>
      </c>
      <c r="G56" s="191">
        <f t="shared" si="13"/>
        <v>9.9568437198554544E-2</v>
      </c>
      <c r="H56" s="191">
        <f t="shared" si="13"/>
        <v>7.0078812259630155E-2</v>
      </c>
      <c r="I56" s="191">
        <f t="shared" si="13"/>
        <v>7.5284282316512963E-2</v>
      </c>
      <c r="J56" s="191">
        <f t="shared" si="13"/>
        <v>5.9211574878377131E-2</v>
      </c>
      <c r="K56" s="191">
        <f t="shared" si="13"/>
        <v>1</v>
      </c>
    </row>
    <row r="57" spans="1:11" x14ac:dyDescent="0.2">
      <c r="A57" s="182" t="s">
        <v>80</v>
      </c>
      <c r="B57" s="220">
        <f t="shared" si="12"/>
        <v>1674</v>
      </c>
      <c r="C57" s="193">
        <f t="shared" si="13"/>
        <v>0.58469754882825908</v>
      </c>
      <c r="D57" s="193">
        <f t="shared" si="13"/>
        <v>2.3005134069703503E-2</v>
      </c>
      <c r="E57" s="193">
        <f t="shared" si="13"/>
        <v>0.10926527687710028</v>
      </c>
      <c r="F57" s="193">
        <f t="shared" si="13"/>
        <v>8.6567046353294066E-3</v>
      </c>
      <c r="G57" s="193">
        <f t="shared" si="13"/>
        <v>0.12820938690202552</v>
      </c>
      <c r="H57" s="193">
        <f t="shared" si="13"/>
        <v>7.5003724744893266E-2</v>
      </c>
      <c r="I57" s="193">
        <f t="shared" si="13"/>
        <v>4.0084176352161216E-2</v>
      </c>
      <c r="J57" s="193">
        <f t="shared" si="13"/>
        <v>3.1078047590527413E-2</v>
      </c>
      <c r="K57" s="193">
        <f t="shared" si="13"/>
        <v>1</v>
      </c>
    </row>
    <row r="58" spans="1:11" x14ac:dyDescent="0.2">
      <c r="A58" s="182" t="s">
        <v>219</v>
      </c>
      <c r="B58" s="214">
        <f>SUM(B52:B57)</f>
        <v>91364</v>
      </c>
      <c r="C58" s="191">
        <f t="shared" si="13"/>
        <v>0.56334764633925327</v>
      </c>
      <c r="D58" s="191">
        <f t="shared" si="13"/>
        <v>0.10474510084402187</v>
      </c>
      <c r="E58" s="191">
        <f t="shared" si="13"/>
        <v>4.9751831537422804E-2</v>
      </c>
      <c r="F58" s="191">
        <f t="shared" si="13"/>
        <v>5.1796068151385356E-2</v>
      </c>
      <c r="G58" s="191">
        <f t="shared" si="13"/>
        <v>8.7502014238302769E-2</v>
      </c>
      <c r="H58" s="191">
        <f t="shared" si="13"/>
        <v>4.9585441582459699E-2</v>
      </c>
      <c r="I58" s="191">
        <f t="shared" si="13"/>
        <v>4.9294548705357953E-2</v>
      </c>
      <c r="J58" s="191">
        <f t="shared" si="13"/>
        <v>4.3977348601796015E-2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21424</v>
      </c>
      <c r="C60" s="191">
        <f t="shared" ref="C60:K65" si="14">C36/$K36</f>
        <v>0.53018732681638758</v>
      </c>
      <c r="D60" s="191">
        <f t="shared" si="14"/>
        <v>9.9147117703512144E-2</v>
      </c>
      <c r="E60" s="191">
        <f t="shared" si="14"/>
        <v>3.4261437173599738E-2</v>
      </c>
      <c r="F60" s="191">
        <f t="shared" si="14"/>
        <v>5.8151312938483399E-2</v>
      </c>
      <c r="G60" s="191">
        <f t="shared" si="14"/>
        <v>0.10037053552281706</v>
      </c>
      <c r="H60" s="191">
        <f t="shared" si="14"/>
        <v>3.8487711109613874E-2</v>
      </c>
      <c r="I60" s="191">
        <f t="shared" si="14"/>
        <v>8.4829770506927443E-2</v>
      </c>
      <c r="J60" s="191">
        <f t="shared" si="14"/>
        <v>5.4564788228658692E-2</v>
      </c>
      <c r="K60" s="191">
        <f t="shared" si="14"/>
        <v>1</v>
      </c>
    </row>
    <row r="61" spans="1:11" x14ac:dyDescent="0.2">
      <c r="A61" s="182" t="s">
        <v>82</v>
      </c>
      <c r="B61" s="214">
        <f>B37</f>
        <v>6363</v>
      </c>
      <c r="C61" s="191">
        <f t="shared" si="14"/>
        <v>0.44360072659113714</v>
      </c>
      <c r="D61" s="191">
        <f t="shared" si="14"/>
        <v>8.3670966405829161E-2</v>
      </c>
      <c r="E61" s="191">
        <f t="shared" si="14"/>
        <v>4.5609155173449892E-2</v>
      </c>
      <c r="F61" s="191">
        <f t="shared" si="14"/>
        <v>6.3884590830543889E-2</v>
      </c>
      <c r="G61" s="191">
        <f t="shared" si="14"/>
        <v>0.10911320975411644</v>
      </c>
      <c r="H61" s="191">
        <f t="shared" si="14"/>
        <v>6.2750945506660619E-2</v>
      </c>
      <c r="I61" s="191">
        <f t="shared" si="14"/>
        <v>0.10662097250981599</v>
      </c>
      <c r="J61" s="191">
        <f t="shared" si="14"/>
        <v>8.4749433228446788E-2</v>
      </c>
      <c r="K61" s="191">
        <f t="shared" si="14"/>
        <v>1</v>
      </c>
    </row>
    <row r="62" spans="1:11" x14ac:dyDescent="0.2">
      <c r="A62" s="182" t="s">
        <v>83</v>
      </c>
      <c r="B62" s="214">
        <f>B38</f>
        <v>4424</v>
      </c>
      <c r="C62" s="191">
        <f t="shared" si="14"/>
        <v>0.46387584962506462</v>
      </c>
      <c r="D62" s="191">
        <f t="shared" si="14"/>
        <v>7.4078575916331504E-2</v>
      </c>
      <c r="E62" s="191">
        <f t="shared" si="14"/>
        <v>5.8141764804055196E-2</v>
      </c>
      <c r="F62" s="191">
        <f t="shared" si="14"/>
        <v>6.5909348852007665E-2</v>
      </c>
      <c r="G62" s="191">
        <f t="shared" si="14"/>
        <v>0.12410496872772515</v>
      </c>
      <c r="H62" s="191">
        <f t="shared" si="14"/>
        <v>7.616743523091983E-2</v>
      </c>
      <c r="I62" s="191">
        <f t="shared" si="14"/>
        <v>0.10252670419655453</v>
      </c>
      <c r="J62" s="191">
        <f t="shared" si="14"/>
        <v>3.5195352647341388E-2</v>
      </c>
      <c r="K62" s="191">
        <f t="shared" si="14"/>
        <v>1</v>
      </c>
    </row>
    <row r="63" spans="1:11" x14ac:dyDescent="0.2">
      <c r="A63" s="182" t="s">
        <v>84</v>
      </c>
      <c r="B63" s="214">
        <f>B39</f>
        <v>4952</v>
      </c>
      <c r="C63" s="191">
        <f t="shared" si="14"/>
        <v>0.45320190005942312</v>
      </c>
      <c r="D63" s="191">
        <f t="shared" si="14"/>
        <v>5.7702672434131096E-2</v>
      </c>
      <c r="E63" s="191">
        <f t="shared" si="14"/>
        <v>7.3619884264429752E-2</v>
      </c>
      <c r="F63" s="191">
        <f t="shared" si="14"/>
        <v>6.022632557797844E-2</v>
      </c>
      <c r="G63" s="191">
        <f t="shared" si="14"/>
        <v>0.12594416874103442</v>
      </c>
      <c r="H63" s="191">
        <f t="shared" si="14"/>
        <v>9.2509824838824958E-2</v>
      </c>
      <c r="I63" s="191">
        <f t="shared" si="14"/>
        <v>8.8192408427249708E-2</v>
      </c>
      <c r="J63" s="191">
        <f t="shared" si="14"/>
        <v>4.8602815656928353E-2</v>
      </c>
      <c r="K63" s="191">
        <f t="shared" si="14"/>
        <v>1</v>
      </c>
    </row>
    <row r="64" spans="1:11" x14ac:dyDescent="0.2">
      <c r="A64" s="182" t="s">
        <v>85</v>
      </c>
      <c r="B64" s="220">
        <f>B40</f>
        <v>1691</v>
      </c>
      <c r="C64" s="193">
        <f t="shared" si="14"/>
        <v>0.43112099116933578</v>
      </c>
      <c r="D64" s="193">
        <f t="shared" si="14"/>
        <v>4.6303806119899829E-2</v>
      </c>
      <c r="E64" s="193">
        <f t="shared" si="14"/>
        <v>0.12043393152628548</v>
      </c>
      <c r="F64" s="193">
        <f t="shared" si="14"/>
        <v>2.7686998373889139E-2</v>
      </c>
      <c r="G64" s="193">
        <f t="shared" si="14"/>
        <v>0.13003712326977349</v>
      </c>
      <c r="H64" s="193">
        <f t="shared" si="14"/>
        <v>8.7745710267635252E-2</v>
      </c>
      <c r="I64" s="193">
        <f t="shared" si="14"/>
        <v>9.6217865232130911E-2</v>
      </c>
      <c r="J64" s="193">
        <f t="shared" si="14"/>
        <v>6.0453574041050132E-2</v>
      </c>
      <c r="K64" s="193">
        <f t="shared" si="14"/>
        <v>1</v>
      </c>
    </row>
    <row r="65" spans="1:11" x14ac:dyDescent="0.2">
      <c r="A65" s="182" t="s">
        <v>220</v>
      </c>
      <c r="B65" s="214">
        <f>SUM(B60:B64)</f>
        <v>38854</v>
      </c>
      <c r="C65" s="191">
        <f t="shared" si="14"/>
        <v>0.48836999098567541</v>
      </c>
      <c r="D65" s="191">
        <f t="shared" si="14"/>
        <v>8.2962268896247457E-2</v>
      </c>
      <c r="E65" s="191">
        <f t="shared" si="14"/>
        <v>5.2106879902973413E-2</v>
      </c>
      <c r="F65" s="191">
        <f t="shared" si="14"/>
        <v>5.775273777839713E-2</v>
      </c>
      <c r="G65" s="191">
        <f t="shared" si="14"/>
        <v>0.11094160483889158</v>
      </c>
      <c r="H65" s="191">
        <f t="shared" si="14"/>
        <v>5.9188383658472891E-2</v>
      </c>
      <c r="I65" s="191">
        <f t="shared" si="14"/>
        <v>9.1888678197503487E-2</v>
      </c>
      <c r="J65" s="191">
        <f t="shared" si="14"/>
        <v>5.67894557418386E-2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10244</v>
      </c>
      <c r="C67" s="191">
        <f t="shared" ref="C67:K69" si="15">C43/$K43</f>
        <v>0.51593054463325161</v>
      </c>
      <c r="D67" s="191">
        <f t="shared" si="15"/>
        <v>5.4442598456672771E-2</v>
      </c>
      <c r="E67" s="191">
        <f t="shared" si="15"/>
        <v>4.326548006852976E-2</v>
      </c>
      <c r="F67" s="191">
        <f t="shared" si="15"/>
        <v>5.2003779085516316E-2</v>
      </c>
      <c r="G67" s="191">
        <f t="shared" si="15"/>
        <v>9.2056212469261031E-2</v>
      </c>
      <c r="H67" s="191">
        <f t="shared" si="15"/>
        <v>5.1512298943121142E-2</v>
      </c>
      <c r="I67" s="191">
        <f t="shared" si="15"/>
        <v>7.1740737595210879E-2</v>
      </c>
      <c r="J67" s="191">
        <f t="shared" si="15"/>
        <v>0.11904834874843646</v>
      </c>
      <c r="K67" s="191">
        <f t="shared" si="15"/>
        <v>1</v>
      </c>
    </row>
    <row r="68" spans="1:11" x14ac:dyDescent="0.2">
      <c r="A68" s="182" t="s">
        <v>87</v>
      </c>
      <c r="B68" s="220">
        <f>B44</f>
        <v>7243</v>
      </c>
      <c r="C68" s="193">
        <f t="shared" si="15"/>
        <v>0.49681367865617587</v>
      </c>
      <c r="D68" s="193">
        <f t="shared" si="15"/>
        <v>4.0025246146410801E-2</v>
      </c>
      <c r="E68" s="193">
        <f t="shared" si="15"/>
        <v>9.4997522069632287E-2</v>
      </c>
      <c r="F68" s="193">
        <f t="shared" si="15"/>
        <v>3.2414265118517568E-2</v>
      </c>
      <c r="G68" s="193">
        <f t="shared" si="15"/>
        <v>0.11950739587464664</v>
      </c>
      <c r="H68" s="193">
        <f t="shared" si="15"/>
        <v>7.8014595817621518E-2</v>
      </c>
      <c r="I68" s="193">
        <f t="shared" si="15"/>
        <v>9.0501511653925643E-2</v>
      </c>
      <c r="J68" s="193">
        <f t="shared" si="15"/>
        <v>4.7725784663069558E-2</v>
      </c>
      <c r="K68" s="193">
        <f t="shared" si="15"/>
        <v>1</v>
      </c>
    </row>
    <row r="69" spans="1:11" x14ac:dyDescent="0.2">
      <c r="A69" s="182" t="s">
        <v>221</v>
      </c>
      <c r="B69" s="214">
        <f>SUM(B67:B68)</f>
        <v>17487</v>
      </c>
      <c r="C69" s="191">
        <f t="shared" si="15"/>
        <v>0.50656253885321945</v>
      </c>
      <c r="D69" s="191">
        <f t="shared" si="15"/>
        <v>4.7377536644906404E-2</v>
      </c>
      <c r="E69" s="191">
        <f t="shared" si="15"/>
        <v>6.8616187086109906E-2</v>
      </c>
      <c r="F69" s="191">
        <f t="shared" si="15"/>
        <v>4.2404157458680175E-2</v>
      </c>
      <c r="G69" s="191">
        <f t="shared" si="15"/>
        <v>0.10550835703724382</v>
      </c>
      <c r="H69" s="191">
        <f t="shared" si="15"/>
        <v>6.4499452308226471E-2</v>
      </c>
      <c r="I69" s="191">
        <f t="shared" si="15"/>
        <v>8.0934244524153681E-2</v>
      </c>
      <c r="J69" s="191">
        <f t="shared" si="15"/>
        <v>8.4097526087459976E-2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147705</v>
      </c>
      <c r="C71" s="195">
        <f t="shared" ref="C71:K71" si="16">C47/$K47</f>
        <v>0.53417312233285741</v>
      </c>
      <c r="D71" s="195">
        <f t="shared" si="16"/>
        <v>9.0737890183527695E-2</v>
      </c>
      <c r="E71" s="195">
        <f t="shared" si="16"/>
        <v>5.2979885628812048E-2</v>
      </c>
      <c r="F71" s="195">
        <f t="shared" si="16"/>
        <v>5.2232218577684966E-2</v>
      </c>
      <c r="G71" s="195">
        <f t="shared" si="16"/>
        <v>9.6656976405611661E-2</v>
      </c>
      <c r="H71" s="195">
        <f t="shared" si="16"/>
        <v>5.4356176924226597E-2</v>
      </c>
      <c r="I71" s="195">
        <f t="shared" si="16"/>
        <v>6.5784502307178999E-2</v>
      </c>
      <c r="J71" s="195">
        <f t="shared" si="16"/>
        <v>5.3079227640100417E-2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X75"/>
  <sheetViews>
    <sheetView topLeftCell="A22" zoomScaleNormal="100" workbookViewId="0">
      <selection activeCell="M33" sqref="M33"/>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22"/>
      <c r="E1" s="22"/>
      <c r="F1" s="22"/>
      <c r="G1" s="22"/>
      <c r="H1" s="22"/>
      <c r="I1" s="22"/>
      <c r="J1" s="22"/>
      <c r="K1" s="22"/>
    </row>
    <row r="2" spans="1:24" x14ac:dyDescent="0.2">
      <c r="A2" s="22" t="s">
        <v>1140</v>
      </c>
      <c r="B2" s="22"/>
      <c r="C2" s="22"/>
      <c r="D2" s="22"/>
      <c r="E2" s="22"/>
      <c r="F2" s="22"/>
      <c r="G2" s="22"/>
      <c r="H2" s="22"/>
      <c r="I2" s="22"/>
      <c r="J2" s="22"/>
      <c r="K2" s="22"/>
    </row>
    <row r="3" spans="1:24" ht="33.75" x14ac:dyDescent="0.2">
      <c r="A3" s="21" t="s">
        <v>245</v>
      </c>
      <c r="B3" s="21" t="s">
        <v>1130</v>
      </c>
      <c r="C3" s="12" t="s">
        <v>1131</v>
      </c>
      <c r="D3" s="12" t="s">
        <v>1132</v>
      </c>
      <c r="E3" s="12" t="s">
        <v>1133</v>
      </c>
      <c r="F3" s="12" t="s">
        <v>1134</v>
      </c>
      <c r="G3" s="12" t="s">
        <v>1135</v>
      </c>
      <c r="H3" s="12" t="s">
        <v>1136</v>
      </c>
      <c r="I3" s="12" t="s">
        <v>1137</v>
      </c>
      <c r="J3" s="12" t="s">
        <v>1138</v>
      </c>
      <c r="K3" s="12" t="s">
        <v>1139</v>
      </c>
    </row>
    <row r="4" spans="1:24" ht="15" x14ac:dyDescent="0.25">
      <c r="A4" s="33" t="s">
        <v>102</v>
      </c>
      <c r="B4" s="214">
        <v>38250</v>
      </c>
      <c r="C4" s="214">
        <v>196750702.80000001</v>
      </c>
      <c r="D4" s="214">
        <v>44199897.219999999</v>
      </c>
      <c r="E4" s="214">
        <v>11889012.789999999</v>
      </c>
      <c r="F4" s="214">
        <v>19413454.34</v>
      </c>
      <c r="G4" s="214">
        <v>29120622.059999999</v>
      </c>
      <c r="H4" s="214">
        <v>14810510.52</v>
      </c>
      <c r="I4" s="214">
        <v>11532493.09</v>
      </c>
      <c r="J4" s="214">
        <v>10340257.529999999</v>
      </c>
      <c r="K4" s="214">
        <f t="shared" ref="K4:K9" si="0">SUM(C4:J4)</f>
        <v>338056950.3499999</v>
      </c>
      <c r="N4" s="214"/>
      <c r="O4" s="294"/>
      <c r="P4" s="293"/>
      <c r="Q4" s="293"/>
      <c r="R4" s="293"/>
      <c r="S4" s="293"/>
      <c r="T4" s="293"/>
      <c r="U4" s="293"/>
      <c r="V4" s="293"/>
      <c r="W4" s="293"/>
      <c r="X4" s="293"/>
    </row>
    <row r="5" spans="1:24" ht="15" x14ac:dyDescent="0.25">
      <c r="A5" s="33" t="s">
        <v>76</v>
      </c>
      <c r="B5" s="214">
        <v>17543</v>
      </c>
      <c r="C5" s="214">
        <v>93163912.290000007</v>
      </c>
      <c r="D5" s="214">
        <v>20086131.77</v>
      </c>
      <c r="E5" s="214">
        <v>6432520.7400000002</v>
      </c>
      <c r="F5" s="214">
        <v>9664226.3300000001</v>
      </c>
      <c r="G5" s="214">
        <v>14778292.449999999</v>
      </c>
      <c r="H5" s="214">
        <v>8429248.3900000006</v>
      </c>
      <c r="I5" s="214">
        <v>9205338.8300000001</v>
      </c>
      <c r="J5" s="214">
        <v>9737119.0999999996</v>
      </c>
      <c r="K5" s="214">
        <f t="shared" si="0"/>
        <v>171496789.89999998</v>
      </c>
      <c r="N5" s="214"/>
      <c r="O5" s="294"/>
      <c r="P5" s="293"/>
      <c r="Q5" s="293"/>
      <c r="R5" s="293"/>
      <c r="S5" s="293"/>
      <c r="T5" s="293"/>
      <c r="U5" s="293"/>
      <c r="V5" s="293"/>
      <c r="W5" s="293"/>
      <c r="X5" s="293"/>
    </row>
    <row r="6" spans="1:24" ht="15" x14ac:dyDescent="0.25">
      <c r="A6" s="33" t="s">
        <v>77</v>
      </c>
      <c r="B6" s="214">
        <v>14801</v>
      </c>
      <c r="C6" s="214">
        <v>84627617.609999999</v>
      </c>
      <c r="D6" s="214">
        <v>14309523.390000001</v>
      </c>
      <c r="E6" s="214">
        <v>8714827.3100000005</v>
      </c>
      <c r="F6" s="214">
        <v>8148548.3799999999</v>
      </c>
      <c r="G6" s="214">
        <v>14512156.27</v>
      </c>
      <c r="H6" s="214">
        <v>7206823.8200000003</v>
      </c>
      <c r="I6" s="214">
        <v>8436866.0500000007</v>
      </c>
      <c r="J6" s="214">
        <v>6055669.7999999998</v>
      </c>
      <c r="K6" s="214">
        <f t="shared" si="0"/>
        <v>152012032.63000003</v>
      </c>
      <c r="N6" s="214"/>
      <c r="O6" s="294"/>
      <c r="P6" s="293"/>
      <c r="Q6" s="293"/>
      <c r="R6" s="293"/>
      <c r="S6" s="293"/>
      <c r="T6" s="293"/>
      <c r="U6" s="293"/>
      <c r="V6" s="293"/>
      <c r="W6" s="293"/>
      <c r="X6" s="293"/>
    </row>
    <row r="7" spans="1:24" ht="15" x14ac:dyDescent="0.25">
      <c r="A7" s="33" t="s">
        <v>78</v>
      </c>
      <c r="B7" s="214">
        <v>13300</v>
      </c>
      <c r="C7" s="214">
        <v>73930069.5</v>
      </c>
      <c r="D7" s="214">
        <v>7965068.4299999997</v>
      </c>
      <c r="E7" s="214">
        <v>8976684.1300000008</v>
      </c>
      <c r="F7" s="214">
        <v>5436022.9900000002</v>
      </c>
      <c r="G7" s="214">
        <v>12672197.26</v>
      </c>
      <c r="H7" s="214">
        <v>6492626.2599999998</v>
      </c>
      <c r="I7" s="214">
        <v>11417878.77</v>
      </c>
      <c r="J7" s="214">
        <v>7800139.1799999997</v>
      </c>
      <c r="K7" s="214">
        <f t="shared" si="0"/>
        <v>134690686.52000001</v>
      </c>
      <c r="N7" s="214"/>
      <c r="O7" s="294"/>
      <c r="P7" s="293"/>
      <c r="Q7" s="293"/>
      <c r="R7" s="293"/>
      <c r="S7" s="293"/>
      <c r="T7" s="293"/>
      <c r="U7" s="293"/>
      <c r="V7" s="293"/>
      <c r="W7" s="293"/>
      <c r="X7" s="293"/>
    </row>
    <row r="8" spans="1:24" ht="15" x14ac:dyDescent="0.25">
      <c r="A8" s="33" t="s">
        <v>79</v>
      </c>
      <c r="B8" s="214">
        <v>4966</v>
      </c>
      <c r="C8" s="214">
        <v>33236855.690000001</v>
      </c>
      <c r="D8" s="214">
        <v>2618472.84</v>
      </c>
      <c r="E8" s="214">
        <v>5472881.4100000001</v>
      </c>
      <c r="F8" s="214">
        <v>2430317.86</v>
      </c>
      <c r="G8" s="214">
        <v>6088788.75</v>
      </c>
      <c r="H8" s="214">
        <v>4879204.63</v>
      </c>
      <c r="I8" s="214">
        <v>4446913.3600000003</v>
      </c>
      <c r="J8" s="214">
        <v>2797057.06</v>
      </c>
      <c r="K8" s="214">
        <f t="shared" si="0"/>
        <v>61970491.600000001</v>
      </c>
      <c r="N8" s="214"/>
      <c r="O8" s="294"/>
      <c r="P8" s="293"/>
      <c r="Q8" s="293"/>
      <c r="R8" s="293"/>
      <c r="S8" s="293"/>
      <c r="T8" s="293"/>
      <c r="U8" s="293"/>
      <c r="V8" s="293"/>
      <c r="W8" s="293"/>
      <c r="X8" s="293"/>
    </row>
    <row r="9" spans="1:24" ht="15" x14ac:dyDescent="0.25">
      <c r="A9" s="33" t="s">
        <v>80</v>
      </c>
      <c r="B9" s="220">
        <v>1664</v>
      </c>
      <c r="C9" s="220">
        <v>10966960.42</v>
      </c>
      <c r="D9" s="220">
        <v>492399.65</v>
      </c>
      <c r="E9" s="220">
        <v>2043098.27</v>
      </c>
      <c r="F9" s="220">
        <v>179042.01</v>
      </c>
      <c r="G9" s="220">
        <v>2466989.0099999998</v>
      </c>
      <c r="H9" s="220">
        <v>1520523.38</v>
      </c>
      <c r="I9" s="220">
        <v>750963.11</v>
      </c>
      <c r="J9" s="220">
        <v>380019.59</v>
      </c>
      <c r="K9" s="220">
        <f t="shared" si="0"/>
        <v>18799995.439999998</v>
      </c>
      <c r="N9" s="214"/>
      <c r="O9" s="294"/>
      <c r="P9" s="293"/>
      <c r="Q9" s="293"/>
      <c r="R9" s="293"/>
      <c r="S9" s="293"/>
      <c r="T9" s="293"/>
      <c r="U9" s="293"/>
      <c r="V9" s="293"/>
      <c r="W9" s="293"/>
      <c r="X9" s="293"/>
    </row>
    <row r="10" spans="1:24" x14ac:dyDescent="0.2">
      <c r="A10" s="182" t="s">
        <v>103</v>
      </c>
      <c r="B10" s="214">
        <f t="shared" ref="B10:K10" si="1">SUM(B4:B9)</f>
        <v>90524</v>
      </c>
      <c r="C10" s="214">
        <f t="shared" si="1"/>
        <v>492676118.31000006</v>
      </c>
      <c r="D10" s="214">
        <f t="shared" si="1"/>
        <v>89671493.300000012</v>
      </c>
      <c r="E10" s="214">
        <f t="shared" si="1"/>
        <v>43529024.650000013</v>
      </c>
      <c r="F10" s="214">
        <f t="shared" si="1"/>
        <v>45271611.910000004</v>
      </c>
      <c r="G10" s="214">
        <f t="shared" si="1"/>
        <v>79639045.800000012</v>
      </c>
      <c r="H10" s="214">
        <f t="shared" si="1"/>
        <v>43338937.000000007</v>
      </c>
      <c r="I10" s="214">
        <f t="shared" si="1"/>
        <v>45790453.210000001</v>
      </c>
      <c r="J10" s="214">
        <f t="shared" si="1"/>
        <v>37110262.260000005</v>
      </c>
      <c r="K10" s="214">
        <f t="shared" si="1"/>
        <v>877026946.43999982</v>
      </c>
      <c r="N10" s="214"/>
    </row>
    <row r="11" spans="1:24" x14ac:dyDescent="0.2">
      <c r="A11" s="33"/>
      <c r="B11" s="214"/>
      <c r="C11" s="214"/>
      <c r="D11" s="214"/>
      <c r="E11" s="214"/>
      <c r="F11" s="214"/>
      <c r="G11" s="214"/>
      <c r="H11" s="214"/>
      <c r="I11" s="214"/>
      <c r="J11" s="214"/>
      <c r="K11" s="182"/>
      <c r="N11" s="214"/>
    </row>
    <row r="12" spans="1:24" ht="15" x14ac:dyDescent="0.25">
      <c r="A12" s="33" t="s">
        <v>81</v>
      </c>
      <c r="B12" s="214">
        <v>21593</v>
      </c>
      <c r="C12" s="214">
        <v>113475693.7</v>
      </c>
      <c r="D12" s="214">
        <v>19561751.82</v>
      </c>
      <c r="E12" s="214">
        <v>8055000.4199999999</v>
      </c>
      <c r="F12" s="214">
        <v>13008807.33</v>
      </c>
      <c r="G12" s="214">
        <v>21338925.390000001</v>
      </c>
      <c r="H12" s="214">
        <v>8956139.1199999992</v>
      </c>
      <c r="I12" s="214">
        <v>18567499.350000001</v>
      </c>
      <c r="J12" s="214">
        <v>11375870.439999999</v>
      </c>
      <c r="K12" s="214">
        <f>SUM(C12:J12)</f>
        <v>214339687.57000002</v>
      </c>
      <c r="N12" s="214"/>
      <c r="O12" s="294"/>
      <c r="P12" s="293"/>
      <c r="Q12" s="293"/>
      <c r="R12" s="293"/>
      <c r="S12" s="293"/>
      <c r="T12" s="293"/>
      <c r="U12" s="293"/>
      <c r="V12" s="293"/>
      <c r="W12" s="293"/>
      <c r="X12" s="293"/>
    </row>
    <row r="13" spans="1:24" ht="15" x14ac:dyDescent="0.25">
      <c r="A13" s="33" t="s">
        <v>82</v>
      </c>
      <c r="B13" s="214">
        <v>6158</v>
      </c>
      <c r="C13" s="214">
        <v>29153950.48</v>
      </c>
      <c r="D13" s="214">
        <v>5513072.1100000003</v>
      </c>
      <c r="E13" s="214">
        <v>2919027.51</v>
      </c>
      <c r="F13" s="214">
        <v>4325456.95</v>
      </c>
      <c r="G13" s="214">
        <v>6996328.5700000003</v>
      </c>
      <c r="H13" s="214">
        <v>4231605.66</v>
      </c>
      <c r="I13" s="214">
        <v>6746121.6200000001</v>
      </c>
      <c r="J13" s="214">
        <v>5149037.3899999997</v>
      </c>
      <c r="K13" s="214">
        <f>SUM(C13:J13)</f>
        <v>65034600.289999999</v>
      </c>
      <c r="N13" s="214"/>
      <c r="O13" s="294"/>
      <c r="P13" s="293"/>
      <c r="Q13" s="293"/>
      <c r="R13" s="293"/>
      <c r="S13" s="293"/>
      <c r="T13" s="293"/>
      <c r="U13" s="293"/>
      <c r="V13" s="293"/>
      <c r="W13" s="293"/>
      <c r="X13" s="293"/>
    </row>
    <row r="14" spans="1:24" ht="15" x14ac:dyDescent="0.25">
      <c r="A14" s="33" t="s">
        <v>83</v>
      </c>
      <c r="B14" s="214">
        <v>5197</v>
      </c>
      <c r="C14" s="214">
        <v>27563599.920000002</v>
      </c>
      <c r="D14" s="214">
        <v>4320533.88</v>
      </c>
      <c r="E14" s="214">
        <v>3424318.51</v>
      </c>
      <c r="F14" s="214">
        <v>3608599.76</v>
      </c>
      <c r="G14" s="214">
        <v>7433172.21</v>
      </c>
      <c r="H14" s="214">
        <v>4815692.3899999997</v>
      </c>
      <c r="I14" s="214">
        <v>5480504.1900000004</v>
      </c>
      <c r="J14" s="214">
        <v>2128832.7000000002</v>
      </c>
      <c r="K14" s="214">
        <f>SUM(C14:J14)</f>
        <v>58775253.560000002</v>
      </c>
      <c r="N14" s="214"/>
      <c r="O14" s="294"/>
      <c r="P14" s="293"/>
      <c r="Q14" s="293"/>
      <c r="R14" s="293"/>
      <c r="S14" s="293"/>
      <c r="T14" s="293"/>
      <c r="U14" s="293"/>
      <c r="V14" s="293"/>
      <c r="W14" s="293"/>
      <c r="X14" s="293"/>
    </row>
    <row r="15" spans="1:24" ht="15" x14ac:dyDescent="0.25">
      <c r="A15" s="33" t="s">
        <v>84</v>
      </c>
      <c r="B15" s="214">
        <v>5184</v>
      </c>
      <c r="C15" s="214">
        <v>32847408.960000001</v>
      </c>
      <c r="D15" s="214">
        <v>4298244.1900000004</v>
      </c>
      <c r="E15" s="214">
        <v>5087605.71</v>
      </c>
      <c r="F15" s="214">
        <v>3982823.33</v>
      </c>
      <c r="G15" s="214">
        <v>9628640.2400000002</v>
      </c>
      <c r="H15" s="214">
        <v>5958260.3200000003</v>
      </c>
      <c r="I15" s="214">
        <v>7964600.8799999999</v>
      </c>
      <c r="J15" s="214">
        <v>4020523.48</v>
      </c>
      <c r="K15" s="214">
        <f>SUM(C15:J15)</f>
        <v>73788107.109999999</v>
      </c>
      <c r="N15" s="214"/>
      <c r="O15" s="294"/>
      <c r="P15" s="293"/>
      <c r="Q15" s="293"/>
      <c r="R15" s="293"/>
      <c r="S15" s="293"/>
      <c r="T15" s="293"/>
      <c r="U15" s="293"/>
      <c r="V15" s="293"/>
      <c r="W15" s="293"/>
      <c r="X15" s="293"/>
    </row>
    <row r="16" spans="1:24" ht="15" x14ac:dyDescent="0.25">
      <c r="A16" s="33" t="s">
        <v>85</v>
      </c>
      <c r="B16" s="220">
        <v>1583</v>
      </c>
      <c r="C16" s="220">
        <v>14299710.92</v>
      </c>
      <c r="D16" s="220">
        <v>1238154.3600000001</v>
      </c>
      <c r="E16" s="220">
        <v>3838734.63</v>
      </c>
      <c r="F16" s="220">
        <v>900936.78</v>
      </c>
      <c r="G16" s="220">
        <v>4738122.4800000004</v>
      </c>
      <c r="H16" s="220">
        <v>3100145.89</v>
      </c>
      <c r="I16" s="220">
        <v>3273737.35</v>
      </c>
      <c r="J16" s="220">
        <v>4501967.34</v>
      </c>
      <c r="K16" s="220">
        <f>SUM(C16:J16)</f>
        <v>35891509.75</v>
      </c>
      <c r="N16" s="214"/>
      <c r="O16" s="294"/>
      <c r="P16" s="293"/>
      <c r="Q16" s="293"/>
      <c r="R16" s="293"/>
      <c r="S16" s="293"/>
      <c r="T16" s="293"/>
      <c r="U16" s="293"/>
      <c r="V16" s="293"/>
      <c r="W16" s="293"/>
      <c r="X16" s="293"/>
    </row>
    <row r="17" spans="1:24" x14ac:dyDescent="0.2">
      <c r="A17" s="182" t="s">
        <v>104</v>
      </c>
      <c r="B17" s="214">
        <f t="shared" ref="B17:K17" si="2">SUM(B12:B16)</f>
        <v>39715</v>
      </c>
      <c r="C17" s="214">
        <f t="shared" si="2"/>
        <v>217340363.98000002</v>
      </c>
      <c r="D17" s="214">
        <f t="shared" si="2"/>
        <v>34931756.359999999</v>
      </c>
      <c r="E17" s="214">
        <f t="shared" si="2"/>
        <v>23324686.779999997</v>
      </c>
      <c r="F17" s="214">
        <f t="shared" si="2"/>
        <v>25826624.149999999</v>
      </c>
      <c r="G17" s="214">
        <f t="shared" si="2"/>
        <v>50135188.890000001</v>
      </c>
      <c r="H17" s="214">
        <f t="shared" si="2"/>
        <v>27061843.379999999</v>
      </c>
      <c r="I17" s="214">
        <f t="shared" si="2"/>
        <v>42032463.390000008</v>
      </c>
      <c r="J17" s="214">
        <f t="shared" si="2"/>
        <v>27176231.349999998</v>
      </c>
      <c r="K17" s="214">
        <f t="shared" si="2"/>
        <v>447829158.28000003</v>
      </c>
    </row>
    <row r="18" spans="1:24" x14ac:dyDescent="0.2">
      <c r="A18" s="33"/>
      <c r="B18" s="214"/>
      <c r="C18" s="214"/>
      <c r="D18" s="214"/>
      <c r="E18" s="214"/>
      <c r="F18" s="214"/>
      <c r="G18" s="214"/>
      <c r="H18" s="214"/>
      <c r="I18" s="214"/>
      <c r="J18" s="214"/>
      <c r="K18" s="182"/>
    </row>
    <row r="19" spans="1:24" ht="15" x14ac:dyDescent="0.25">
      <c r="A19" s="33" t="s">
        <v>86</v>
      </c>
      <c r="B19" s="214">
        <v>10318</v>
      </c>
      <c r="C19" s="214">
        <v>54420754.920000002</v>
      </c>
      <c r="D19" s="214">
        <v>5802337.4800000004</v>
      </c>
      <c r="E19" s="214">
        <v>4686274.0599999996</v>
      </c>
      <c r="F19" s="214">
        <v>5595566.6299999999</v>
      </c>
      <c r="G19" s="214">
        <v>9496246.0999999996</v>
      </c>
      <c r="H19" s="214">
        <v>6097612.3499999996</v>
      </c>
      <c r="I19" s="214">
        <v>7794304.1399999997</v>
      </c>
      <c r="J19" s="214">
        <v>12750888.35</v>
      </c>
      <c r="K19" s="214">
        <f>SUM(C19:J19)</f>
        <v>106643984.02999999</v>
      </c>
      <c r="O19" s="294"/>
      <c r="P19" s="293"/>
      <c r="Q19" s="293"/>
      <c r="R19" s="293"/>
      <c r="S19" s="293"/>
      <c r="T19" s="293"/>
      <c r="U19" s="293"/>
      <c r="V19" s="293"/>
      <c r="W19" s="293"/>
      <c r="X19" s="293"/>
    </row>
    <row r="20" spans="1:24" ht="15" x14ac:dyDescent="0.25">
      <c r="A20" s="33" t="s">
        <v>87</v>
      </c>
      <c r="B20" s="233">
        <v>6968</v>
      </c>
      <c r="C20" s="234">
        <v>49373844.82</v>
      </c>
      <c r="D20" s="234">
        <v>4403767.5199999996</v>
      </c>
      <c r="E20" s="234">
        <v>9285444.4700000007</v>
      </c>
      <c r="F20" s="234">
        <v>3101400.15</v>
      </c>
      <c r="G20" s="234">
        <v>12246768.35</v>
      </c>
      <c r="H20" s="234">
        <v>7456626.6600000001</v>
      </c>
      <c r="I20" s="234">
        <v>8609639.4700000007</v>
      </c>
      <c r="J20" s="220">
        <v>8317579.0999999996</v>
      </c>
      <c r="K20" s="220">
        <f>SUM(C20:J20)</f>
        <v>102795070.53999999</v>
      </c>
      <c r="O20" s="294"/>
      <c r="P20" s="293"/>
      <c r="Q20" s="293"/>
      <c r="R20" s="293"/>
      <c r="S20" s="293"/>
      <c r="T20" s="293"/>
      <c r="U20" s="293"/>
      <c r="V20" s="293"/>
      <c r="W20" s="293"/>
      <c r="X20" s="293"/>
    </row>
    <row r="21" spans="1:24" x14ac:dyDescent="0.2">
      <c r="A21" s="182" t="s">
        <v>105</v>
      </c>
      <c r="B21" s="214">
        <f t="shared" ref="B21:K21" si="3">SUM(B19:B20)</f>
        <v>17286</v>
      </c>
      <c r="C21" s="214">
        <f t="shared" si="3"/>
        <v>103794599.74000001</v>
      </c>
      <c r="D21" s="214">
        <f t="shared" si="3"/>
        <v>10206105</v>
      </c>
      <c r="E21" s="214">
        <f t="shared" si="3"/>
        <v>13971718.530000001</v>
      </c>
      <c r="F21" s="214">
        <f t="shared" si="3"/>
        <v>8696966.7799999993</v>
      </c>
      <c r="G21" s="214">
        <f t="shared" si="3"/>
        <v>21743014.449999999</v>
      </c>
      <c r="H21" s="214">
        <f t="shared" si="3"/>
        <v>13554239.01</v>
      </c>
      <c r="I21" s="214">
        <f t="shared" si="3"/>
        <v>16403943.609999999</v>
      </c>
      <c r="J21" s="214">
        <f t="shared" si="3"/>
        <v>21068467.449999999</v>
      </c>
      <c r="K21" s="214">
        <f t="shared" si="3"/>
        <v>209439054.56999999</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147525</v>
      </c>
      <c r="C23" s="222">
        <f t="shared" si="4"/>
        <v>813811082.03000009</v>
      </c>
      <c r="D23" s="222">
        <f t="shared" si="4"/>
        <v>134809354.66000003</v>
      </c>
      <c r="E23" s="222">
        <f t="shared" si="4"/>
        <v>80825429.960000008</v>
      </c>
      <c r="F23" s="222">
        <f t="shared" si="4"/>
        <v>79795202.840000004</v>
      </c>
      <c r="G23" s="222">
        <f t="shared" si="4"/>
        <v>151517249.14000002</v>
      </c>
      <c r="H23" s="222">
        <f t="shared" si="4"/>
        <v>83955019.390000015</v>
      </c>
      <c r="I23" s="222">
        <f t="shared" si="4"/>
        <v>104226860.21000001</v>
      </c>
      <c r="J23" s="222">
        <f t="shared" si="4"/>
        <v>85354961.060000002</v>
      </c>
      <c r="K23" s="222">
        <f t="shared" si="4"/>
        <v>1534295159.29</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1141</v>
      </c>
      <c r="B26" s="22"/>
      <c r="C26" s="22"/>
      <c r="D26" s="22"/>
      <c r="E26" s="22"/>
      <c r="F26" s="22"/>
      <c r="G26" s="22"/>
      <c r="H26" s="22"/>
      <c r="I26" s="22"/>
      <c r="J26" s="22"/>
      <c r="K26" s="22"/>
    </row>
    <row r="27" spans="1:24" ht="39" customHeight="1" x14ac:dyDescent="0.2">
      <c r="A27" s="21" t="s">
        <v>245</v>
      </c>
      <c r="B27" s="21" t="str">
        <f>B3</f>
        <v>ANB12</v>
      </c>
      <c r="C27" s="21" t="str">
        <f t="shared" ref="C27:K27" si="5">C3</f>
        <v>12/Pupil Instruction</v>
      </c>
      <c r="D27" s="21" t="str">
        <f t="shared" si="5"/>
        <v>12/Pupil Student Services</v>
      </c>
      <c r="E27" s="21" t="str">
        <f t="shared" si="5"/>
        <v>12/Pupil General Admin</v>
      </c>
      <c r="F27" s="21" t="str">
        <f t="shared" si="5"/>
        <v>12/Pupil Bldg Admin</v>
      </c>
      <c r="G27" s="21" t="str">
        <f t="shared" si="5"/>
        <v>12/Pupil Bldg OM</v>
      </c>
      <c r="H27" s="21" t="str">
        <f t="shared" si="5"/>
        <v>12/Pupil Transport</v>
      </c>
      <c r="I27" s="21" t="str">
        <f t="shared" si="5"/>
        <v>12/Pupil Other</v>
      </c>
      <c r="J27" s="21" t="str">
        <f t="shared" si="5"/>
        <v>12/Pupil Bonds/ Facilities</v>
      </c>
      <c r="K27" s="21" t="str">
        <f t="shared" si="5"/>
        <v>12/Pupil Total</v>
      </c>
    </row>
    <row r="28" spans="1:24" x14ac:dyDescent="0.2">
      <c r="A28" s="182" t="s">
        <v>102</v>
      </c>
      <c r="B28" s="214">
        <f t="shared" ref="B28:B33" si="6">B4</f>
        <v>38250</v>
      </c>
      <c r="C28" s="182">
        <f t="shared" ref="C28:K34" si="7">C4/$B28</f>
        <v>5143.8092235294125</v>
      </c>
      <c r="D28" s="182">
        <f t="shared" si="7"/>
        <v>1155.5528684967319</v>
      </c>
      <c r="E28" s="182">
        <f t="shared" si="7"/>
        <v>310.82386379084966</v>
      </c>
      <c r="F28" s="182">
        <f t="shared" si="7"/>
        <v>507.54128993464053</v>
      </c>
      <c r="G28" s="182">
        <f t="shared" si="7"/>
        <v>761.32345254901952</v>
      </c>
      <c r="H28" s="182">
        <f t="shared" si="7"/>
        <v>387.20288941176472</v>
      </c>
      <c r="I28" s="182">
        <f t="shared" si="7"/>
        <v>301.50308732026144</v>
      </c>
      <c r="J28" s="182">
        <f t="shared" si="7"/>
        <v>270.33353019607841</v>
      </c>
      <c r="K28" s="182">
        <f t="shared" si="7"/>
        <v>8838.0902052287565</v>
      </c>
    </row>
    <row r="29" spans="1:24" ht="15" x14ac:dyDescent="0.25">
      <c r="A29" s="182" t="s">
        <v>76</v>
      </c>
      <c r="B29" s="214">
        <f t="shared" si="6"/>
        <v>17543</v>
      </c>
      <c r="C29" s="182">
        <f t="shared" si="7"/>
        <v>5310.6032200877844</v>
      </c>
      <c r="D29" s="182">
        <f t="shared" si="7"/>
        <v>1144.965614205096</v>
      </c>
      <c r="E29" s="182">
        <f t="shared" si="7"/>
        <v>366.67164909080549</v>
      </c>
      <c r="F29" s="182">
        <f t="shared" si="7"/>
        <v>550.88789431682153</v>
      </c>
      <c r="G29" s="182">
        <f t="shared" si="7"/>
        <v>842.40394744342473</v>
      </c>
      <c r="H29" s="182">
        <f t="shared" si="7"/>
        <v>480.49070227441149</v>
      </c>
      <c r="I29" s="182">
        <f t="shared" si="7"/>
        <v>524.73002508122897</v>
      </c>
      <c r="J29" s="182">
        <f t="shared" si="7"/>
        <v>555.0429858063045</v>
      </c>
      <c r="K29" s="182">
        <f t="shared" si="7"/>
        <v>9775.7960383058762</v>
      </c>
      <c r="O29" s="247"/>
      <c r="P29" s="273"/>
      <c r="Q29" s="273"/>
      <c r="R29" s="273"/>
      <c r="S29" s="273"/>
      <c r="T29" s="273"/>
      <c r="U29" s="273"/>
    </row>
    <row r="30" spans="1:24" ht="15" x14ac:dyDescent="0.25">
      <c r="A30" s="182" t="s">
        <v>77</v>
      </c>
      <c r="B30" s="214">
        <f t="shared" si="6"/>
        <v>14801</v>
      </c>
      <c r="C30" s="182">
        <f t="shared" si="7"/>
        <v>5717.6959401391796</v>
      </c>
      <c r="D30" s="182">
        <f t="shared" si="7"/>
        <v>966.79436456996154</v>
      </c>
      <c r="E30" s="182">
        <f t="shared" si="7"/>
        <v>588.79989933112631</v>
      </c>
      <c r="F30" s="182">
        <f t="shared" si="7"/>
        <v>550.54039456793464</v>
      </c>
      <c r="G30" s="182">
        <f t="shared" si="7"/>
        <v>980.48485034794942</v>
      </c>
      <c r="H30" s="182">
        <f t="shared" si="7"/>
        <v>486.91465576650228</v>
      </c>
      <c r="I30" s="182">
        <f t="shared" si="7"/>
        <v>570.0200020268901</v>
      </c>
      <c r="J30" s="182">
        <f t="shared" si="7"/>
        <v>409.13923383555164</v>
      </c>
      <c r="K30" s="182">
        <f t="shared" si="7"/>
        <v>10270.389340585098</v>
      </c>
      <c r="O30" s="247"/>
      <c r="P30" s="273"/>
      <c r="Q30" s="273"/>
      <c r="R30" s="273"/>
      <c r="S30" s="273"/>
      <c r="T30" s="273"/>
      <c r="U30" s="273"/>
    </row>
    <row r="31" spans="1:24" ht="15" x14ac:dyDescent="0.25">
      <c r="A31" s="182" t="s">
        <v>78</v>
      </c>
      <c r="B31" s="214">
        <f t="shared" si="6"/>
        <v>13300</v>
      </c>
      <c r="C31" s="182">
        <f t="shared" si="7"/>
        <v>5558.6518421052633</v>
      </c>
      <c r="D31" s="182">
        <f t="shared" si="7"/>
        <v>598.87732556390972</v>
      </c>
      <c r="E31" s="182">
        <f t="shared" si="7"/>
        <v>674.93865639097748</v>
      </c>
      <c r="F31" s="182">
        <f t="shared" si="7"/>
        <v>408.72353308270681</v>
      </c>
      <c r="G31" s="182">
        <f t="shared" si="7"/>
        <v>952.79678646616537</v>
      </c>
      <c r="H31" s="182">
        <f t="shared" si="7"/>
        <v>488.16738796992479</v>
      </c>
      <c r="I31" s="182">
        <f t="shared" si="7"/>
        <v>858.48712556390979</v>
      </c>
      <c r="J31" s="182">
        <f t="shared" si="7"/>
        <v>586.47663007518793</v>
      </c>
      <c r="K31" s="182">
        <f t="shared" si="7"/>
        <v>10127.119287218045</v>
      </c>
      <c r="O31" s="247"/>
      <c r="P31" s="273"/>
      <c r="Q31" s="273"/>
      <c r="R31" s="273"/>
      <c r="S31" s="273"/>
      <c r="T31" s="273"/>
      <c r="U31" s="273"/>
    </row>
    <row r="32" spans="1:24" ht="15" x14ac:dyDescent="0.25">
      <c r="A32" s="182" t="s">
        <v>79</v>
      </c>
      <c r="B32" s="214">
        <f t="shared" si="6"/>
        <v>4966</v>
      </c>
      <c r="C32" s="182">
        <f t="shared" si="7"/>
        <v>6692.8827406363271</v>
      </c>
      <c r="D32" s="182">
        <f t="shared" si="7"/>
        <v>527.28007249295206</v>
      </c>
      <c r="E32" s="182">
        <f t="shared" si="7"/>
        <v>1102.0703604510672</v>
      </c>
      <c r="F32" s="182">
        <f t="shared" si="7"/>
        <v>489.39143374949657</v>
      </c>
      <c r="G32" s="182">
        <f t="shared" si="7"/>
        <v>1226.0951973419251</v>
      </c>
      <c r="H32" s="182">
        <f t="shared" si="7"/>
        <v>982.52207611759968</v>
      </c>
      <c r="I32" s="182">
        <f t="shared" si="7"/>
        <v>895.47188078936779</v>
      </c>
      <c r="J32" s="182">
        <f t="shared" si="7"/>
        <v>563.24145388642773</v>
      </c>
      <c r="K32" s="182">
        <f t="shared" si="7"/>
        <v>12478.955215465163</v>
      </c>
      <c r="O32" s="247"/>
      <c r="P32" s="273"/>
      <c r="Q32" s="273"/>
      <c r="R32" s="273"/>
      <c r="S32" s="273"/>
      <c r="T32" s="273"/>
      <c r="U32" s="273"/>
    </row>
    <row r="33" spans="1:21" ht="15" x14ac:dyDescent="0.25">
      <c r="A33" s="182" t="s">
        <v>80</v>
      </c>
      <c r="B33" s="220">
        <f t="shared" si="6"/>
        <v>1664</v>
      </c>
      <c r="C33" s="183">
        <f t="shared" si="7"/>
        <v>6590.7214062499997</v>
      </c>
      <c r="D33" s="183">
        <f t="shared" si="7"/>
        <v>295.91325120192312</v>
      </c>
      <c r="E33" s="183">
        <f t="shared" si="7"/>
        <v>1227.8234795673077</v>
      </c>
      <c r="F33" s="183">
        <f t="shared" si="7"/>
        <v>107.59736177884616</v>
      </c>
      <c r="G33" s="183">
        <f t="shared" si="7"/>
        <v>1482.5655108173075</v>
      </c>
      <c r="H33" s="183">
        <f t="shared" si="7"/>
        <v>913.77606971153841</v>
      </c>
      <c r="I33" s="183">
        <f t="shared" si="7"/>
        <v>451.29994591346156</v>
      </c>
      <c r="J33" s="183">
        <f t="shared" si="7"/>
        <v>228.3771574519231</v>
      </c>
      <c r="K33" s="183">
        <f t="shared" si="7"/>
        <v>11298.074182692306</v>
      </c>
      <c r="O33" s="247"/>
      <c r="P33" s="273"/>
      <c r="Q33" s="273"/>
      <c r="R33" s="273"/>
      <c r="S33" s="273"/>
      <c r="T33" s="273"/>
      <c r="U33" s="273"/>
    </row>
    <row r="34" spans="1:21" ht="15" x14ac:dyDescent="0.25">
      <c r="A34" s="182" t="s">
        <v>219</v>
      </c>
      <c r="B34" s="214">
        <f>SUM(B28:B33)</f>
        <v>90524</v>
      </c>
      <c r="C34" s="182">
        <f t="shared" si="7"/>
        <v>5442.4916962352536</v>
      </c>
      <c r="D34" s="182">
        <f t="shared" si="7"/>
        <v>990.58253391365838</v>
      </c>
      <c r="E34" s="182">
        <f t="shared" si="7"/>
        <v>480.85617791966786</v>
      </c>
      <c r="F34" s="182">
        <f t="shared" si="7"/>
        <v>500.10618079183428</v>
      </c>
      <c r="G34" s="182">
        <f t="shared" si="7"/>
        <v>879.75615085502204</v>
      </c>
      <c r="H34" s="182">
        <f t="shared" si="7"/>
        <v>478.7563187662941</v>
      </c>
      <c r="I34" s="182">
        <f t="shared" si="7"/>
        <v>505.83771386593611</v>
      </c>
      <c r="J34" s="182">
        <f t="shared" si="7"/>
        <v>409.94943064822593</v>
      </c>
      <c r="K34" s="182">
        <f t="shared" si="7"/>
        <v>9688.336202995888</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21593</v>
      </c>
      <c r="C36" s="182">
        <f t="shared" ref="C36:K41" si="8">C12/$B36</f>
        <v>5255.2074144398648</v>
      </c>
      <c r="D36" s="182">
        <f t="shared" si="8"/>
        <v>905.93024683925353</v>
      </c>
      <c r="E36" s="182">
        <f t="shared" si="8"/>
        <v>373.03757791876995</v>
      </c>
      <c r="F36" s="182">
        <f t="shared" si="8"/>
        <v>602.45483860510353</v>
      </c>
      <c r="G36" s="182">
        <f t="shared" si="8"/>
        <v>988.23347334784421</v>
      </c>
      <c r="H36" s="182">
        <f t="shared" si="8"/>
        <v>414.77048673181122</v>
      </c>
      <c r="I36" s="182">
        <f t="shared" si="8"/>
        <v>859.88511786227025</v>
      </c>
      <c r="J36" s="182">
        <f t="shared" si="8"/>
        <v>526.83140091696384</v>
      </c>
      <c r="K36" s="182">
        <f t="shared" si="8"/>
        <v>9926.3505566618824</v>
      </c>
      <c r="O36" s="247"/>
      <c r="P36" s="273"/>
      <c r="Q36" s="273"/>
      <c r="R36" s="273"/>
      <c r="S36" s="273"/>
      <c r="T36" s="273"/>
      <c r="U36" s="273"/>
    </row>
    <row r="37" spans="1:21" ht="15" x14ac:dyDescent="0.25">
      <c r="A37" s="182" t="s">
        <v>82</v>
      </c>
      <c r="B37" s="214">
        <f>B13</f>
        <v>6158</v>
      </c>
      <c r="C37" s="182">
        <f t="shared" si="8"/>
        <v>4734.3212861318607</v>
      </c>
      <c r="D37" s="182">
        <f t="shared" si="8"/>
        <v>895.26991068528753</v>
      </c>
      <c r="E37" s="182">
        <f t="shared" si="8"/>
        <v>474.02200552127312</v>
      </c>
      <c r="F37" s="182">
        <f t="shared" si="8"/>
        <v>702.41262585254958</v>
      </c>
      <c r="G37" s="182">
        <f t="shared" si="8"/>
        <v>1136.1365004871711</v>
      </c>
      <c r="H37" s="182">
        <f t="shared" si="8"/>
        <v>687.17207859694713</v>
      </c>
      <c r="I37" s="182">
        <f t="shared" si="8"/>
        <v>1095.5052971744074</v>
      </c>
      <c r="J37" s="182">
        <f t="shared" si="8"/>
        <v>836.15417180902887</v>
      </c>
      <c r="K37" s="182">
        <f t="shared" si="8"/>
        <v>10560.993876258526</v>
      </c>
      <c r="O37" s="247"/>
      <c r="P37" s="273"/>
      <c r="Q37" s="273"/>
      <c r="R37" s="273"/>
      <c r="S37" s="273"/>
      <c r="T37" s="273"/>
      <c r="U37" s="273"/>
    </row>
    <row r="38" spans="1:21" ht="15" x14ac:dyDescent="0.25">
      <c r="A38" s="182" t="s">
        <v>83</v>
      </c>
      <c r="B38" s="214">
        <f>B14</f>
        <v>5197</v>
      </c>
      <c r="C38" s="182">
        <f t="shared" si="8"/>
        <v>5303.7521493169143</v>
      </c>
      <c r="D38" s="182">
        <f t="shared" si="8"/>
        <v>831.35152588031553</v>
      </c>
      <c r="E38" s="182">
        <f t="shared" si="8"/>
        <v>658.90292668847405</v>
      </c>
      <c r="F38" s="182">
        <f t="shared" si="8"/>
        <v>694.36208581874155</v>
      </c>
      <c r="G38" s="182">
        <f t="shared" si="8"/>
        <v>1430.2813565518568</v>
      </c>
      <c r="H38" s="182">
        <f t="shared" si="8"/>
        <v>926.6292842024244</v>
      </c>
      <c r="I38" s="182">
        <f t="shared" si="8"/>
        <v>1054.5515085626323</v>
      </c>
      <c r="J38" s="182">
        <f t="shared" si="8"/>
        <v>409.62722724648842</v>
      </c>
      <c r="K38" s="182">
        <f t="shared" si="8"/>
        <v>11309.458064267847</v>
      </c>
      <c r="O38" s="247"/>
      <c r="P38" s="273"/>
      <c r="Q38" s="273"/>
      <c r="R38" s="273"/>
      <c r="S38" s="273"/>
      <c r="T38" s="273"/>
      <c r="U38" s="273"/>
    </row>
    <row r="39" spans="1:21" ht="15" x14ac:dyDescent="0.25">
      <c r="A39" s="182" t="s">
        <v>84</v>
      </c>
      <c r="B39" s="214">
        <f>B15</f>
        <v>5184</v>
      </c>
      <c r="C39" s="182">
        <f t="shared" si="8"/>
        <v>6336.3057407407405</v>
      </c>
      <c r="D39" s="182">
        <f t="shared" si="8"/>
        <v>829.13661072530874</v>
      </c>
      <c r="E39" s="182">
        <f t="shared" si="8"/>
        <v>981.40542245370375</v>
      </c>
      <c r="F39" s="182">
        <f t="shared" si="8"/>
        <v>768.2915374228395</v>
      </c>
      <c r="G39" s="182">
        <f t="shared" si="8"/>
        <v>1857.3765895061729</v>
      </c>
      <c r="H39" s="182">
        <f t="shared" si="8"/>
        <v>1149.3557716049384</v>
      </c>
      <c r="I39" s="182">
        <f t="shared" si="8"/>
        <v>1536.3813425925925</v>
      </c>
      <c r="J39" s="182">
        <f t="shared" si="8"/>
        <v>775.56394290123455</v>
      </c>
      <c r="K39" s="182">
        <f t="shared" si="8"/>
        <v>14233.816957947531</v>
      </c>
      <c r="O39" s="247"/>
      <c r="P39" s="273"/>
      <c r="Q39" s="273"/>
      <c r="R39" s="273"/>
      <c r="S39" s="273"/>
      <c r="T39" s="273"/>
      <c r="U39" s="273"/>
    </row>
    <row r="40" spans="1:21" ht="15" x14ac:dyDescent="0.25">
      <c r="A40" s="182" t="s">
        <v>85</v>
      </c>
      <c r="B40" s="220">
        <f>B16</f>
        <v>1583</v>
      </c>
      <c r="C40" s="183">
        <f t="shared" si="8"/>
        <v>9033.2981174984216</v>
      </c>
      <c r="D40" s="183">
        <f t="shared" si="8"/>
        <v>782.1568919772584</v>
      </c>
      <c r="E40" s="183">
        <f t="shared" si="8"/>
        <v>2424.9744977890082</v>
      </c>
      <c r="F40" s="183">
        <f t="shared" si="8"/>
        <v>569.13252053063809</v>
      </c>
      <c r="G40" s="183">
        <f t="shared" si="8"/>
        <v>2993.1285407454202</v>
      </c>
      <c r="H40" s="183">
        <f t="shared" si="8"/>
        <v>1958.3991724573596</v>
      </c>
      <c r="I40" s="183">
        <f t="shared" si="8"/>
        <v>2068.0589703095388</v>
      </c>
      <c r="J40" s="183">
        <f t="shared" si="8"/>
        <v>2843.9465192672142</v>
      </c>
      <c r="K40" s="183">
        <f t="shared" si="8"/>
        <v>22673.095230574858</v>
      </c>
      <c r="O40" s="247"/>
      <c r="P40" s="273"/>
      <c r="Q40" s="273"/>
      <c r="R40" s="273"/>
      <c r="S40" s="273"/>
      <c r="T40" s="273"/>
      <c r="U40" s="273"/>
    </row>
    <row r="41" spans="1:21" ht="15" x14ac:dyDescent="0.25">
      <c r="A41" s="182" t="s">
        <v>220</v>
      </c>
      <c r="B41" s="214">
        <f>SUM(B36:B40)</f>
        <v>39715</v>
      </c>
      <c r="C41" s="182">
        <f t="shared" si="8"/>
        <v>5472.5006667505986</v>
      </c>
      <c r="D41" s="182">
        <f t="shared" si="8"/>
        <v>879.56077955432454</v>
      </c>
      <c r="E41" s="182">
        <f t="shared" si="8"/>
        <v>587.30169407025051</v>
      </c>
      <c r="F41" s="182">
        <f t="shared" si="8"/>
        <v>650.29898401107891</v>
      </c>
      <c r="G41" s="182">
        <f t="shared" si="8"/>
        <v>1262.3741379831299</v>
      </c>
      <c r="H41" s="182">
        <f t="shared" si="8"/>
        <v>681.40106710310965</v>
      </c>
      <c r="I41" s="182">
        <f t="shared" si="8"/>
        <v>1058.3523452096188</v>
      </c>
      <c r="J41" s="182">
        <f t="shared" si="8"/>
        <v>684.28128792647612</v>
      </c>
      <c r="K41" s="182">
        <f t="shared" si="8"/>
        <v>11276.070962608586</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10318</v>
      </c>
      <c r="C43" s="182">
        <f t="shared" ref="C43:K45" si="9">C19/$B43</f>
        <v>5274.3511261872454</v>
      </c>
      <c r="D43" s="182">
        <f t="shared" si="9"/>
        <v>562.35098662531504</v>
      </c>
      <c r="E43" s="182">
        <f t="shared" si="9"/>
        <v>454.18434386509011</v>
      </c>
      <c r="F43" s="182">
        <f t="shared" si="9"/>
        <v>542.31116786198879</v>
      </c>
      <c r="G43" s="182">
        <f t="shared" si="9"/>
        <v>920.35724946695098</v>
      </c>
      <c r="H43" s="182">
        <f t="shared" si="9"/>
        <v>590.96843865090125</v>
      </c>
      <c r="I43" s="182">
        <f t="shared" si="9"/>
        <v>755.40842605156035</v>
      </c>
      <c r="J43" s="182">
        <f t="shared" si="9"/>
        <v>1235.7906910253926</v>
      </c>
      <c r="K43" s="182">
        <f t="shared" si="9"/>
        <v>10335.722429734444</v>
      </c>
    </row>
    <row r="44" spans="1:21" x14ac:dyDescent="0.2">
      <c r="A44" s="182" t="s">
        <v>87</v>
      </c>
      <c r="B44" s="220">
        <f>B20</f>
        <v>6968</v>
      </c>
      <c r="C44" s="183">
        <f t="shared" si="9"/>
        <v>7085.7986251435132</v>
      </c>
      <c r="D44" s="183">
        <f t="shared" si="9"/>
        <v>631.99878300803664</v>
      </c>
      <c r="E44" s="183">
        <f t="shared" si="9"/>
        <v>1332.583879161883</v>
      </c>
      <c r="F44" s="183">
        <f t="shared" si="9"/>
        <v>445.0918699770379</v>
      </c>
      <c r="G44" s="183">
        <f t="shared" si="9"/>
        <v>1757.5729549368541</v>
      </c>
      <c r="H44" s="183">
        <f t="shared" si="9"/>
        <v>1070.1243771526981</v>
      </c>
      <c r="I44" s="183">
        <f t="shared" si="9"/>
        <v>1235.5969388633755</v>
      </c>
      <c r="J44" s="183">
        <f t="shared" si="9"/>
        <v>1193.6824196326061</v>
      </c>
      <c r="K44" s="183">
        <f t="shared" si="9"/>
        <v>14752.449847876003</v>
      </c>
    </row>
    <row r="45" spans="1:21" x14ac:dyDescent="0.2">
      <c r="A45" s="182" t="s">
        <v>221</v>
      </c>
      <c r="B45" s="214">
        <f>SUM(B43:B44)</f>
        <v>17286</v>
      </c>
      <c r="C45" s="182">
        <f t="shared" si="9"/>
        <v>6004.5470172393852</v>
      </c>
      <c r="D45" s="182">
        <f t="shared" si="9"/>
        <v>590.42606733772993</v>
      </c>
      <c r="E45" s="182">
        <f t="shared" si="9"/>
        <v>808.2678774730997</v>
      </c>
      <c r="F45" s="182">
        <f t="shared" si="9"/>
        <v>503.12199352076823</v>
      </c>
      <c r="G45" s="182">
        <f t="shared" si="9"/>
        <v>1257.8395493462917</v>
      </c>
      <c r="H45" s="182">
        <f t="shared" si="9"/>
        <v>784.11656889968765</v>
      </c>
      <c r="I45" s="182">
        <f t="shared" si="9"/>
        <v>948.97278780516024</v>
      </c>
      <c r="J45" s="182">
        <f t="shared" si="9"/>
        <v>1218.8168141848894</v>
      </c>
      <c r="K45" s="182">
        <f t="shared" si="9"/>
        <v>12116.108675807011</v>
      </c>
    </row>
    <row r="46" spans="1:21" x14ac:dyDescent="0.2">
      <c r="A46" s="182"/>
      <c r="B46" s="214"/>
      <c r="C46" s="182"/>
      <c r="D46" s="182"/>
      <c r="E46" s="182"/>
      <c r="F46" s="182"/>
      <c r="G46" s="182"/>
      <c r="H46" s="182"/>
      <c r="I46" s="182"/>
      <c r="J46" s="182"/>
      <c r="K46" s="182"/>
    </row>
    <row r="47" spans="1:21" ht="13.5" thickBot="1" x14ac:dyDescent="0.25">
      <c r="A47" s="182" t="s">
        <v>222</v>
      </c>
      <c r="B47" s="222">
        <f>B45+B41+B34</f>
        <v>147525</v>
      </c>
      <c r="C47" s="222">
        <f t="shared" ref="C47:K47" si="10">C23/$B47</f>
        <v>5516.4282801559066</v>
      </c>
      <c r="D47" s="222">
        <f t="shared" si="10"/>
        <v>913.8068439925438</v>
      </c>
      <c r="E47" s="222">
        <f t="shared" si="10"/>
        <v>547.87615631248946</v>
      </c>
      <c r="F47" s="222">
        <f t="shared" si="10"/>
        <v>540.89274929672945</v>
      </c>
      <c r="G47" s="222">
        <f t="shared" si="10"/>
        <v>1027.0615091679376</v>
      </c>
      <c r="H47" s="222">
        <f t="shared" si="10"/>
        <v>569.09011618369777</v>
      </c>
      <c r="I47" s="222">
        <f t="shared" si="10"/>
        <v>706.50303480765979</v>
      </c>
      <c r="J47" s="222">
        <f t="shared" si="10"/>
        <v>578.57963775631254</v>
      </c>
      <c r="K47" s="192">
        <f t="shared" si="10"/>
        <v>10400.238327673276</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1142</v>
      </c>
      <c r="B50" s="182"/>
      <c r="C50" s="182"/>
      <c r="D50" s="182"/>
      <c r="E50" s="182"/>
      <c r="F50" s="182"/>
      <c r="G50" s="182"/>
      <c r="H50" s="182"/>
      <c r="I50" s="182"/>
      <c r="J50" s="182"/>
      <c r="K50" s="182"/>
    </row>
    <row r="51" spans="1:11" ht="40.5" customHeight="1" x14ac:dyDescent="0.2">
      <c r="A51" s="21" t="s">
        <v>245</v>
      </c>
      <c r="B51" s="21" t="str">
        <f>B3</f>
        <v>ANB12</v>
      </c>
      <c r="C51" s="21" t="str">
        <f t="shared" ref="C51:K51" si="11">C3</f>
        <v>12/Pupil Instruction</v>
      </c>
      <c r="D51" s="21" t="str">
        <f t="shared" si="11"/>
        <v>12/Pupil Student Services</v>
      </c>
      <c r="E51" s="21" t="str">
        <f t="shared" si="11"/>
        <v>12/Pupil General Admin</v>
      </c>
      <c r="F51" s="21" t="str">
        <f t="shared" si="11"/>
        <v>12/Pupil Bldg Admin</v>
      </c>
      <c r="G51" s="21" t="str">
        <f t="shared" si="11"/>
        <v>12/Pupil Bldg OM</v>
      </c>
      <c r="H51" s="21" t="str">
        <f t="shared" si="11"/>
        <v>12/Pupil Transport</v>
      </c>
      <c r="I51" s="21" t="str">
        <f t="shared" si="11"/>
        <v>12/Pupil Other</v>
      </c>
      <c r="J51" s="21" t="str">
        <f t="shared" si="11"/>
        <v>12/Pupil Bonds/ Facilities</v>
      </c>
      <c r="K51" s="21" t="str">
        <f t="shared" si="11"/>
        <v>12/Pupil Total</v>
      </c>
    </row>
    <row r="52" spans="1:11" x14ac:dyDescent="0.2">
      <c r="A52" s="182" t="s">
        <v>102</v>
      </c>
      <c r="B52" s="214">
        <f t="shared" ref="B52:B57" si="12">B4</f>
        <v>38250</v>
      </c>
      <c r="C52" s="191">
        <f t="shared" ref="C52:K58" si="13">C28/$K28</f>
        <v>0.58200460779255814</v>
      </c>
      <c r="D52" s="191">
        <f t="shared" si="13"/>
        <v>0.13074689685935637</v>
      </c>
      <c r="E52" s="191">
        <f t="shared" si="13"/>
        <v>3.516866840835832E-2</v>
      </c>
      <c r="F52" s="191">
        <f t="shared" si="13"/>
        <v>5.7426579515376629E-2</v>
      </c>
      <c r="G52" s="191">
        <f t="shared" si="13"/>
        <v>8.6141172455855716E-2</v>
      </c>
      <c r="H52" s="191">
        <f t="shared" si="13"/>
        <v>4.3810696702630311E-2</v>
      </c>
      <c r="I52" s="191">
        <f t="shared" si="13"/>
        <v>3.4114054090768092E-2</v>
      </c>
      <c r="J52" s="191">
        <f t="shared" si="13"/>
        <v>3.0587324175096645E-2</v>
      </c>
      <c r="K52" s="191">
        <f t="shared" si="13"/>
        <v>1</v>
      </c>
    </row>
    <row r="53" spans="1:11" x14ac:dyDescent="0.2">
      <c r="A53" s="182" t="s">
        <v>76</v>
      </c>
      <c r="B53" s="214">
        <f t="shared" si="12"/>
        <v>17543</v>
      </c>
      <c r="C53" s="191">
        <f t="shared" si="13"/>
        <v>0.54323997751983588</v>
      </c>
      <c r="D53" s="191">
        <f t="shared" si="13"/>
        <v>0.11712249413946611</v>
      </c>
      <c r="E53" s="191">
        <f t="shared" si="13"/>
        <v>3.7508111631423612E-2</v>
      </c>
      <c r="F53" s="191">
        <f t="shared" si="13"/>
        <v>5.6352228724719712E-2</v>
      </c>
      <c r="G53" s="191">
        <f t="shared" si="13"/>
        <v>8.6172414414387832E-2</v>
      </c>
      <c r="H53" s="191">
        <f t="shared" si="13"/>
        <v>4.9151056383709028E-2</v>
      </c>
      <c r="I53" s="191">
        <f t="shared" si="13"/>
        <v>5.3676449777092884E-2</v>
      </c>
      <c r="J53" s="191">
        <f t="shared" si="13"/>
        <v>5.6777267409365083E-2</v>
      </c>
      <c r="K53" s="191">
        <f t="shared" si="13"/>
        <v>1</v>
      </c>
    </row>
    <row r="54" spans="1:11" x14ac:dyDescent="0.2">
      <c r="A54" s="182" t="s">
        <v>77</v>
      </c>
      <c r="B54" s="214">
        <f t="shared" si="12"/>
        <v>14801</v>
      </c>
      <c r="C54" s="191">
        <f t="shared" si="13"/>
        <v>0.55671657135185548</v>
      </c>
      <c r="D54" s="191">
        <f t="shared" si="13"/>
        <v>9.4134149398749464E-2</v>
      </c>
      <c r="E54" s="191">
        <f t="shared" si="13"/>
        <v>5.7329851849373295E-2</v>
      </c>
      <c r="F54" s="191">
        <f t="shared" si="13"/>
        <v>5.3604627469416917E-2</v>
      </c>
      <c r="G54" s="191">
        <f t="shared" si="13"/>
        <v>9.5467154927944706E-2</v>
      </c>
      <c r="H54" s="191">
        <f t="shared" si="13"/>
        <v>4.74095615676789E-2</v>
      </c>
      <c r="I54" s="191">
        <f t="shared" si="13"/>
        <v>5.5501304100942332E-2</v>
      </c>
      <c r="J54" s="191">
        <f t="shared" si="13"/>
        <v>3.9836779334038688E-2</v>
      </c>
      <c r="K54" s="191">
        <f t="shared" si="13"/>
        <v>1</v>
      </c>
    </row>
    <row r="55" spans="1:11" x14ac:dyDescent="0.2">
      <c r="A55" s="182" t="s">
        <v>78</v>
      </c>
      <c r="B55" s="214">
        <f t="shared" si="12"/>
        <v>13300</v>
      </c>
      <c r="C55" s="191">
        <f t="shared" si="13"/>
        <v>0.54888776210240964</v>
      </c>
      <c r="D55" s="191">
        <f t="shared" si="13"/>
        <v>5.9135999940257776E-2</v>
      </c>
      <c r="E55" s="191">
        <f t="shared" si="13"/>
        <v>6.6646658072138251E-2</v>
      </c>
      <c r="F55" s="191">
        <f t="shared" si="13"/>
        <v>4.0359308653407255E-2</v>
      </c>
      <c r="G55" s="191">
        <f t="shared" si="13"/>
        <v>9.4083693441701519E-2</v>
      </c>
      <c r="H55" s="191">
        <f t="shared" si="13"/>
        <v>4.8203973323990151E-2</v>
      </c>
      <c r="I55" s="191">
        <f t="shared" si="13"/>
        <v>8.4771108270389417E-2</v>
      </c>
      <c r="J55" s="191">
        <f t="shared" si="13"/>
        <v>5.7911496195705923E-2</v>
      </c>
      <c r="K55" s="191">
        <f t="shared" si="13"/>
        <v>1</v>
      </c>
    </row>
    <row r="56" spans="1:11" x14ac:dyDescent="0.2">
      <c r="A56" s="182" t="s">
        <v>79</v>
      </c>
      <c r="B56" s="214">
        <f t="shared" si="12"/>
        <v>4966</v>
      </c>
      <c r="C56" s="191">
        <f t="shared" si="13"/>
        <v>0.53633358122335761</v>
      </c>
      <c r="D56" s="191">
        <f t="shared" si="13"/>
        <v>4.2253543136327162E-2</v>
      </c>
      <c r="E56" s="191">
        <f t="shared" si="13"/>
        <v>8.831431329165057E-2</v>
      </c>
      <c r="F56" s="191">
        <f t="shared" si="13"/>
        <v>3.9217340338155396E-2</v>
      </c>
      <c r="G56" s="191">
        <f t="shared" si="13"/>
        <v>9.825303289993588E-2</v>
      </c>
      <c r="H56" s="191">
        <f t="shared" si="13"/>
        <v>7.8734321836491608E-2</v>
      </c>
      <c r="I56" s="191">
        <f t="shared" si="13"/>
        <v>7.1758561941115864E-2</v>
      </c>
      <c r="J56" s="191">
        <f t="shared" si="13"/>
        <v>4.5135305332965926E-2</v>
      </c>
      <c r="K56" s="191">
        <f t="shared" si="13"/>
        <v>1</v>
      </c>
    </row>
    <row r="57" spans="1:11" x14ac:dyDescent="0.2">
      <c r="A57" s="182" t="s">
        <v>80</v>
      </c>
      <c r="B57" s="220">
        <f t="shared" si="12"/>
        <v>1664</v>
      </c>
      <c r="C57" s="193">
        <f t="shared" si="13"/>
        <v>0.58334910000382434</v>
      </c>
      <c r="D57" s="193">
        <f t="shared" si="13"/>
        <v>2.6191477097507219E-2</v>
      </c>
      <c r="E57" s="193">
        <f t="shared" si="13"/>
        <v>0.10867546625319821</v>
      </c>
      <c r="F57" s="193">
        <f t="shared" si="13"/>
        <v>9.5235134801713566E-3</v>
      </c>
      <c r="G57" s="193">
        <f t="shared" si="13"/>
        <v>0.13122285150937249</v>
      </c>
      <c r="H57" s="193">
        <f t="shared" si="13"/>
        <v>8.087892280893022E-2</v>
      </c>
      <c r="I57" s="193">
        <f t="shared" si="13"/>
        <v>3.9944855965348053E-2</v>
      </c>
      <c r="J57" s="193">
        <f t="shared" si="13"/>
        <v>2.0213812881648235E-2</v>
      </c>
      <c r="K57" s="193">
        <f t="shared" si="13"/>
        <v>1</v>
      </c>
    </row>
    <row r="58" spans="1:11" x14ac:dyDescent="0.2">
      <c r="A58" s="182" t="s">
        <v>219</v>
      </c>
      <c r="B58" s="214">
        <f>SUM(B52:B57)</f>
        <v>90524</v>
      </c>
      <c r="C58" s="191">
        <f t="shared" si="13"/>
        <v>0.56175710485277053</v>
      </c>
      <c r="D58" s="191">
        <f t="shared" si="13"/>
        <v>0.10224485537644165</v>
      </c>
      <c r="E58" s="191">
        <f t="shared" si="13"/>
        <v>4.9632482589835651E-2</v>
      </c>
      <c r="F58" s="191">
        <f t="shared" si="13"/>
        <v>5.1619408153609318E-2</v>
      </c>
      <c r="G58" s="191">
        <f t="shared" si="13"/>
        <v>9.0805700011006879E-2</v>
      </c>
      <c r="H58" s="191">
        <f t="shared" si="13"/>
        <v>4.9415741643879997E-2</v>
      </c>
      <c r="I58" s="191">
        <f t="shared" si="13"/>
        <v>5.2210999212591098E-2</v>
      </c>
      <c r="J58" s="191">
        <f t="shared" si="13"/>
        <v>4.2313708159865342E-2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21593</v>
      </c>
      <c r="C60" s="191">
        <f t="shared" ref="C60:K65" si="14">C36/$K36</f>
        <v>0.52941988945906526</v>
      </c>
      <c r="D60" s="191">
        <f t="shared" si="14"/>
        <v>9.1265187711031981E-2</v>
      </c>
      <c r="E60" s="191">
        <f t="shared" si="14"/>
        <v>3.7580536350130499E-2</v>
      </c>
      <c r="F60" s="191">
        <f t="shared" si="14"/>
        <v>6.0692480601622252E-2</v>
      </c>
      <c r="G60" s="191">
        <f t="shared" si="14"/>
        <v>9.9556575974904499E-2</v>
      </c>
      <c r="H60" s="191">
        <f t="shared" si="14"/>
        <v>4.1784791335366035E-2</v>
      </c>
      <c r="I60" s="191">
        <f t="shared" si="14"/>
        <v>8.662651121918867E-2</v>
      </c>
      <c r="J60" s="191">
        <f t="shared" si="14"/>
        <v>5.3074027348690697E-2</v>
      </c>
      <c r="K60" s="191">
        <f t="shared" si="14"/>
        <v>1</v>
      </c>
    </row>
    <row r="61" spans="1:11" x14ac:dyDescent="0.2">
      <c r="A61" s="182" t="s">
        <v>82</v>
      </c>
      <c r="B61" s="214">
        <f>B37</f>
        <v>6158</v>
      </c>
      <c r="C61" s="191">
        <f t="shared" si="14"/>
        <v>0.44828368822131182</v>
      </c>
      <c r="D61" s="191">
        <f t="shared" si="14"/>
        <v>8.4771369169892696E-2</v>
      </c>
      <c r="E61" s="191">
        <f t="shared" si="14"/>
        <v>4.4884223120978291E-2</v>
      </c>
      <c r="F61" s="191">
        <f t="shared" si="14"/>
        <v>6.6510087410579524E-2</v>
      </c>
      <c r="G61" s="191">
        <f t="shared" si="14"/>
        <v>0.10757855877951455</v>
      </c>
      <c r="H61" s="191">
        <f t="shared" si="14"/>
        <v>6.5066989589089089E-2</v>
      </c>
      <c r="I61" s="191">
        <f t="shared" si="14"/>
        <v>0.10373126904629124</v>
      </c>
      <c r="J61" s="191">
        <f t="shared" si="14"/>
        <v>7.9173814662342704E-2</v>
      </c>
      <c r="K61" s="191">
        <f t="shared" si="14"/>
        <v>1</v>
      </c>
    </row>
    <row r="62" spans="1:11" x14ac:dyDescent="0.2">
      <c r="A62" s="182" t="s">
        <v>83</v>
      </c>
      <c r="B62" s="214">
        <f>B38</f>
        <v>5197</v>
      </c>
      <c r="C62" s="191">
        <f t="shared" si="14"/>
        <v>0.46896607416354297</v>
      </c>
      <c r="D62" s="191">
        <f t="shared" si="14"/>
        <v>7.3509404354835078E-2</v>
      </c>
      <c r="E62" s="191">
        <f t="shared" si="14"/>
        <v>5.8261229047771375E-2</v>
      </c>
      <c r="F62" s="191">
        <f t="shared" si="14"/>
        <v>6.1396583450145474E-2</v>
      </c>
      <c r="G62" s="191">
        <f t="shared" si="14"/>
        <v>0.12646771829596509</v>
      </c>
      <c r="H62" s="191">
        <f t="shared" si="14"/>
        <v>8.1934013012533571E-2</v>
      </c>
      <c r="I62" s="191">
        <f t="shared" si="14"/>
        <v>9.3245096499758942E-2</v>
      </c>
      <c r="J62" s="191">
        <f t="shared" si="14"/>
        <v>3.6219881175447548E-2</v>
      </c>
      <c r="K62" s="191">
        <f t="shared" si="14"/>
        <v>1</v>
      </c>
    </row>
    <row r="63" spans="1:11" x14ac:dyDescent="0.2">
      <c r="A63" s="182" t="s">
        <v>84</v>
      </c>
      <c r="B63" s="214">
        <f>B39</f>
        <v>5184</v>
      </c>
      <c r="C63" s="191">
        <f t="shared" si="14"/>
        <v>0.44515857970218092</v>
      </c>
      <c r="D63" s="191">
        <f t="shared" si="14"/>
        <v>5.8251178385595001E-2</v>
      </c>
      <c r="E63" s="191">
        <f t="shared" si="14"/>
        <v>6.8948857875099384E-2</v>
      </c>
      <c r="F63" s="191">
        <f t="shared" si="14"/>
        <v>5.3976494126114195E-2</v>
      </c>
      <c r="G63" s="191">
        <f t="shared" si="14"/>
        <v>0.13049040851049418</v>
      </c>
      <c r="H63" s="191">
        <f t="shared" si="14"/>
        <v>8.0748247290280711E-2</v>
      </c>
      <c r="I63" s="191">
        <f t="shared" si="14"/>
        <v>0.10793881550758214</v>
      </c>
      <c r="J63" s="191">
        <f t="shared" si="14"/>
        <v>5.4487418602653458E-2</v>
      </c>
      <c r="K63" s="191">
        <f t="shared" si="14"/>
        <v>1</v>
      </c>
    </row>
    <row r="64" spans="1:11" x14ac:dyDescent="0.2">
      <c r="A64" s="182" t="s">
        <v>85</v>
      </c>
      <c r="B64" s="220">
        <f>B40</f>
        <v>1583</v>
      </c>
      <c r="C64" s="193">
        <f t="shared" si="14"/>
        <v>0.39841486244528906</v>
      </c>
      <c r="D64" s="193">
        <f t="shared" si="14"/>
        <v>3.4497137864199209E-2</v>
      </c>
      <c r="E64" s="193">
        <f t="shared" si="14"/>
        <v>0.10695383550980327</v>
      </c>
      <c r="F64" s="193">
        <f t="shared" si="14"/>
        <v>2.5101668508107272E-2</v>
      </c>
      <c r="G64" s="193">
        <f t="shared" si="14"/>
        <v>0.13201234812921181</v>
      </c>
      <c r="H64" s="193">
        <f t="shared" si="14"/>
        <v>8.6375466275837004E-2</v>
      </c>
      <c r="I64" s="193">
        <f t="shared" si="14"/>
        <v>9.1212026822025782E-2</v>
      </c>
      <c r="J64" s="193">
        <f t="shared" si="14"/>
        <v>0.12543265444552665</v>
      </c>
      <c r="K64" s="193">
        <f t="shared" si="14"/>
        <v>1</v>
      </c>
    </row>
    <row r="65" spans="1:11" x14ac:dyDescent="0.2">
      <c r="A65" s="182" t="s">
        <v>220</v>
      </c>
      <c r="B65" s="214">
        <f>SUM(B60:B64)</f>
        <v>39715</v>
      </c>
      <c r="C65" s="191">
        <f t="shared" si="14"/>
        <v>0.48531981440143401</v>
      </c>
      <c r="D65" s="191">
        <f t="shared" si="14"/>
        <v>7.8002416131553731E-2</v>
      </c>
      <c r="E65" s="191">
        <f t="shared" si="14"/>
        <v>5.2083894826286656E-2</v>
      </c>
      <c r="F65" s="191">
        <f t="shared" si="14"/>
        <v>5.7670706948144274E-2</v>
      </c>
      <c r="G65" s="191">
        <f t="shared" si="14"/>
        <v>0.11195159574369107</v>
      </c>
      <c r="H65" s="191">
        <f t="shared" si="14"/>
        <v>6.0428944564346332E-2</v>
      </c>
      <c r="I65" s="191">
        <f t="shared" si="14"/>
        <v>9.3858255124423362E-2</v>
      </c>
      <c r="J65" s="191">
        <f t="shared" si="14"/>
        <v>6.068437226012062E-2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10318</v>
      </c>
      <c r="C67" s="191">
        <f t="shared" ref="C67:K69" si="15">C43/$K43</f>
        <v>0.51030309318424294</v>
      </c>
      <c r="D67" s="191">
        <f t="shared" si="15"/>
        <v>5.4408483823782751E-2</v>
      </c>
      <c r="E67" s="191">
        <f t="shared" si="15"/>
        <v>4.3943163813926017E-2</v>
      </c>
      <c r="F67" s="191">
        <f t="shared" si="15"/>
        <v>5.2469594800827329E-2</v>
      </c>
      <c r="G67" s="191">
        <f t="shared" si="15"/>
        <v>8.9046242845996951E-2</v>
      </c>
      <c r="H67" s="191">
        <f t="shared" si="15"/>
        <v>5.7177274512593988E-2</v>
      </c>
      <c r="I67" s="191">
        <f t="shared" si="15"/>
        <v>7.3087143272961244E-2</v>
      </c>
      <c r="J67" s="191">
        <f t="shared" si="15"/>
        <v>0.11956500374566888</v>
      </c>
      <c r="K67" s="191">
        <f t="shared" si="15"/>
        <v>1</v>
      </c>
    </row>
    <row r="68" spans="1:11" x14ac:dyDescent="0.2">
      <c r="A68" s="182" t="s">
        <v>87</v>
      </c>
      <c r="B68" s="220">
        <f>B44</f>
        <v>6968</v>
      </c>
      <c r="C68" s="193">
        <f t="shared" si="15"/>
        <v>0.48031335122035324</v>
      </c>
      <c r="D68" s="193">
        <f t="shared" si="15"/>
        <v>4.2840259721271257E-2</v>
      </c>
      <c r="E68" s="193">
        <f t="shared" si="15"/>
        <v>9.0329666794545516E-2</v>
      </c>
      <c r="F68" s="193">
        <f t="shared" si="15"/>
        <v>3.0170708903722889E-2</v>
      </c>
      <c r="G68" s="193">
        <f t="shared" si="15"/>
        <v>0.1191377007250021</v>
      </c>
      <c r="H68" s="193">
        <f t="shared" si="15"/>
        <v>7.2538757168306531E-2</v>
      </c>
      <c r="I68" s="193">
        <f t="shared" si="15"/>
        <v>8.3755372945143181E-2</v>
      </c>
      <c r="J68" s="193">
        <f t="shared" si="15"/>
        <v>8.0914182521655373E-2</v>
      </c>
      <c r="K68" s="193">
        <f t="shared" si="15"/>
        <v>1</v>
      </c>
    </row>
    <row r="69" spans="1:11" x14ac:dyDescent="0.2">
      <c r="A69" s="182" t="s">
        <v>221</v>
      </c>
      <c r="B69" s="214">
        <f>SUM(B67:B68)</f>
        <v>17286</v>
      </c>
      <c r="C69" s="191">
        <f t="shared" si="15"/>
        <v>0.49558378666816011</v>
      </c>
      <c r="D69" s="191">
        <f t="shared" si="15"/>
        <v>4.8730667835348032E-2</v>
      </c>
      <c r="E69" s="191">
        <f t="shared" si="15"/>
        <v>6.6710187164878976E-2</v>
      </c>
      <c r="F69" s="191">
        <f t="shared" si="15"/>
        <v>4.1525047932706588E-2</v>
      </c>
      <c r="G69" s="191">
        <f t="shared" si="15"/>
        <v>0.10381547269032824</v>
      </c>
      <c r="H69" s="191">
        <f t="shared" si="15"/>
        <v>6.4716864950657149E-2</v>
      </c>
      <c r="I69" s="191">
        <f t="shared" si="15"/>
        <v>7.8323231756746561E-2</v>
      </c>
      <c r="J69" s="191">
        <f t="shared" si="15"/>
        <v>0.10059474100117448</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147525</v>
      </c>
      <c r="C71" s="195">
        <f t="shared" ref="C71:K71" si="16">C47/$K47</f>
        <v>0.53041364114489797</v>
      </c>
      <c r="D71" s="195">
        <f t="shared" si="16"/>
        <v>8.7864029188740631E-2</v>
      </c>
      <c r="E71" s="195">
        <f t="shared" si="16"/>
        <v>5.267919244260813E-2</v>
      </c>
      <c r="F71" s="195">
        <f t="shared" si="16"/>
        <v>5.2007726386183409E-2</v>
      </c>
      <c r="G71" s="195">
        <f t="shared" si="16"/>
        <v>9.8753651292307468E-2</v>
      </c>
      <c r="H71" s="195">
        <f t="shared" si="16"/>
        <v>5.4718949533054943E-2</v>
      </c>
      <c r="I71" s="195">
        <f t="shared" si="16"/>
        <v>6.7931427391214161E-2</v>
      </c>
      <c r="J71" s="195">
        <f t="shared" si="16"/>
        <v>5.5631382620993396E-2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B6E6-ABF4-4115-B2BD-162D780E555A}">
  <dimension ref="A1:AC82"/>
  <sheetViews>
    <sheetView zoomScaleNormal="100" workbookViewId="0">
      <selection activeCell="C2" sqref="C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3.42578125" customWidth="1"/>
    <col min="9" max="9" width="14.28515625" customWidth="1"/>
    <col min="10" max="10" width="11.7109375" bestFit="1" customWidth="1"/>
    <col min="11" max="11" width="11.7109375" customWidth="1"/>
    <col min="12" max="12" width="11.28515625" bestFit="1" customWidth="1"/>
    <col min="13" max="13" width="11.42578125" bestFit="1" customWidth="1"/>
    <col min="14" max="14" width="8.85546875"/>
    <col min="15" max="15" width="7.140625" bestFit="1" customWidth="1"/>
    <col min="16" max="16" width="10.42578125" customWidth="1"/>
    <col min="17" max="17" width="8.85546875" customWidth="1"/>
    <col min="18" max="20" width="11.5703125" bestFit="1" customWidth="1"/>
    <col min="21" max="21" width="12.5703125" bestFit="1" customWidth="1"/>
    <col min="22" max="22" width="11.5703125" bestFit="1" customWidth="1"/>
    <col min="23" max="23" width="10.5703125" bestFit="1" customWidth="1"/>
    <col min="24" max="24" width="20.7109375" bestFit="1" customWidth="1"/>
  </cols>
  <sheetData>
    <row r="1" spans="1:29" x14ac:dyDescent="0.2">
      <c r="A1" s="36" t="s">
        <v>200</v>
      </c>
      <c r="B1" s="36"/>
      <c r="C1" s="22"/>
      <c r="D1" s="22"/>
      <c r="E1" s="22"/>
      <c r="F1" s="22"/>
      <c r="G1" s="22"/>
      <c r="H1" s="22"/>
      <c r="I1" s="22"/>
      <c r="J1" s="22"/>
      <c r="K1" s="22"/>
      <c r="L1" s="22"/>
    </row>
    <row r="2" spans="1:29" x14ac:dyDescent="0.2">
      <c r="A2" s="36" t="s">
        <v>8</v>
      </c>
      <c r="B2" s="239"/>
      <c r="C2" s="22" t="s">
        <v>1369</v>
      </c>
      <c r="D2" s="22"/>
      <c r="E2" s="22"/>
      <c r="F2" s="22"/>
      <c r="G2" s="22"/>
      <c r="H2" s="22"/>
      <c r="I2" s="22"/>
      <c r="J2" s="22"/>
      <c r="K2" s="22"/>
      <c r="L2" s="22"/>
    </row>
    <row r="3" spans="1:29" ht="33.75" x14ac:dyDescent="0.2">
      <c r="A3" s="20" t="s">
        <v>245</v>
      </c>
      <c r="B3" s="21" t="str">
        <f>"ANB"&amp;RIGHT(C2,2)</f>
        <v>ANB21</v>
      </c>
      <c r="C3" s="202" t="str">
        <f>RIGHT(C2,2)&amp;"/Pupil Property Tax"</f>
        <v>21/Pupil Property Tax</v>
      </c>
      <c r="D3" s="202" t="str">
        <f>RIGHT(C2,2)&amp;"/Pupil Non Levy Revenue"</f>
        <v>21/Pupil Non Levy Revenue</v>
      </c>
      <c r="E3" s="202" t="str">
        <f>RIGHT(C2,2)&amp;"/Pupil County Revenue"</f>
        <v>21/Pupil County Revenue</v>
      </c>
      <c r="F3" s="202" t="str">
        <f>RIGHT(C2,2)&amp;"/Pupil State Revenue"</f>
        <v>21/Pupil State Revenue</v>
      </c>
      <c r="G3" s="202" t="str">
        <f>RIGHT(C2,2)&amp;"/Pupil Federal Revenue"</f>
        <v>21/Pupil Federal Revenue</v>
      </c>
      <c r="H3" s="202" t="str">
        <f>RIGHT(C2,2)&amp;"Federal CARES Revenue"</f>
        <v>21Federal CARES Revenue</v>
      </c>
      <c r="I3" s="202" t="str">
        <f>RIGHT(C2,2)&amp;"/Pupil Total Revenue NO CARES"</f>
        <v>21/Pupil Total Revenue NO CARES</v>
      </c>
      <c r="J3" s="202" t="str">
        <f>RIGHT(C2,2)&amp;"/Pupil Total Revenue WITH CARES"</f>
        <v>21/Pupil Total Revenue WITH CARES</v>
      </c>
      <c r="K3" s="202" t="str">
        <f>RIGHT(C2,2)&amp;"/Rev Per ANB NO CARES"</f>
        <v>21/Rev Per ANB NO CARES</v>
      </c>
      <c r="L3" s="202" t="str">
        <f>RIGHT(C2,2)&amp;"/Rev Per ANB WITH CARES"</f>
        <v>21/Rev Per ANB WITH CARES</v>
      </c>
      <c r="M3" s="202"/>
      <c r="O3" s="287"/>
      <c r="P3" s="278"/>
      <c r="Q3" s="290"/>
      <c r="R3" s="290"/>
      <c r="S3" s="290"/>
      <c r="T3" s="290"/>
      <c r="U3" s="290"/>
      <c r="V3" s="290"/>
      <c r="W3" s="290"/>
    </row>
    <row r="4" spans="1:29" ht="15" x14ac:dyDescent="0.25">
      <c r="A4" s="33" t="s">
        <v>102</v>
      </c>
      <c r="B4" s="214">
        <v>42204</v>
      </c>
      <c r="C4" s="214">
        <v>167565664.06</v>
      </c>
      <c r="D4" s="214">
        <v>5932647.21</v>
      </c>
      <c r="E4" s="214">
        <v>44321366.659999996</v>
      </c>
      <c r="F4" s="214">
        <v>218148183.83999997</v>
      </c>
      <c r="G4" s="214">
        <v>49022234.329999998</v>
      </c>
      <c r="H4" s="214">
        <v>47510268.810000002</v>
      </c>
      <c r="I4" s="229">
        <f>SUM(C4:G4)</f>
        <v>484990096.09999996</v>
      </c>
      <c r="J4" s="229">
        <f>SUM(C4:H4)</f>
        <v>532500364.90999997</v>
      </c>
      <c r="K4" s="321">
        <f>I4/B4</f>
        <v>11491.567057624869</v>
      </c>
      <c r="L4" s="321">
        <f t="shared" ref="L4:L10" si="0">J4/B4</f>
        <v>12617.29610724102</v>
      </c>
      <c r="M4" s="221"/>
      <c r="O4" s="283"/>
      <c r="P4" s="289"/>
      <c r="Q4" s="289"/>
      <c r="R4" s="289"/>
      <c r="S4" s="289"/>
      <c r="T4" s="289"/>
      <c r="U4" s="289"/>
      <c r="V4" s="289"/>
      <c r="W4" s="289"/>
      <c r="X4" s="268"/>
      <c r="Y4" s="268"/>
      <c r="Z4" s="268"/>
      <c r="AA4" s="268"/>
      <c r="AB4" s="268"/>
      <c r="AC4" s="268"/>
    </row>
    <row r="5" spans="1:29" ht="15" x14ac:dyDescent="0.25">
      <c r="A5" s="33" t="s">
        <v>76</v>
      </c>
      <c r="B5" s="214">
        <v>16998</v>
      </c>
      <c r="C5" s="214">
        <v>56467832.249999985</v>
      </c>
      <c r="D5" s="214">
        <v>3294697.9599999995</v>
      </c>
      <c r="E5" s="214">
        <v>18597751.82</v>
      </c>
      <c r="F5" s="214">
        <v>90437850.770000011</v>
      </c>
      <c r="G5" s="214">
        <v>45873884.359999999</v>
      </c>
      <c r="H5" s="214">
        <v>16151365.779999997</v>
      </c>
      <c r="I5" s="229">
        <f t="shared" ref="I5:I9" si="1">SUM(C5:G5)</f>
        <v>214672017.16000003</v>
      </c>
      <c r="J5" s="229">
        <f t="shared" ref="J5:J9" si="2">SUM(C5:H5)</f>
        <v>230823382.94000003</v>
      </c>
      <c r="K5" s="321">
        <f t="shared" ref="K5:K22" si="3">I5/B5</f>
        <v>12629.251509589365</v>
      </c>
      <c r="L5" s="321">
        <f t="shared" si="0"/>
        <v>13579.443636898461</v>
      </c>
      <c r="M5" s="221"/>
      <c r="O5" s="283"/>
      <c r="P5" s="289"/>
      <c r="Q5" s="289"/>
      <c r="R5" s="289"/>
      <c r="S5" s="289"/>
      <c r="T5" s="289"/>
      <c r="U5" s="289"/>
      <c r="V5" s="289"/>
      <c r="W5" s="289"/>
      <c r="X5" s="268"/>
      <c r="Y5" s="268"/>
      <c r="Z5" s="268"/>
      <c r="AA5" s="268"/>
      <c r="AB5" s="268"/>
      <c r="AC5" s="268"/>
    </row>
    <row r="6" spans="1:29" ht="15" x14ac:dyDescent="0.25">
      <c r="A6" s="33" t="s">
        <v>77</v>
      </c>
      <c r="B6" s="214">
        <v>16591</v>
      </c>
      <c r="C6" s="214">
        <v>48476265.969999999</v>
      </c>
      <c r="D6" s="214">
        <v>6601860.2299999995</v>
      </c>
      <c r="E6" s="214">
        <v>18194318.279999997</v>
      </c>
      <c r="F6" s="214">
        <v>90112931.60999997</v>
      </c>
      <c r="G6" s="214">
        <v>39120979.930000007</v>
      </c>
      <c r="H6" s="214">
        <v>14203350.449999999</v>
      </c>
      <c r="I6" s="229">
        <f t="shared" si="1"/>
        <v>202506356.01999998</v>
      </c>
      <c r="J6" s="229">
        <f t="shared" si="2"/>
        <v>216709706.46999997</v>
      </c>
      <c r="K6" s="321">
        <f t="shared" si="3"/>
        <v>12205.795673557952</v>
      </c>
      <c r="L6" s="321">
        <f t="shared" si="0"/>
        <v>13061.883338557047</v>
      </c>
      <c r="M6" s="221"/>
      <c r="O6" s="283"/>
      <c r="P6" s="289"/>
      <c r="Q6" s="289"/>
      <c r="R6" s="289"/>
      <c r="S6" s="289"/>
      <c r="T6" s="289"/>
      <c r="U6" s="289"/>
      <c r="V6" s="289"/>
      <c r="W6" s="289"/>
      <c r="X6" s="268"/>
      <c r="Y6" s="268"/>
      <c r="Z6" s="268"/>
      <c r="AA6" s="268"/>
      <c r="AB6" s="268"/>
      <c r="AC6" s="268"/>
    </row>
    <row r="7" spans="1:29" ht="15" x14ac:dyDescent="0.25">
      <c r="A7" s="33" t="s">
        <v>78</v>
      </c>
      <c r="B7" s="214">
        <v>12479</v>
      </c>
      <c r="C7" s="214">
        <v>38845566.710000001</v>
      </c>
      <c r="D7" s="214">
        <v>4613366.8499999996</v>
      </c>
      <c r="E7" s="214">
        <v>13046609.330000002</v>
      </c>
      <c r="F7" s="214">
        <v>66914776.230000004</v>
      </c>
      <c r="G7" s="214">
        <v>29530237.890000008</v>
      </c>
      <c r="H7" s="214">
        <v>11523521.76</v>
      </c>
      <c r="I7" s="229">
        <f t="shared" si="1"/>
        <v>152950557.01000002</v>
      </c>
      <c r="J7" s="229">
        <f t="shared" si="2"/>
        <v>164474078.77000001</v>
      </c>
      <c r="K7" s="321">
        <f t="shared" si="3"/>
        <v>12256.635708790771</v>
      </c>
      <c r="L7" s="321">
        <f t="shared" si="0"/>
        <v>13180.068817212919</v>
      </c>
      <c r="M7" s="221"/>
      <c r="O7" s="283"/>
      <c r="P7" s="289"/>
      <c r="Q7" s="289"/>
      <c r="R7" s="289"/>
      <c r="S7" s="289"/>
      <c r="T7" s="289"/>
      <c r="U7" s="289"/>
      <c r="V7" s="289"/>
      <c r="W7" s="289"/>
      <c r="X7" s="268"/>
      <c r="Y7" s="268"/>
      <c r="Z7" s="268"/>
      <c r="AA7" s="268"/>
      <c r="AB7" s="268"/>
      <c r="AC7" s="268"/>
    </row>
    <row r="8" spans="1:29" ht="15" x14ac:dyDescent="0.25">
      <c r="A8" s="33" t="s">
        <v>79</v>
      </c>
      <c r="B8" s="214">
        <v>5230</v>
      </c>
      <c r="C8" s="214">
        <v>21648911.789999999</v>
      </c>
      <c r="D8" s="214">
        <v>5384513.5299999984</v>
      </c>
      <c r="E8" s="214">
        <v>6886995.6799999997</v>
      </c>
      <c r="F8" s="214">
        <v>31177081.389999993</v>
      </c>
      <c r="G8" s="214">
        <v>15242127.370000001</v>
      </c>
      <c r="H8" s="214">
        <v>5512864.0099999998</v>
      </c>
      <c r="I8" s="229">
        <f t="shared" si="1"/>
        <v>80339629.75999999</v>
      </c>
      <c r="J8" s="229">
        <f t="shared" si="2"/>
        <v>85852493.769999996</v>
      </c>
      <c r="K8" s="321">
        <f t="shared" si="3"/>
        <v>15361.305881453152</v>
      </c>
      <c r="L8" s="321">
        <f t="shared" si="0"/>
        <v>16415.390778202676</v>
      </c>
      <c r="M8" s="221"/>
      <c r="O8" s="283"/>
      <c r="P8" s="289"/>
      <c r="Q8" s="289"/>
      <c r="R8" s="289"/>
      <c r="S8" s="289"/>
      <c r="T8" s="289"/>
      <c r="U8" s="289"/>
      <c r="V8" s="289"/>
      <c r="W8" s="289"/>
      <c r="X8" s="268"/>
      <c r="Y8" s="268"/>
      <c r="Z8" s="268"/>
      <c r="AA8" s="268"/>
      <c r="AB8" s="268"/>
      <c r="AC8" s="268"/>
    </row>
    <row r="9" spans="1:29" ht="15" x14ac:dyDescent="0.25">
      <c r="A9" s="33" t="s">
        <v>80</v>
      </c>
      <c r="B9" s="220">
        <v>1296</v>
      </c>
      <c r="C9" s="220">
        <v>6586951.0200000023</v>
      </c>
      <c r="D9" s="220">
        <v>931791.20999999985</v>
      </c>
      <c r="E9" s="220">
        <v>1632818.5699999996</v>
      </c>
      <c r="F9" s="220">
        <v>8300073.2900000019</v>
      </c>
      <c r="G9" s="220">
        <v>2922412.919999999</v>
      </c>
      <c r="H9" s="220">
        <v>1232758.1199999999</v>
      </c>
      <c r="I9" s="229">
        <f t="shared" si="1"/>
        <v>20374047.010000002</v>
      </c>
      <c r="J9" s="229">
        <f t="shared" si="2"/>
        <v>21606805.130000003</v>
      </c>
      <c r="K9" s="321">
        <f t="shared" si="3"/>
        <v>15720.715285493829</v>
      </c>
      <c r="L9" s="322">
        <f t="shared" si="0"/>
        <v>16671.917538580248</v>
      </c>
      <c r="M9" s="221"/>
      <c r="O9" s="283"/>
      <c r="P9" s="289"/>
      <c r="Q9" s="289"/>
      <c r="R9" s="289"/>
      <c r="S9" s="289"/>
      <c r="T9" s="289"/>
      <c r="U9" s="289"/>
      <c r="V9" s="289"/>
      <c r="W9" s="289"/>
      <c r="X9" s="268"/>
      <c r="Y9" s="268"/>
      <c r="Z9" s="268"/>
      <c r="AA9" s="268"/>
      <c r="AB9" s="268"/>
      <c r="AC9" s="268"/>
    </row>
    <row r="10" spans="1:29" x14ac:dyDescent="0.2">
      <c r="A10" s="33" t="s">
        <v>171</v>
      </c>
      <c r="B10" s="229">
        <f t="shared" ref="B10:J10" si="4">SUM(B4:B9)</f>
        <v>94798</v>
      </c>
      <c r="C10" s="229">
        <f t="shared" si="4"/>
        <v>339591191.79999995</v>
      </c>
      <c r="D10" s="229">
        <f t="shared" si="4"/>
        <v>26758876.989999998</v>
      </c>
      <c r="E10" s="229">
        <f t="shared" si="4"/>
        <v>102679860.33999997</v>
      </c>
      <c r="F10" s="229">
        <f t="shared" si="4"/>
        <v>505090897.13</v>
      </c>
      <c r="G10" s="229">
        <f t="shared" si="4"/>
        <v>181711876.80000001</v>
      </c>
      <c r="H10" s="229">
        <f t="shared" si="4"/>
        <v>96134128.930000022</v>
      </c>
      <c r="I10" s="339">
        <f t="shared" si="4"/>
        <v>1155832703.0599999</v>
      </c>
      <c r="J10" s="339">
        <f t="shared" si="4"/>
        <v>1251966831.99</v>
      </c>
      <c r="K10" s="340">
        <f>I10/B10</f>
        <v>12192.585318888583</v>
      </c>
      <c r="L10" s="321">
        <f t="shared" si="0"/>
        <v>13206.679803265892</v>
      </c>
      <c r="M10" s="221"/>
      <c r="O10" s="287"/>
      <c r="P10" s="287"/>
      <c r="Q10" s="287"/>
      <c r="R10" s="287"/>
      <c r="S10" s="287"/>
      <c r="T10" s="287"/>
      <c r="U10" s="287"/>
      <c r="V10" s="287"/>
      <c r="W10" s="287"/>
      <c r="X10" s="268"/>
      <c r="Y10" s="268"/>
      <c r="Z10" s="268"/>
      <c r="AA10" s="268"/>
      <c r="AB10" s="268"/>
      <c r="AC10" s="268"/>
    </row>
    <row r="11" spans="1:29" x14ac:dyDescent="0.2">
      <c r="A11" s="33"/>
      <c r="B11" s="229"/>
      <c r="C11" s="214"/>
      <c r="D11" s="214"/>
      <c r="E11" s="214"/>
      <c r="F11" s="214"/>
      <c r="G11" s="214"/>
      <c r="H11" s="214"/>
      <c r="I11" s="214"/>
      <c r="J11" s="214"/>
      <c r="K11" s="321"/>
      <c r="L11" s="321"/>
      <c r="M11" s="221"/>
      <c r="O11" s="287"/>
      <c r="P11" s="287"/>
      <c r="Q11" s="287"/>
      <c r="R11" s="287"/>
      <c r="S11" s="287"/>
      <c r="T11" s="287"/>
      <c r="U11" s="287"/>
      <c r="V11" s="287"/>
      <c r="W11" s="287"/>
      <c r="X11" s="268"/>
      <c r="Y11" s="268"/>
      <c r="Z11" s="268"/>
      <c r="AA11" s="268"/>
      <c r="AB11" s="268"/>
      <c r="AC11" s="268"/>
    </row>
    <row r="12" spans="1:29" x14ac:dyDescent="0.2">
      <c r="A12" s="33"/>
      <c r="B12" s="229"/>
      <c r="C12" s="214"/>
      <c r="D12" s="214"/>
      <c r="E12" s="214"/>
      <c r="F12" s="214"/>
      <c r="G12" s="214"/>
      <c r="H12" s="214"/>
      <c r="I12" s="214"/>
      <c r="J12" s="214"/>
      <c r="K12" s="321"/>
      <c r="L12" s="321"/>
      <c r="M12" s="221"/>
      <c r="O12" s="287"/>
      <c r="P12" s="287"/>
      <c r="Q12" s="287"/>
      <c r="R12" s="287"/>
      <c r="S12" s="287"/>
      <c r="T12" s="287"/>
      <c r="U12" s="287"/>
      <c r="V12" s="287"/>
      <c r="W12" s="287"/>
      <c r="X12" s="268"/>
      <c r="Y12" s="268"/>
      <c r="Z12" s="268"/>
      <c r="AA12" s="268"/>
      <c r="AB12" s="268"/>
      <c r="AC12" s="268"/>
    </row>
    <row r="13" spans="1:29" ht="15" x14ac:dyDescent="0.25">
      <c r="A13" s="33" t="s">
        <v>81</v>
      </c>
      <c r="B13" s="214">
        <v>21877</v>
      </c>
      <c r="C13" s="214">
        <v>103371018.06999999</v>
      </c>
      <c r="D13" s="214">
        <v>7926551.2100000009</v>
      </c>
      <c r="E13" s="214">
        <v>25526398.469999999</v>
      </c>
      <c r="F13" s="214">
        <v>122838964.75999999</v>
      </c>
      <c r="G13" s="214">
        <v>16782298.309999999</v>
      </c>
      <c r="H13" s="214">
        <v>14357952.359999999</v>
      </c>
      <c r="I13" s="229">
        <f>SUM(C13:G13)</f>
        <v>276445230.81999999</v>
      </c>
      <c r="J13" s="229">
        <f>SUM(C13:H13)</f>
        <v>290803183.18000001</v>
      </c>
      <c r="K13" s="321">
        <f t="shared" si="3"/>
        <v>12636.340943456598</v>
      </c>
      <c r="L13" s="321">
        <f t="shared" ref="L13:L18" si="5">J13/B13</f>
        <v>13292.644475019428</v>
      </c>
      <c r="M13" s="221"/>
      <c r="O13" s="283"/>
      <c r="P13" s="289"/>
      <c r="Q13" s="289"/>
      <c r="R13" s="289"/>
      <c r="S13" s="289"/>
      <c r="T13" s="289"/>
      <c r="U13" s="289"/>
      <c r="V13" s="289"/>
      <c r="W13" s="289"/>
      <c r="X13" s="268"/>
      <c r="Y13" s="268"/>
      <c r="Z13" s="268"/>
      <c r="AA13" s="268"/>
      <c r="AB13" s="268"/>
      <c r="AC13" s="268"/>
    </row>
    <row r="14" spans="1:29" ht="15" x14ac:dyDescent="0.25">
      <c r="A14" s="33" t="s">
        <v>82</v>
      </c>
      <c r="B14" s="214">
        <v>6459</v>
      </c>
      <c r="C14" s="214">
        <v>28005434.25</v>
      </c>
      <c r="D14" s="214">
        <v>4177406.55</v>
      </c>
      <c r="E14" s="214">
        <v>8277689.7700000005</v>
      </c>
      <c r="F14" s="214">
        <v>37371964.439999998</v>
      </c>
      <c r="G14" s="214">
        <v>10732944.07</v>
      </c>
      <c r="H14" s="214">
        <v>3105382.73</v>
      </c>
      <c r="I14" s="229">
        <f t="shared" ref="I14:I17" si="6">SUM(C14:G14)</f>
        <v>88565439.079999983</v>
      </c>
      <c r="J14" s="229">
        <f t="shared" ref="J14:J17" si="7">SUM(C14:H14)</f>
        <v>91670821.809999987</v>
      </c>
      <c r="K14" s="321">
        <f t="shared" si="3"/>
        <v>13711.942882799192</v>
      </c>
      <c r="L14" s="321">
        <f t="shared" si="5"/>
        <v>14192.726708468801</v>
      </c>
      <c r="M14" s="221"/>
      <c r="O14" s="283"/>
      <c r="P14" s="289"/>
      <c r="Q14" s="289"/>
      <c r="R14" s="289"/>
      <c r="S14" s="289"/>
      <c r="T14" s="289"/>
      <c r="U14" s="289"/>
      <c r="V14" s="289"/>
      <c r="W14" s="289"/>
      <c r="X14" s="268"/>
      <c r="Y14" s="268"/>
      <c r="Z14" s="268"/>
      <c r="AA14" s="268"/>
      <c r="AB14" s="268"/>
      <c r="AC14" s="268"/>
    </row>
    <row r="15" spans="1:29" ht="15" x14ac:dyDescent="0.25">
      <c r="A15" s="33" t="s">
        <v>83</v>
      </c>
      <c r="B15" s="214">
        <v>4724</v>
      </c>
      <c r="C15" s="214">
        <v>22153816.969999995</v>
      </c>
      <c r="D15" s="214">
        <v>2552259.4599999995</v>
      </c>
      <c r="E15" s="214">
        <v>5958771.4600000009</v>
      </c>
      <c r="F15" s="214">
        <v>31236048.890000001</v>
      </c>
      <c r="G15" s="214">
        <v>7607105.1299999999</v>
      </c>
      <c r="H15" s="214">
        <v>3111544.7199999997</v>
      </c>
      <c r="I15" s="229">
        <f t="shared" si="6"/>
        <v>69508001.909999996</v>
      </c>
      <c r="J15" s="229">
        <f t="shared" si="7"/>
        <v>72619546.629999995</v>
      </c>
      <c r="K15" s="321">
        <f t="shared" si="3"/>
        <v>14713.802267146486</v>
      </c>
      <c r="L15" s="321">
        <f t="shared" si="5"/>
        <v>15372.469650719728</v>
      </c>
      <c r="M15" s="221"/>
      <c r="O15" s="283"/>
      <c r="P15" s="289"/>
      <c r="Q15" s="289"/>
      <c r="R15" s="289"/>
      <c r="S15" s="289"/>
      <c r="T15" s="289"/>
      <c r="U15" s="289"/>
      <c r="V15" s="289"/>
      <c r="W15" s="289"/>
      <c r="X15" s="268"/>
      <c r="Y15" s="268"/>
      <c r="Z15" s="268"/>
      <c r="AA15" s="268"/>
      <c r="AB15" s="268"/>
      <c r="AC15" s="268"/>
    </row>
    <row r="16" spans="1:29" ht="15" x14ac:dyDescent="0.25">
      <c r="A16" s="33" t="s">
        <v>84</v>
      </c>
      <c r="B16" s="214">
        <v>3916</v>
      </c>
      <c r="C16" s="214">
        <v>19780617.619999997</v>
      </c>
      <c r="D16" s="214">
        <v>4802422.8399999989</v>
      </c>
      <c r="E16" s="214">
        <v>6430967.0999999987</v>
      </c>
      <c r="F16" s="214">
        <v>29831217.679999996</v>
      </c>
      <c r="G16" s="214">
        <v>12453788.16</v>
      </c>
      <c r="H16" s="214">
        <v>2232186.87</v>
      </c>
      <c r="I16" s="229">
        <f t="shared" si="6"/>
        <v>73299013.399999991</v>
      </c>
      <c r="J16" s="229">
        <f t="shared" si="7"/>
        <v>75531200.269999996</v>
      </c>
      <c r="K16" s="321">
        <f t="shared" si="3"/>
        <v>18717.827732379978</v>
      </c>
      <c r="L16" s="321">
        <f t="shared" si="5"/>
        <v>19287.844808478039</v>
      </c>
      <c r="M16" s="221"/>
      <c r="O16" s="283"/>
      <c r="P16" s="289"/>
      <c r="Q16" s="289"/>
      <c r="R16" s="289"/>
      <c r="S16" s="289"/>
      <c r="T16" s="289"/>
      <c r="U16" s="289"/>
      <c r="V16" s="289"/>
      <c r="W16" s="289"/>
      <c r="X16" s="268"/>
      <c r="Y16" s="268"/>
      <c r="Z16" s="268"/>
      <c r="AA16" s="268"/>
      <c r="AB16" s="268"/>
      <c r="AC16" s="268"/>
    </row>
    <row r="17" spans="1:29" ht="15" x14ac:dyDescent="0.25">
      <c r="A17" s="33" t="s">
        <v>85</v>
      </c>
      <c r="B17" s="220">
        <v>1465</v>
      </c>
      <c r="C17" s="220">
        <v>13217698.91</v>
      </c>
      <c r="D17" s="220">
        <v>3842629.5299999993</v>
      </c>
      <c r="E17" s="220">
        <v>3598504.0899999994</v>
      </c>
      <c r="F17" s="220">
        <v>15847377.549999999</v>
      </c>
      <c r="G17" s="220">
        <v>3711541.56</v>
      </c>
      <c r="H17" s="220">
        <v>889803.13</v>
      </c>
      <c r="I17" s="229">
        <f t="shared" si="6"/>
        <v>40217751.640000001</v>
      </c>
      <c r="J17" s="229">
        <f t="shared" si="7"/>
        <v>41107554.770000003</v>
      </c>
      <c r="K17" s="321">
        <f t="shared" si="3"/>
        <v>27452.39019795222</v>
      </c>
      <c r="L17" s="322">
        <f t="shared" si="5"/>
        <v>28059.76434812287</v>
      </c>
      <c r="M17" s="221"/>
      <c r="O17" s="283"/>
      <c r="P17" s="289"/>
      <c r="Q17" s="289"/>
      <c r="R17" s="289"/>
      <c r="S17" s="289"/>
      <c r="T17" s="289"/>
      <c r="U17" s="289"/>
      <c r="V17" s="289"/>
      <c r="W17" s="289"/>
      <c r="X17" s="268"/>
      <c r="Y17" s="268"/>
      <c r="Z17" s="268"/>
      <c r="AA17" s="268"/>
      <c r="AB17" s="268"/>
      <c r="AC17" s="268"/>
    </row>
    <row r="18" spans="1:29" x14ac:dyDescent="0.2">
      <c r="A18" s="33" t="s">
        <v>172</v>
      </c>
      <c r="B18" s="229">
        <f t="shared" ref="B18:J18" si="8">SUM(B13:B17)</f>
        <v>38441</v>
      </c>
      <c r="C18" s="229">
        <f t="shared" si="8"/>
        <v>186528585.81999999</v>
      </c>
      <c r="D18" s="229">
        <f t="shared" si="8"/>
        <v>23301269.589999996</v>
      </c>
      <c r="E18" s="229">
        <f t="shared" si="8"/>
        <v>49792330.890000001</v>
      </c>
      <c r="F18" s="229">
        <f t="shared" si="8"/>
        <v>237125573.31999999</v>
      </c>
      <c r="G18" s="229">
        <f t="shared" si="8"/>
        <v>51287677.230000004</v>
      </c>
      <c r="H18" s="229">
        <f t="shared" si="8"/>
        <v>23696869.809999999</v>
      </c>
      <c r="I18" s="339">
        <f t="shared" si="8"/>
        <v>548035436.8499999</v>
      </c>
      <c r="J18" s="339">
        <f t="shared" si="8"/>
        <v>571732306.65999997</v>
      </c>
      <c r="K18" s="340">
        <f>I18/B18</f>
        <v>14256.534347441531</v>
      </c>
      <c r="L18" s="321">
        <f t="shared" si="5"/>
        <v>14872.982145625763</v>
      </c>
      <c r="M18" s="221"/>
      <c r="O18" s="287"/>
      <c r="P18" s="287"/>
      <c r="Q18" s="287"/>
      <c r="R18" s="287"/>
      <c r="S18" s="287"/>
      <c r="T18" s="287"/>
      <c r="U18" s="287"/>
      <c r="V18" s="287"/>
      <c r="W18" s="287"/>
      <c r="X18" s="268"/>
      <c r="Y18" s="268"/>
      <c r="Z18" s="268"/>
      <c r="AA18" s="268"/>
      <c r="AB18" s="268"/>
      <c r="AC18" s="268"/>
    </row>
    <row r="19" spans="1:29" x14ac:dyDescent="0.2">
      <c r="A19" s="33"/>
      <c r="B19" s="229"/>
      <c r="C19" s="214"/>
      <c r="D19" s="214"/>
      <c r="E19" s="214"/>
      <c r="F19" s="214"/>
      <c r="G19" s="214"/>
      <c r="H19" s="214"/>
      <c r="I19" s="214"/>
      <c r="J19" s="214"/>
      <c r="K19" s="321"/>
      <c r="L19" s="321"/>
      <c r="M19" s="221"/>
      <c r="O19" s="287"/>
      <c r="P19" s="287"/>
      <c r="Q19" s="287"/>
      <c r="R19" s="287"/>
      <c r="S19" s="287"/>
      <c r="T19" s="287"/>
      <c r="U19" s="287"/>
      <c r="V19" s="287"/>
      <c r="W19" s="287"/>
      <c r="X19" s="268"/>
      <c r="Y19" s="268"/>
      <c r="Z19" s="268"/>
      <c r="AA19" s="268"/>
      <c r="AB19" s="268"/>
      <c r="AC19" s="268"/>
    </row>
    <row r="20" spans="1:29" x14ac:dyDescent="0.2">
      <c r="A20" s="33"/>
      <c r="B20" s="229"/>
      <c r="C20" s="214"/>
      <c r="D20" s="214"/>
      <c r="E20" s="214"/>
      <c r="F20" s="214"/>
      <c r="G20" s="214"/>
      <c r="H20" s="214"/>
      <c r="I20" s="214"/>
      <c r="J20" s="214"/>
      <c r="K20" s="321"/>
      <c r="L20" s="321"/>
      <c r="M20" s="221"/>
      <c r="O20" s="287"/>
      <c r="P20" s="287"/>
      <c r="Q20" s="287"/>
      <c r="R20" s="287"/>
      <c r="S20" s="287"/>
      <c r="T20" s="287"/>
      <c r="U20" s="287"/>
      <c r="V20" s="287"/>
      <c r="W20" s="281"/>
      <c r="X20" s="268"/>
      <c r="Y20" s="268"/>
      <c r="Z20" s="268"/>
      <c r="AA20" s="268"/>
      <c r="AB20" s="268"/>
      <c r="AC20" s="268"/>
    </row>
    <row r="21" spans="1:29" ht="15" x14ac:dyDescent="0.25">
      <c r="A21" s="33" t="s">
        <v>86</v>
      </c>
      <c r="B21" s="214">
        <v>14270</v>
      </c>
      <c r="C21" s="214">
        <v>54723488.550000004</v>
      </c>
      <c r="D21" s="214">
        <v>6797292.7799999993</v>
      </c>
      <c r="E21" s="214">
        <v>15517399.219999997</v>
      </c>
      <c r="F21" s="214">
        <v>80399538.159999996</v>
      </c>
      <c r="G21" s="214">
        <v>18386242.209999997</v>
      </c>
      <c r="H21" s="214">
        <v>13314724.639999999</v>
      </c>
      <c r="I21" s="221">
        <f>SUM(C21:G21)</f>
        <v>175823960.91999999</v>
      </c>
      <c r="J21" s="221">
        <f>SUM(C21:H21)</f>
        <v>189138685.55999997</v>
      </c>
      <c r="K21" s="321">
        <f t="shared" si="3"/>
        <v>12321.230618079888</v>
      </c>
      <c r="L21" s="321">
        <f>J21/B21</f>
        <v>13254.287705676243</v>
      </c>
      <c r="M21" s="221"/>
      <c r="O21" s="283"/>
      <c r="P21" s="289"/>
      <c r="Q21" s="289"/>
      <c r="R21" s="289"/>
      <c r="S21" s="289"/>
      <c r="T21" s="289"/>
      <c r="U21" s="289"/>
      <c r="V21" s="289"/>
      <c r="W21" s="289"/>
      <c r="X21" s="268"/>
      <c r="Y21" s="268"/>
      <c r="Z21" s="268"/>
      <c r="AA21" s="268"/>
      <c r="AB21" s="268"/>
      <c r="AC21" s="268"/>
    </row>
    <row r="22" spans="1:29" ht="15" x14ac:dyDescent="0.25">
      <c r="A22" s="33" t="s">
        <v>87</v>
      </c>
      <c r="B22" s="220">
        <v>7660</v>
      </c>
      <c r="C22" s="220">
        <v>44079274.719999999</v>
      </c>
      <c r="D22" s="220">
        <v>7406277.5499999989</v>
      </c>
      <c r="E22" s="220">
        <v>12025657.090000004</v>
      </c>
      <c r="F22" s="220">
        <v>53301076.770000026</v>
      </c>
      <c r="G22" s="220">
        <v>18369528.180000003</v>
      </c>
      <c r="H22" s="220">
        <v>7679089.8800000008</v>
      </c>
      <c r="I22" s="221">
        <f>SUM(C22:G22)</f>
        <v>135181814.31000003</v>
      </c>
      <c r="J22" s="221">
        <f>SUM(C22:H22)</f>
        <v>142860904.19000003</v>
      </c>
      <c r="K22" s="321">
        <f t="shared" si="3"/>
        <v>17647.756437336819</v>
      </c>
      <c r="L22" s="322">
        <f>J22/B22</f>
        <v>18650.248588772851</v>
      </c>
      <c r="M22" s="221"/>
      <c r="O22" s="283"/>
      <c r="P22" s="289"/>
      <c r="Q22" s="289"/>
      <c r="R22" s="289"/>
      <c r="S22" s="289"/>
      <c r="T22" s="289"/>
      <c r="U22" s="289"/>
      <c r="V22" s="289"/>
      <c r="W22" s="289"/>
      <c r="X22" s="268"/>
      <c r="Y22" s="268"/>
      <c r="Z22" s="268"/>
      <c r="AA22" s="268"/>
      <c r="AB22" s="268"/>
      <c r="AC22" s="268"/>
    </row>
    <row r="23" spans="1:29" x14ac:dyDescent="0.2">
      <c r="A23" s="33" t="s">
        <v>173</v>
      </c>
      <c r="B23" s="221">
        <f t="shared" ref="B23:J23" si="9">SUM(B21:B22)</f>
        <v>21930</v>
      </c>
      <c r="C23" s="221">
        <f t="shared" si="9"/>
        <v>98802763.270000011</v>
      </c>
      <c r="D23" s="221">
        <f t="shared" si="9"/>
        <v>14203570.329999998</v>
      </c>
      <c r="E23" s="221">
        <f t="shared" si="9"/>
        <v>27543056.310000002</v>
      </c>
      <c r="F23" s="221">
        <f t="shared" si="9"/>
        <v>133700614.93000002</v>
      </c>
      <c r="G23" s="221">
        <f t="shared" si="9"/>
        <v>36755770.390000001</v>
      </c>
      <c r="H23" s="221">
        <f t="shared" si="9"/>
        <v>20993814.52</v>
      </c>
      <c r="I23" s="339">
        <f t="shared" si="9"/>
        <v>311005775.23000002</v>
      </c>
      <c r="J23" s="339">
        <f t="shared" si="9"/>
        <v>331999589.75</v>
      </c>
      <c r="K23" s="340">
        <f>I23/B23</f>
        <v>14181.749896488829</v>
      </c>
      <c r="L23" s="323">
        <f>J23/B23</f>
        <v>15139.060180118558</v>
      </c>
      <c r="M23" s="221"/>
      <c r="O23" s="287"/>
      <c r="P23" s="287"/>
      <c r="Q23" s="287"/>
      <c r="R23" s="287"/>
      <c r="S23" s="287"/>
      <c r="T23" s="287"/>
      <c r="U23" s="287"/>
      <c r="V23" s="287"/>
      <c r="W23" s="287"/>
    </row>
    <row r="24" spans="1:29" x14ac:dyDescent="0.2">
      <c r="A24" s="33"/>
      <c r="B24" s="214"/>
      <c r="C24" s="214"/>
      <c r="D24" s="214"/>
      <c r="E24" s="214"/>
      <c r="F24" s="214"/>
      <c r="G24" s="214"/>
      <c r="H24" s="214"/>
      <c r="I24" s="214"/>
      <c r="J24" s="214"/>
      <c r="K24" s="321"/>
      <c r="L24" s="214"/>
      <c r="M24" s="221"/>
    </row>
    <row r="25" spans="1:29" ht="13.5" thickBot="1" x14ac:dyDescent="0.25">
      <c r="A25" s="33" t="s">
        <v>174</v>
      </c>
      <c r="B25" s="222">
        <f>B23+B18+B10</f>
        <v>155169</v>
      </c>
      <c r="C25" s="192">
        <f t="shared" ref="C25:J25" si="10">C10+C18+C23</f>
        <v>624922540.88999999</v>
      </c>
      <c r="D25" s="192">
        <f t="shared" si="10"/>
        <v>64263716.909999996</v>
      </c>
      <c r="E25" s="192">
        <f t="shared" si="10"/>
        <v>180015247.53999996</v>
      </c>
      <c r="F25" s="192">
        <f t="shared" si="10"/>
        <v>875917085.38000011</v>
      </c>
      <c r="G25" s="192">
        <f t="shared" si="10"/>
        <v>269755324.42000002</v>
      </c>
      <c r="H25" s="192">
        <f t="shared" si="10"/>
        <v>140824813.26000002</v>
      </c>
      <c r="I25" s="192">
        <f>I10+I18+I23</f>
        <v>2014873915.1399999</v>
      </c>
      <c r="J25" s="192">
        <f t="shared" si="10"/>
        <v>2155698728.4000001</v>
      </c>
      <c r="K25" s="222">
        <f>I25/B25</f>
        <v>12985.028679310944</v>
      </c>
      <c r="L25" s="222">
        <f>J25/B25</f>
        <v>13892.586331032617</v>
      </c>
      <c r="M25" s="221"/>
    </row>
    <row r="26" spans="1:29" ht="13.5" thickTop="1" x14ac:dyDescent="0.2">
      <c r="A26" s="33"/>
      <c r="B26" s="296"/>
      <c r="C26" s="182"/>
      <c r="D26" s="182"/>
      <c r="E26" s="182"/>
      <c r="F26" s="182"/>
      <c r="G26" s="182"/>
      <c r="H26" s="182"/>
      <c r="I26" s="182"/>
      <c r="J26" s="182"/>
      <c r="K26" s="182"/>
      <c r="L26" s="182"/>
      <c r="M26" s="182"/>
    </row>
    <row r="27" spans="1:29" x14ac:dyDescent="0.2">
      <c r="A27" s="33"/>
      <c r="B27" s="182"/>
      <c r="C27" s="33"/>
      <c r="D27" s="33"/>
      <c r="E27" s="33"/>
      <c r="F27" s="33"/>
      <c r="G27" s="33"/>
      <c r="H27" s="33"/>
      <c r="I27" s="33"/>
      <c r="J27" s="33"/>
      <c r="K27" s="33"/>
      <c r="L27" s="182"/>
      <c r="M27" s="182"/>
    </row>
    <row r="28" spans="1:29" x14ac:dyDescent="0.2">
      <c r="A28" s="36" t="s">
        <v>200</v>
      </c>
      <c r="B28" s="22"/>
      <c r="C28" s="36"/>
      <c r="D28" s="36"/>
      <c r="E28" s="36"/>
      <c r="F28" s="36"/>
      <c r="G28" s="36"/>
      <c r="H28" s="36"/>
      <c r="I28" s="36"/>
      <c r="J28" s="36"/>
      <c r="K28" s="36"/>
      <c r="L28" s="22"/>
      <c r="M28" s="182"/>
    </row>
    <row r="29" spans="1:29" x14ac:dyDescent="0.2">
      <c r="A29" s="36" t="s">
        <v>10</v>
      </c>
      <c r="B29" s="22" t="str">
        <f>C2</f>
        <v>FY21</v>
      </c>
      <c r="C29" s="223"/>
      <c r="D29" s="223"/>
      <c r="E29" s="223"/>
      <c r="F29" s="223"/>
      <c r="G29" s="223"/>
      <c r="H29" s="223"/>
      <c r="I29" s="223"/>
      <c r="J29" s="223"/>
      <c r="K29" s="223"/>
      <c r="L29" s="182"/>
    </row>
    <row r="30" spans="1:29" ht="33.75" x14ac:dyDescent="0.2">
      <c r="A30" s="20" t="s">
        <v>245</v>
      </c>
      <c r="B30" s="202" t="str">
        <f>B3</f>
        <v>ANB21</v>
      </c>
      <c r="C30" s="202" t="str">
        <f t="shared" ref="C30:H30" si="11">C3</f>
        <v>21/Pupil Property Tax</v>
      </c>
      <c r="D30" s="202" t="str">
        <f t="shared" si="11"/>
        <v>21/Pupil Non Levy Revenue</v>
      </c>
      <c r="E30" s="202" t="str">
        <f t="shared" si="11"/>
        <v>21/Pupil County Revenue</v>
      </c>
      <c r="F30" s="202" t="str">
        <f t="shared" si="11"/>
        <v>21/Pupil State Revenue</v>
      </c>
      <c r="G30" s="202" t="str">
        <f t="shared" si="11"/>
        <v>21/Pupil Federal Revenue</v>
      </c>
      <c r="H30" s="202" t="str">
        <f t="shared" si="11"/>
        <v>21Federal CARES Revenue</v>
      </c>
      <c r="I30" s="202" t="str">
        <f>K3</f>
        <v>21/Rev Per ANB NO CARES</v>
      </c>
      <c r="J30" s="202" t="str">
        <f>L3</f>
        <v>21/Rev Per ANB WITH CARES</v>
      </c>
      <c r="K30" s="202"/>
      <c r="L30" s="202"/>
      <c r="M30" s="202"/>
    </row>
    <row r="31" spans="1:29" x14ac:dyDescent="0.2">
      <c r="A31" s="33"/>
      <c r="B31" s="182"/>
      <c r="C31" s="182"/>
      <c r="D31" s="182"/>
      <c r="E31" s="182"/>
      <c r="F31" s="182"/>
      <c r="G31" s="182"/>
      <c r="H31" s="182"/>
      <c r="I31" s="182"/>
      <c r="J31" s="33"/>
      <c r="K31" s="33"/>
      <c r="L31" s="182"/>
    </row>
    <row r="32" spans="1:29" x14ac:dyDescent="0.2">
      <c r="A32" s="33" t="s">
        <v>102</v>
      </c>
      <c r="B32" s="221">
        <f t="shared" ref="B32:B37" si="12">B4</f>
        <v>42204</v>
      </c>
      <c r="C32" s="182">
        <f t="shared" ref="C32:J38" si="13">C4/$B32</f>
        <v>3970.373994408113</v>
      </c>
      <c r="D32" s="182">
        <f t="shared" si="13"/>
        <v>140.57073286892236</v>
      </c>
      <c r="E32" s="182">
        <f t="shared" si="13"/>
        <v>1050.1698099706189</v>
      </c>
      <c r="F32" s="182">
        <f t="shared" si="13"/>
        <v>5168.8982996872328</v>
      </c>
      <c r="G32" s="182">
        <f t="shared" si="13"/>
        <v>1161.554220689982</v>
      </c>
      <c r="H32" s="214">
        <f t="shared" si="13"/>
        <v>1125.7290496161502</v>
      </c>
      <c r="I32" s="182">
        <f>I4/$B32</f>
        <v>11491.567057624869</v>
      </c>
      <c r="J32" s="182">
        <f t="shared" si="13"/>
        <v>12617.29610724102</v>
      </c>
      <c r="K32" s="182"/>
      <c r="L32" s="182"/>
      <c r="M32" s="182"/>
    </row>
    <row r="33" spans="1:13" x14ac:dyDescent="0.2">
      <c r="A33" s="33" t="s">
        <v>76</v>
      </c>
      <c r="B33" s="221">
        <f t="shared" si="12"/>
        <v>16998</v>
      </c>
      <c r="C33" s="182">
        <f t="shared" si="13"/>
        <v>3322.0280180021168</v>
      </c>
      <c r="D33" s="182">
        <f t="shared" si="13"/>
        <v>193.82856571361333</v>
      </c>
      <c r="E33" s="182">
        <f t="shared" si="13"/>
        <v>1094.1141204847629</v>
      </c>
      <c r="F33" s="182">
        <f t="shared" si="13"/>
        <v>5320.4995158253914</v>
      </c>
      <c r="G33" s="182">
        <f t="shared" si="13"/>
        <v>2698.7812895634779</v>
      </c>
      <c r="H33" s="214">
        <f t="shared" si="13"/>
        <v>950.19212730909499</v>
      </c>
      <c r="I33" s="182">
        <f t="shared" si="13"/>
        <v>12629.251509589365</v>
      </c>
      <c r="J33" s="182">
        <f t="shared" si="13"/>
        <v>13579.443636898461</v>
      </c>
      <c r="K33" s="182"/>
      <c r="L33" s="182"/>
      <c r="M33" s="182"/>
    </row>
    <row r="34" spans="1:13" x14ac:dyDescent="0.2">
      <c r="A34" s="33" t="s">
        <v>77</v>
      </c>
      <c r="B34" s="221">
        <f t="shared" si="12"/>
        <v>16591</v>
      </c>
      <c r="C34" s="182">
        <f t="shared" si="13"/>
        <v>2921.8411168705925</v>
      </c>
      <c r="D34" s="182">
        <f t="shared" si="13"/>
        <v>397.91816225664513</v>
      </c>
      <c r="E34" s="182">
        <f t="shared" si="13"/>
        <v>1096.6378325598214</v>
      </c>
      <c r="F34" s="182">
        <f t="shared" si="13"/>
        <v>5431.4346097281641</v>
      </c>
      <c r="G34" s="182">
        <f t="shared" si="13"/>
        <v>2357.9639521427284</v>
      </c>
      <c r="H34" s="214">
        <f t="shared" si="13"/>
        <v>856.08766499909586</v>
      </c>
      <c r="I34" s="182">
        <f t="shared" si="13"/>
        <v>12205.795673557952</v>
      </c>
      <c r="J34" s="182">
        <f t="shared" si="13"/>
        <v>13061.883338557047</v>
      </c>
      <c r="K34" s="182"/>
      <c r="L34" s="182"/>
      <c r="M34" s="182"/>
    </row>
    <row r="35" spans="1:13" x14ac:dyDescent="0.2">
      <c r="A35" s="33" t="s">
        <v>78</v>
      </c>
      <c r="B35" s="221">
        <f t="shared" si="12"/>
        <v>12479</v>
      </c>
      <c r="C35" s="182">
        <f t="shared" si="13"/>
        <v>3112.8749667441302</v>
      </c>
      <c r="D35" s="182">
        <f t="shared" si="13"/>
        <v>369.69042791890371</v>
      </c>
      <c r="E35" s="182">
        <f t="shared" si="13"/>
        <v>1045.4851614712718</v>
      </c>
      <c r="F35" s="182">
        <f t="shared" si="13"/>
        <v>5362.190578572001</v>
      </c>
      <c r="G35" s="182">
        <f t="shared" si="13"/>
        <v>2366.3945740844624</v>
      </c>
      <c r="H35" s="214">
        <f t="shared" si="13"/>
        <v>923.43310842214919</v>
      </c>
      <c r="I35" s="182">
        <f t="shared" si="13"/>
        <v>12256.635708790771</v>
      </c>
      <c r="J35" s="182">
        <f t="shared" si="13"/>
        <v>13180.068817212919</v>
      </c>
      <c r="K35" s="182"/>
      <c r="L35" s="182"/>
      <c r="M35" s="182"/>
    </row>
    <row r="36" spans="1:13" x14ac:dyDescent="0.2">
      <c r="A36" s="33" t="s">
        <v>79</v>
      </c>
      <c r="B36" s="221">
        <f t="shared" si="12"/>
        <v>5230</v>
      </c>
      <c r="C36" s="182">
        <f t="shared" si="13"/>
        <v>4139.3712791586995</v>
      </c>
      <c r="D36" s="182">
        <f t="shared" si="13"/>
        <v>1029.5436959847034</v>
      </c>
      <c r="E36" s="182">
        <f t="shared" si="13"/>
        <v>1316.8251778202675</v>
      </c>
      <c r="F36" s="182">
        <f t="shared" si="13"/>
        <v>5961.2010305927333</v>
      </c>
      <c r="G36" s="182">
        <f t="shared" si="13"/>
        <v>2914.3646978967499</v>
      </c>
      <c r="H36" s="214">
        <f t="shared" si="13"/>
        <v>1054.0848967495219</v>
      </c>
      <c r="I36" s="182">
        <f t="shared" si="13"/>
        <v>15361.305881453152</v>
      </c>
      <c r="J36" s="182">
        <f t="shared" si="13"/>
        <v>16415.390778202676</v>
      </c>
      <c r="K36" s="182"/>
      <c r="L36" s="182"/>
      <c r="M36" s="182"/>
    </row>
    <row r="37" spans="1:13" x14ac:dyDescent="0.2">
      <c r="A37" s="33" t="s">
        <v>80</v>
      </c>
      <c r="B37" s="220">
        <f t="shared" si="12"/>
        <v>1296</v>
      </c>
      <c r="C37" s="183">
        <f t="shared" si="13"/>
        <v>5082.5239351851869</v>
      </c>
      <c r="D37" s="183">
        <f t="shared" si="13"/>
        <v>718.97469907407401</v>
      </c>
      <c r="E37" s="183">
        <f t="shared" si="13"/>
        <v>1259.89087191358</v>
      </c>
      <c r="F37" s="183">
        <f t="shared" si="13"/>
        <v>6404.3775385802483</v>
      </c>
      <c r="G37" s="183">
        <f t="shared" si="13"/>
        <v>2254.9482407407399</v>
      </c>
      <c r="H37" s="220">
        <f t="shared" si="13"/>
        <v>951.20225308641966</v>
      </c>
      <c r="I37" s="183">
        <f t="shared" si="13"/>
        <v>15720.715285493829</v>
      </c>
      <c r="J37" s="183">
        <f t="shared" si="13"/>
        <v>16671.917538580248</v>
      </c>
      <c r="K37" s="182"/>
      <c r="L37" s="182"/>
      <c r="M37" s="182"/>
    </row>
    <row r="38" spans="1:13" x14ac:dyDescent="0.2">
      <c r="A38" s="33" t="s">
        <v>171</v>
      </c>
      <c r="B38" s="221">
        <f>SUM(B32:B37)</f>
        <v>94798</v>
      </c>
      <c r="C38" s="182">
        <f t="shared" si="13"/>
        <v>3582.2611426401395</v>
      </c>
      <c r="D38" s="182">
        <f t="shared" si="13"/>
        <v>282.27259003354499</v>
      </c>
      <c r="E38" s="182">
        <f t="shared" si="13"/>
        <v>1083.1437407962192</v>
      </c>
      <c r="F38" s="182">
        <f t="shared" si="13"/>
        <v>5328.0754565497164</v>
      </c>
      <c r="G38" s="182">
        <f t="shared" si="13"/>
        <v>1916.8323888689636</v>
      </c>
      <c r="H38" s="214">
        <f t="shared" si="13"/>
        <v>1014.0944843773078</v>
      </c>
      <c r="I38" s="182">
        <f t="shared" si="13"/>
        <v>12192.585318888583</v>
      </c>
      <c r="J38" s="182">
        <f t="shared" si="13"/>
        <v>13206.679803265892</v>
      </c>
      <c r="K38" s="182"/>
      <c r="L38" s="182"/>
      <c r="M38" s="182"/>
    </row>
    <row r="39" spans="1:13" x14ac:dyDescent="0.2">
      <c r="A39" s="33"/>
      <c r="B39" s="182"/>
      <c r="C39" s="182"/>
      <c r="D39" s="182"/>
      <c r="E39" s="182"/>
      <c r="F39" s="182"/>
      <c r="G39" s="182"/>
      <c r="H39" s="214"/>
      <c r="I39" s="182"/>
      <c r="J39" s="182"/>
      <c r="K39" s="182"/>
      <c r="L39" s="182"/>
      <c r="M39" s="182"/>
    </row>
    <row r="40" spans="1:13" x14ac:dyDescent="0.2">
      <c r="A40" s="33"/>
      <c r="B40" s="221"/>
      <c r="C40" s="182"/>
      <c r="D40" s="182"/>
      <c r="E40" s="182"/>
      <c r="F40" s="182"/>
      <c r="G40" s="182"/>
      <c r="H40" s="214"/>
      <c r="I40" s="182"/>
      <c r="J40" s="182"/>
      <c r="K40" s="182"/>
      <c r="L40" s="182"/>
      <c r="M40" s="182"/>
    </row>
    <row r="41" spans="1:13" x14ac:dyDescent="0.2">
      <c r="A41" s="33" t="s">
        <v>81</v>
      </c>
      <c r="B41" s="221">
        <f>B13</f>
        <v>21877</v>
      </c>
      <c r="C41" s="182">
        <f t="shared" ref="C41:J53" si="14">C13/$B41</f>
        <v>4725.1002454632717</v>
      </c>
      <c r="D41" s="182">
        <f t="shared" si="14"/>
        <v>362.32350002285511</v>
      </c>
      <c r="E41" s="182">
        <f t="shared" si="14"/>
        <v>1166.814392741235</v>
      </c>
      <c r="F41" s="182">
        <f t="shared" si="14"/>
        <v>5614.9821620880375</v>
      </c>
      <c r="G41" s="182">
        <f t="shared" si="14"/>
        <v>767.12064314119846</v>
      </c>
      <c r="H41" s="214">
        <f t="shared" si="14"/>
        <v>656.30353156282854</v>
      </c>
      <c r="I41" s="182">
        <f t="shared" si="14"/>
        <v>12636.340943456598</v>
      </c>
      <c r="J41" s="182">
        <f t="shared" si="14"/>
        <v>13292.644475019428</v>
      </c>
      <c r="K41" s="182"/>
      <c r="L41" s="182"/>
      <c r="M41" s="182"/>
    </row>
    <row r="42" spans="1:13" x14ac:dyDescent="0.2">
      <c r="A42" s="33" t="s">
        <v>82</v>
      </c>
      <c r="B42" s="221">
        <f>B14</f>
        <v>6459</v>
      </c>
      <c r="C42" s="182">
        <f t="shared" si="14"/>
        <v>4335.8777287505809</v>
      </c>
      <c r="D42" s="182">
        <f t="shared" si="14"/>
        <v>646.75747793776122</v>
      </c>
      <c r="E42" s="182">
        <f t="shared" si="14"/>
        <v>1281.5745115342934</v>
      </c>
      <c r="F42" s="182">
        <f t="shared" si="14"/>
        <v>5786.0294844403152</v>
      </c>
      <c r="G42" s="182">
        <f t="shared" si="14"/>
        <v>1661.703680136244</v>
      </c>
      <c r="H42" s="214">
        <f t="shared" si="14"/>
        <v>480.78382566960829</v>
      </c>
      <c r="I42" s="182">
        <f t="shared" si="14"/>
        <v>13711.942882799192</v>
      </c>
      <c r="J42" s="182">
        <f t="shared" si="14"/>
        <v>14192.726708468801</v>
      </c>
      <c r="K42" s="182"/>
      <c r="L42" s="182"/>
      <c r="M42" s="182"/>
    </row>
    <row r="43" spans="1:13" x14ac:dyDescent="0.2">
      <c r="A43" s="33" t="s">
        <v>83</v>
      </c>
      <c r="B43" s="221">
        <f>B15</f>
        <v>4724</v>
      </c>
      <c r="C43" s="182">
        <f t="shared" si="14"/>
        <v>4689.6310266723103</v>
      </c>
      <c r="D43" s="182">
        <f t="shared" si="14"/>
        <v>540.27507620660447</v>
      </c>
      <c r="E43" s="182">
        <f t="shared" si="14"/>
        <v>1261.382612193057</v>
      </c>
      <c r="F43" s="182">
        <f t="shared" si="14"/>
        <v>6612.2034060118549</v>
      </c>
      <c r="G43" s="182">
        <f t="shared" si="14"/>
        <v>1610.3101460626588</v>
      </c>
      <c r="H43" s="214">
        <f t="shared" si="14"/>
        <v>658.667383573243</v>
      </c>
      <c r="I43" s="182">
        <f t="shared" si="14"/>
        <v>14713.802267146486</v>
      </c>
      <c r="J43" s="182">
        <f t="shared" si="14"/>
        <v>15372.469650719728</v>
      </c>
      <c r="K43" s="182"/>
      <c r="L43" s="182"/>
      <c r="M43" s="182"/>
    </row>
    <row r="44" spans="1:13" x14ac:dyDescent="0.2">
      <c r="A44" s="33" t="s">
        <v>84</v>
      </c>
      <c r="B44" s="221">
        <f>B16</f>
        <v>3916</v>
      </c>
      <c r="C44" s="182">
        <f t="shared" si="14"/>
        <v>5051.2302400408571</v>
      </c>
      <c r="D44" s="182">
        <f t="shared" si="14"/>
        <v>1226.3592543411642</v>
      </c>
      <c r="E44" s="182">
        <f t="shared" si="14"/>
        <v>1642.2285750766084</v>
      </c>
      <c r="F44" s="182">
        <f t="shared" si="14"/>
        <v>7617.7777528089873</v>
      </c>
      <c r="G44" s="182">
        <f t="shared" si="14"/>
        <v>3180.2319101123594</v>
      </c>
      <c r="H44" s="214">
        <f t="shared" si="14"/>
        <v>570.01707609805931</v>
      </c>
      <c r="I44" s="182">
        <f t="shared" si="14"/>
        <v>18717.827732379978</v>
      </c>
      <c r="J44" s="182">
        <f t="shared" si="14"/>
        <v>19287.844808478039</v>
      </c>
      <c r="K44" s="182"/>
      <c r="L44" s="182"/>
      <c r="M44" s="182"/>
    </row>
    <row r="45" spans="1:13" x14ac:dyDescent="0.2">
      <c r="A45" s="33" t="s">
        <v>85</v>
      </c>
      <c r="B45" s="220">
        <f>B17</f>
        <v>1465</v>
      </c>
      <c r="C45" s="183">
        <f t="shared" si="14"/>
        <v>9022.3200750853248</v>
      </c>
      <c r="D45" s="183">
        <f t="shared" si="14"/>
        <v>2622.9553105802042</v>
      </c>
      <c r="E45" s="183">
        <f t="shared" si="14"/>
        <v>2456.3167849829347</v>
      </c>
      <c r="F45" s="183">
        <f t="shared" si="14"/>
        <v>10817.322559726961</v>
      </c>
      <c r="G45" s="183">
        <f t="shared" si="14"/>
        <v>2533.4754675767917</v>
      </c>
      <c r="H45" s="220">
        <f t="shared" si="14"/>
        <v>607.37415017064848</v>
      </c>
      <c r="I45" s="183">
        <f t="shared" si="14"/>
        <v>27452.39019795222</v>
      </c>
      <c r="J45" s="183">
        <f t="shared" si="14"/>
        <v>28059.76434812287</v>
      </c>
      <c r="K45" s="182"/>
      <c r="L45" s="182"/>
      <c r="M45" s="182"/>
    </row>
    <row r="46" spans="1:13" x14ac:dyDescent="0.2">
      <c r="A46" s="33" t="s">
        <v>172</v>
      </c>
      <c r="B46" s="221">
        <f>SUM(B41:B45)</f>
        <v>38441</v>
      </c>
      <c r="C46" s="182">
        <f t="shared" si="14"/>
        <v>4852.3343778777862</v>
      </c>
      <c r="D46" s="182">
        <f t="shared" si="14"/>
        <v>606.15669701620652</v>
      </c>
      <c r="E46" s="182">
        <f t="shared" si="14"/>
        <v>1295.2922892224449</v>
      </c>
      <c r="F46" s="182">
        <f t="shared" si="14"/>
        <v>6168.5589167815615</v>
      </c>
      <c r="G46" s="182">
        <f t="shared" si="14"/>
        <v>1334.1920665435343</v>
      </c>
      <c r="H46" s="214">
        <f t="shared" si="14"/>
        <v>616.44779818423035</v>
      </c>
      <c r="I46" s="182">
        <f t="shared" si="14"/>
        <v>14256.534347441531</v>
      </c>
      <c r="J46" s="182">
        <f t="shared" si="14"/>
        <v>14872.982145625763</v>
      </c>
      <c r="K46" s="182"/>
      <c r="L46" s="182"/>
      <c r="M46" s="182"/>
    </row>
    <row r="47" spans="1:13" x14ac:dyDescent="0.2">
      <c r="A47" s="33"/>
      <c r="B47" s="182"/>
      <c r="C47" s="182"/>
      <c r="D47" s="182"/>
      <c r="E47" s="182"/>
      <c r="F47" s="182"/>
      <c r="G47" s="182"/>
      <c r="H47" s="214"/>
      <c r="I47" s="182"/>
      <c r="J47" s="182"/>
      <c r="K47" s="182"/>
      <c r="L47" s="182"/>
      <c r="M47" s="182"/>
    </row>
    <row r="48" spans="1:13" x14ac:dyDescent="0.2">
      <c r="A48" s="33"/>
      <c r="B48" s="221"/>
      <c r="C48" s="182"/>
      <c r="D48" s="182"/>
      <c r="E48" s="182"/>
      <c r="F48" s="182"/>
      <c r="G48" s="182"/>
      <c r="H48" s="214"/>
      <c r="I48" s="182"/>
      <c r="J48" s="182"/>
      <c r="K48" s="182"/>
      <c r="L48" s="182"/>
      <c r="M48" s="182"/>
    </row>
    <row r="49" spans="1:13" x14ac:dyDescent="0.2">
      <c r="A49" s="33" t="s">
        <v>86</v>
      </c>
      <c r="B49" s="221">
        <f>B21</f>
        <v>14270</v>
      </c>
      <c r="C49" s="182">
        <f t="shared" ref="C49:H51" si="15">C21/$B49</f>
        <v>3834.8625473020325</v>
      </c>
      <c r="D49" s="182">
        <f t="shared" si="15"/>
        <v>476.3344625087596</v>
      </c>
      <c r="E49" s="182">
        <f t="shared" si="15"/>
        <v>1087.4141009110019</v>
      </c>
      <c r="F49" s="182">
        <f t="shared" si="15"/>
        <v>5634.1652529782759</v>
      </c>
      <c r="G49" s="182">
        <f t="shared" si="15"/>
        <v>1288.4542543798177</v>
      </c>
      <c r="H49" s="214">
        <f t="shared" si="15"/>
        <v>933.05708759635593</v>
      </c>
      <c r="I49" s="182">
        <f t="shared" si="14"/>
        <v>12321.230618079888</v>
      </c>
      <c r="J49" s="182">
        <f>J21/$B49</f>
        <v>13254.287705676243</v>
      </c>
      <c r="K49" s="182"/>
      <c r="L49" s="182"/>
      <c r="M49" s="182"/>
    </row>
    <row r="50" spans="1:13" x14ac:dyDescent="0.2">
      <c r="A50" s="33" t="s">
        <v>87</v>
      </c>
      <c r="B50" s="220">
        <f>B22</f>
        <v>7660</v>
      </c>
      <c r="C50" s="183">
        <f t="shared" si="15"/>
        <v>5754.4745065274146</v>
      </c>
      <c r="D50" s="183">
        <f t="shared" si="15"/>
        <v>966.8769647519581</v>
      </c>
      <c r="E50" s="183">
        <f t="shared" si="15"/>
        <v>1569.9291240208881</v>
      </c>
      <c r="F50" s="183">
        <f t="shared" si="15"/>
        <v>6958.3651135770269</v>
      </c>
      <c r="G50" s="183">
        <f t="shared" si="15"/>
        <v>2398.1107284595305</v>
      </c>
      <c r="H50" s="220">
        <f t="shared" si="15"/>
        <v>1002.4921514360315</v>
      </c>
      <c r="I50" s="183">
        <f t="shared" si="14"/>
        <v>17647.756437336819</v>
      </c>
      <c r="J50" s="183">
        <f>J22/$B50</f>
        <v>18650.248588772851</v>
      </c>
      <c r="K50" s="182"/>
      <c r="L50" s="182"/>
      <c r="M50" s="182"/>
    </row>
    <row r="51" spans="1:13" x14ac:dyDescent="0.2">
      <c r="A51" s="33" t="s">
        <v>173</v>
      </c>
      <c r="B51" s="221">
        <f>SUM(B49:B50)</f>
        <v>21930</v>
      </c>
      <c r="C51" s="182">
        <f t="shared" si="15"/>
        <v>4505.3699621523028</v>
      </c>
      <c r="D51" s="182">
        <f t="shared" si="15"/>
        <v>647.67762562699488</v>
      </c>
      <c r="E51" s="182">
        <f t="shared" si="15"/>
        <v>1255.9533201094393</v>
      </c>
      <c r="F51" s="182">
        <f t="shared" si="15"/>
        <v>6096.6992672138631</v>
      </c>
      <c r="G51" s="182">
        <f t="shared" si="15"/>
        <v>1676.0497213862288</v>
      </c>
      <c r="H51" s="214">
        <f t="shared" si="15"/>
        <v>957.31028362973098</v>
      </c>
      <c r="I51" s="182">
        <f t="shared" si="14"/>
        <v>14181.749896488829</v>
      </c>
      <c r="J51" s="182">
        <f>J23/$B51</f>
        <v>15139.060180118558</v>
      </c>
      <c r="K51" s="182"/>
      <c r="L51" s="182"/>
      <c r="M51" s="182"/>
    </row>
    <row r="52" spans="1:13" x14ac:dyDescent="0.2">
      <c r="A52" s="33"/>
      <c r="B52" s="214"/>
      <c r="C52" s="182"/>
      <c r="D52" s="182"/>
      <c r="E52" s="182"/>
      <c r="F52" s="182"/>
      <c r="G52" s="182"/>
      <c r="H52" s="214"/>
      <c r="I52" s="182"/>
      <c r="J52" s="182"/>
      <c r="K52" s="182"/>
      <c r="L52" s="182"/>
      <c r="M52" s="182"/>
    </row>
    <row r="53" spans="1:13" ht="13.5" thickBot="1" x14ac:dyDescent="0.25">
      <c r="A53" s="33" t="s">
        <v>174</v>
      </c>
      <c r="B53" s="222">
        <f>B51+B46+B38</f>
        <v>155169</v>
      </c>
      <c r="C53" s="192">
        <f t="shared" ref="C53:H53" si="16">C25/$B53</f>
        <v>4027.3671989250429</v>
      </c>
      <c r="D53" s="192">
        <f t="shared" si="16"/>
        <v>414.15306478742531</v>
      </c>
      <c r="E53" s="192">
        <f t="shared" si="16"/>
        <v>1160.1237846477065</v>
      </c>
      <c r="F53" s="192">
        <f t="shared" si="16"/>
        <v>5644.9231829811379</v>
      </c>
      <c r="G53" s="192">
        <f t="shared" si="16"/>
        <v>1738.4614479696331</v>
      </c>
      <c r="H53" s="222">
        <f t="shared" si="16"/>
        <v>907.55765172167139</v>
      </c>
      <c r="I53" s="192">
        <f t="shared" si="14"/>
        <v>12985.028679310944</v>
      </c>
      <c r="J53" s="192">
        <f>J25/$B53</f>
        <v>13892.586331032617</v>
      </c>
      <c r="K53" s="182"/>
      <c r="L53" s="182"/>
      <c r="M53" s="182"/>
    </row>
    <row r="54" spans="1:13" ht="13.5" thickTop="1" x14ac:dyDescent="0.2">
      <c r="A54" s="33"/>
      <c r="B54" s="296"/>
      <c r="C54" s="182"/>
      <c r="D54" s="182"/>
      <c r="E54" s="182"/>
      <c r="F54" s="182"/>
      <c r="G54" s="182"/>
      <c r="H54" s="182"/>
      <c r="I54" s="182"/>
      <c r="J54" s="182"/>
      <c r="K54" s="182"/>
      <c r="L54" s="182"/>
    </row>
    <row r="55" spans="1:13" x14ac:dyDescent="0.2">
      <c r="A55" s="33"/>
      <c r="B55" s="182"/>
      <c r="C55" s="182"/>
      <c r="D55" s="182"/>
      <c r="E55" s="182"/>
      <c r="F55" s="182"/>
      <c r="G55" s="182"/>
      <c r="H55" s="182"/>
      <c r="I55" s="182"/>
      <c r="J55" s="182"/>
      <c r="K55" s="182"/>
      <c r="L55" s="182"/>
      <c r="M55" s="182"/>
    </row>
    <row r="56" spans="1:13" x14ac:dyDescent="0.2">
      <c r="A56" s="36" t="s">
        <v>200</v>
      </c>
      <c r="B56" s="36"/>
      <c r="C56" s="36"/>
      <c r="D56" s="36"/>
      <c r="E56" s="36"/>
      <c r="F56" s="36"/>
      <c r="G56" s="36"/>
      <c r="H56" s="36"/>
      <c r="I56" s="36"/>
      <c r="J56" s="36"/>
      <c r="K56" s="36"/>
      <c r="L56" s="36"/>
      <c r="M56" s="182"/>
    </row>
    <row r="57" spans="1:13" x14ac:dyDescent="0.2">
      <c r="A57" s="36" t="s">
        <v>11</v>
      </c>
      <c r="B57" s="22" t="str">
        <f>C2</f>
        <v>FY21</v>
      </c>
      <c r="L57" s="202"/>
      <c r="M57" s="182"/>
    </row>
    <row r="58" spans="1:13" ht="33.75" x14ac:dyDescent="0.2">
      <c r="A58" s="20" t="s">
        <v>245</v>
      </c>
      <c r="B58" s="21"/>
      <c r="C58" s="202" t="str">
        <f t="shared" ref="C58:H58" si="17">C3</f>
        <v>21/Pupil Property Tax</v>
      </c>
      <c r="D58" s="202" t="str">
        <f t="shared" si="17"/>
        <v>21/Pupil Non Levy Revenue</v>
      </c>
      <c r="E58" s="202" t="str">
        <f t="shared" si="17"/>
        <v>21/Pupil County Revenue</v>
      </c>
      <c r="F58" s="202" t="str">
        <f t="shared" si="17"/>
        <v>21/Pupil State Revenue</v>
      </c>
      <c r="G58" s="202" t="str">
        <f t="shared" si="17"/>
        <v>21/Pupil Federal Revenue</v>
      </c>
      <c r="H58" s="202" t="str">
        <f t="shared" si="17"/>
        <v>21Federal CARES Revenue</v>
      </c>
      <c r="I58" s="202"/>
      <c r="J58" s="202"/>
      <c r="K58" s="202"/>
      <c r="L58" s="202"/>
    </row>
    <row r="59" spans="1:13" x14ac:dyDescent="0.2">
      <c r="A59" s="33" t="s">
        <v>102</v>
      </c>
      <c r="B59" s="221"/>
      <c r="C59" s="224">
        <f t="shared" ref="C59:H65" si="18">C32/$J32</f>
        <v>0.31467708775809183</v>
      </c>
      <c r="D59" s="224">
        <f t="shared" si="18"/>
        <v>1.114111388637771E-2</v>
      </c>
      <c r="E59" s="224">
        <f t="shared" si="18"/>
        <v>8.3232556408653222E-2</v>
      </c>
      <c r="F59" s="224">
        <f t="shared" si="18"/>
        <v>0.40966767013740935</v>
      </c>
      <c r="G59" s="224">
        <f t="shared" si="18"/>
        <v>9.2060470866128785E-2</v>
      </c>
      <c r="H59" s="224">
        <f t="shared" si="18"/>
        <v>8.9221100943339071E-2</v>
      </c>
      <c r="I59" s="224"/>
      <c r="J59" s="313"/>
      <c r="K59" s="313"/>
      <c r="L59" s="182"/>
    </row>
    <row r="60" spans="1:13" x14ac:dyDescent="0.2">
      <c r="A60" s="33" t="s">
        <v>76</v>
      </c>
      <c r="B60" s="221"/>
      <c r="C60" s="224">
        <f t="shared" si="18"/>
        <v>0.24463653348620301</v>
      </c>
      <c r="D60" s="224">
        <f t="shared" si="18"/>
        <v>1.4273675041217203E-2</v>
      </c>
      <c r="E60" s="224">
        <f t="shared" si="18"/>
        <v>8.0571351061232296E-2</v>
      </c>
      <c r="F60" s="224">
        <f t="shared" si="18"/>
        <v>0.39180541251103801</v>
      </c>
      <c r="G60" s="224">
        <f t="shared" si="18"/>
        <v>0.19874019597019943</v>
      </c>
      <c r="H60" s="224">
        <f t="shared" si="18"/>
        <v>6.9972831930109808E-2</v>
      </c>
      <c r="I60" s="224"/>
      <c r="J60" s="313"/>
      <c r="K60" s="313"/>
      <c r="L60" s="182"/>
    </row>
    <row r="61" spans="1:13" x14ac:dyDescent="0.2">
      <c r="A61" s="33" t="s">
        <v>77</v>
      </c>
      <c r="B61" s="221"/>
      <c r="C61" s="224">
        <f t="shared" si="18"/>
        <v>0.2236921767817113</v>
      </c>
      <c r="D61" s="224">
        <f t="shared" si="18"/>
        <v>3.0464072595262005E-2</v>
      </c>
      <c r="E61" s="224">
        <f t="shared" si="18"/>
        <v>8.3957098998326193E-2</v>
      </c>
      <c r="F61" s="224">
        <f t="shared" si="18"/>
        <v>0.41582323689075129</v>
      </c>
      <c r="G61" s="224">
        <f t="shared" si="18"/>
        <v>0.18052250896946181</v>
      </c>
      <c r="H61" s="224">
        <f t="shared" si="18"/>
        <v>6.5540905764487428E-2</v>
      </c>
      <c r="I61" s="224"/>
      <c r="J61" s="313"/>
      <c r="K61" s="313"/>
      <c r="L61" s="182"/>
    </row>
    <row r="62" spans="1:13" x14ac:dyDescent="0.2">
      <c r="A62" s="33" t="s">
        <v>78</v>
      </c>
      <c r="B62" s="221"/>
      <c r="C62" s="224">
        <f t="shared" si="18"/>
        <v>0.23618047901834735</v>
      </c>
      <c r="D62" s="224">
        <f t="shared" si="18"/>
        <v>2.8049203160160668E-2</v>
      </c>
      <c r="E62" s="224">
        <f t="shared" si="18"/>
        <v>7.9323194436275474E-2</v>
      </c>
      <c r="F62" s="224">
        <f t="shared" si="18"/>
        <v>0.40684086349906473</v>
      </c>
      <c r="G62" s="224">
        <f t="shared" si="18"/>
        <v>0.17954341566062204</v>
      </c>
      <c r="H62" s="224">
        <f t="shared" si="18"/>
        <v>7.0062844225529622E-2</v>
      </c>
      <c r="I62" s="224"/>
      <c r="J62" s="313"/>
      <c r="K62" s="313"/>
      <c r="L62" s="182"/>
    </row>
    <row r="63" spans="1:13" x14ac:dyDescent="0.2">
      <c r="A63" s="33" t="s">
        <v>79</v>
      </c>
      <c r="B63" s="221"/>
      <c r="C63" s="224">
        <f t="shared" si="18"/>
        <v>0.25216404136142778</v>
      </c>
      <c r="D63" s="224">
        <f t="shared" si="18"/>
        <v>6.2718195984209663E-2</v>
      </c>
      <c r="E63" s="224">
        <f t="shared" si="18"/>
        <v>8.0218935730048263E-2</v>
      </c>
      <c r="F63" s="224">
        <f t="shared" si="18"/>
        <v>0.36314706796431356</v>
      </c>
      <c r="G63" s="224">
        <f t="shared" si="18"/>
        <v>0.17753855130677823</v>
      </c>
      <c r="H63" s="224">
        <f t="shared" si="18"/>
        <v>6.4213207653222484E-2</v>
      </c>
      <c r="I63" s="224"/>
      <c r="J63" s="313"/>
      <c r="K63" s="313"/>
      <c r="L63" s="182"/>
    </row>
    <row r="64" spans="1:13" x14ac:dyDescent="0.2">
      <c r="A64" s="33" t="s">
        <v>80</v>
      </c>
      <c r="B64" s="221"/>
      <c r="C64" s="225">
        <f t="shared" si="18"/>
        <v>0.30485539071458279</v>
      </c>
      <c r="D64" s="225">
        <f t="shared" si="18"/>
        <v>4.3124895346339426E-2</v>
      </c>
      <c r="E64" s="225">
        <f t="shared" si="18"/>
        <v>7.5569643923566937E-2</v>
      </c>
      <c r="F64" s="225">
        <f t="shared" si="18"/>
        <v>0.38414162760582093</v>
      </c>
      <c r="G64" s="225">
        <f t="shared" si="18"/>
        <v>0.13525428226972669</v>
      </c>
      <c r="H64" s="225">
        <f t="shared" si="18"/>
        <v>5.7054160139963263E-2</v>
      </c>
      <c r="I64" s="313"/>
      <c r="J64" s="313"/>
      <c r="K64" s="313"/>
      <c r="L64" s="182"/>
    </row>
    <row r="65" spans="1:12" x14ac:dyDescent="0.2">
      <c r="A65" s="33" t="s">
        <v>171</v>
      </c>
      <c r="B65" s="221"/>
      <c r="C65" s="224">
        <f t="shared" si="18"/>
        <v>0.27124615694508464</v>
      </c>
      <c r="D65" s="224">
        <f t="shared" si="18"/>
        <v>2.1373471170531563E-2</v>
      </c>
      <c r="E65" s="224">
        <f t="shared" si="18"/>
        <v>8.2014840742059003E-2</v>
      </c>
      <c r="F65" s="224">
        <f t="shared" si="18"/>
        <v>0.40343792201520112</v>
      </c>
      <c r="G65" s="224">
        <f t="shared" si="18"/>
        <v>0.14514112687088457</v>
      </c>
      <c r="H65" s="224">
        <f t="shared" si="18"/>
        <v>7.6786482256239116E-2</v>
      </c>
      <c r="I65" s="224"/>
      <c r="J65" s="313"/>
      <c r="K65" s="313"/>
      <c r="L65" s="182"/>
    </row>
    <row r="66" spans="1:12" x14ac:dyDescent="0.2">
      <c r="A66" s="33"/>
      <c r="B66" s="182"/>
      <c r="C66" s="224"/>
      <c r="D66" s="224"/>
      <c r="E66" s="224"/>
      <c r="F66" s="224"/>
      <c r="G66" s="224"/>
      <c r="H66" s="224"/>
      <c r="I66" s="224"/>
      <c r="J66" s="313"/>
      <c r="K66" s="313"/>
      <c r="L66" s="182"/>
    </row>
    <row r="67" spans="1:12" x14ac:dyDescent="0.2">
      <c r="A67" s="33"/>
      <c r="B67" s="221"/>
      <c r="C67" s="224"/>
      <c r="D67" s="224"/>
      <c r="E67" s="224"/>
      <c r="F67" s="224"/>
      <c r="G67" s="224"/>
      <c r="H67" s="224"/>
      <c r="I67" s="224"/>
      <c r="J67" s="313"/>
      <c r="K67" s="313"/>
      <c r="L67" s="182"/>
    </row>
    <row r="68" spans="1:12" x14ac:dyDescent="0.2">
      <c r="A68" s="33" t="s">
        <v>81</v>
      </c>
      <c r="B68" s="221"/>
      <c r="C68" s="224">
        <f t="shared" ref="C68:H73" si="19">C41/$J41</f>
        <v>0.35546728526013377</v>
      </c>
      <c r="D68" s="224">
        <f t="shared" si="19"/>
        <v>2.7257443069643641E-2</v>
      </c>
      <c r="E68" s="224">
        <f t="shared" si="19"/>
        <v>8.777895135418716E-2</v>
      </c>
      <c r="F68" s="224">
        <f t="shared" si="19"/>
        <v>0.42241272401741797</v>
      </c>
      <c r="G68" s="224">
        <f t="shared" si="19"/>
        <v>5.7710160275694672E-2</v>
      </c>
      <c r="H68" s="224">
        <f t="shared" si="19"/>
        <v>4.9373436022922691E-2</v>
      </c>
      <c r="I68" s="224"/>
      <c r="J68" s="313"/>
      <c r="K68" s="313"/>
      <c r="L68" s="182"/>
    </row>
    <row r="69" spans="1:12" x14ac:dyDescent="0.2">
      <c r="A69" s="33" t="s">
        <v>82</v>
      </c>
      <c r="B69" s="221"/>
      <c r="C69" s="224">
        <f t="shared" si="19"/>
        <v>0.30549998022320562</v>
      </c>
      <c r="D69" s="224">
        <f t="shared" si="19"/>
        <v>4.5569642199327423E-2</v>
      </c>
      <c r="E69" s="224">
        <f t="shared" si="19"/>
        <v>9.0297977115953179E-2</v>
      </c>
      <c r="F69" s="224">
        <f t="shared" si="19"/>
        <v>0.4076756780631724</v>
      </c>
      <c r="G69" s="224">
        <f t="shared" si="19"/>
        <v>0.11708135542021712</v>
      </c>
      <c r="H69" s="224">
        <f t="shared" si="19"/>
        <v>3.3875366978124405E-2</v>
      </c>
      <c r="I69" s="224"/>
      <c r="J69" s="313"/>
      <c r="K69" s="313"/>
      <c r="L69" s="182"/>
    </row>
    <row r="70" spans="1:12" x14ac:dyDescent="0.2">
      <c r="A70" s="33" t="s">
        <v>83</v>
      </c>
      <c r="B70" s="221"/>
      <c r="C70" s="224">
        <f t="shared" si="19"/>
        <v>0.3050668586912933</v>
      </c>
      <c r="D70" s="224">
        <f t="shared" si="19"/>
        <v>3.514562646616181E-2</v>
      </c>
      <c r="E70" s="224">
        <f t="shared" si="19"/>
        <v>8.2054649698657889E-2</v>
      </c>
      <c r="F70" s="224">
        <f t="shared" si="19"/>
        <v>0.43013279949473027</v>
      </c>
      <c r="G70" s="224">
        <f t="shared" si="19"/>
        <v>0.10475285901685064</v>
      </c>
      <c r="H70" s="224">
        <f t="shared" si="19"/>
        <v>4.284720663230613E-2</v>
      </c>
      <c r="I70" s="224"/>
      <c r="J70" s="313"/>
      <c r="K70" s="313"/>
      <c r="L70" s="182"/>
    </row>
    <row r="71" spans="1:12" x14ac:dyDescent="0.2">
      <c r="A71" s="33" t="s">
        <v>84</v>
      </c>
      <c r="B71" s="221"/>
      <c r="C71" s="224">
        <f t="shared" si="19"/>
        <v>0.2618867110451123</v>
      </c>
      <c r="D71" s="224">
        <f t="shared" si="19"/>
        <v>6.358197437393906E-2</v>
      </c>
      <c r="E71" s="224">
        <f t="shared" si="19"/>
        <v>8.5143186881862565E-2</v>
      </c>
      <c r="F71" s="224">
        <f t="shared" si="19"/>
        <v>0.3949522524911942</v>
      </c>
      <c r="G71" s="224">
        <f t="shared" si="19"/>
        <v>0.16488269901023248</v>
      </c>
      <c r="H71" s="224">
        <f t="shared" si="19"/>
        <v>2.9553176197659278E-2</v>
      </c>
      <c r="I71" s="224"/>
      <c r="J71" s="313"/>
      <c r="K71" s="313"/>
      <c r="L71" s="182"/>
    </row>
    <row r="72" spans="1:12" x14ac:dyDescent="0.2">
      <c r="A72" s="33" t="s">
        <v>85</v>
      </c>
      <c r="B72" s="221"/>
      <c r="C72" s="225">
        <f t="shared" si="19"/>
        <v>0.32153941006596143</v>
      </c>
      <c r="D72" s="225">
        <f t="shared" si="19"/>
        <v>9.3477453268622113E-2</v>
      </c>
      <c r="E72" s="225">
        <f t="shared" si="19"/>
        <v>8.7538753159459665E-2</v>
      </c>
      <c r="F72" s="225">
        <f t="shared" si="19"/>
        <v>0.38551009999663854</v>
      </c>
      <c r="G72" s="225">
        <f t="shared" si="19"/>
        <v>9.0288551113447787E-2</v>
      </c>
      <c r="H72" s="225">
        <f t="shared" si="19"/>
        <v>2.1645732395870258E-2</v>
      </c>
      <c r="I72" s="313"/>
      <c r="J72" s="313"/>
      <c r="K72" s="313"/>
      <c r="L72" s="182"/>
    </row>
    <row r="73" spans="1:12" x14ac:dyDescent="0.2">
      <c r="A73" s="33" t="s">
        <v>172</v>
      </c>
      <c r="B73" s="221"/>
      <c r="C73" s="224">
        <f t="shared" si="19"/>
        <v>0.32625161049526896</v>
      </c>
      <c r="D73" s="224">
        <f t="shared" si="19"/>
        <v>4.0755558709151075E-2</v>
      </c>
      <c r="E73" s="224">
        <f t="shared" si="19"/>
        <v>8.7090287377464409E-2</v>
      </c>
      <c r="F73" s="224">
        <f t="shared" si="19"/>
        <v>0.41474929885502304</v>
      </c>
      <c r="G73" s="224">
        <f t="shared" si="19"/>
        <v>8.9705753256479809E-2</v>
      </c>
      <c r="H73" s="224">
        <f t="shared" si="19"/>
        <v>4.1447491306612745E-2</v>
      </c>
      <c r="I73" s="224"/>
      <c r="J73" s="313"/>
      <c r="K73" s="313"/>
      <c r="L73" s="182"/>
    </row>
    <row r="74" spans="1:12" x14ac:dyDescent="0.2">
      <c r="A74" s="33"/>
      <c r="B74" s="182"/>
      <c r="C74" s="224"/>
      <c r="D74" s="224"/>
      <c r="E74" s="224"/>
      <c r="F74" s="224"/>
      <c r="G74" s="224"/>
      <c r="H74" s="224"/>
      <c r="I74" s="224"/>
      <c r="J74" s="313"/>
      <c r="K74" s="313"/>
      <c r="L74" s="182"/>
    </row>
    <row r="75" spans="1:12" x14ac:dyDescent="0.2">
      <c r="A75" s="33"/>
      <c r="B75" s="221"/>
      <c r="C75" s="224"/>
      <c r="D75" s="224"/>
      <c r="E75" s="224"/>
      <c r="F75" s="224"/>
      <c r="G75" s="224"/>
      <c r="H75" s="224"/>
      <c r="I75" s="224"/>
      <c r="J75" s="313"/>
      <c r="K75" s="313"/>
      <c r="L75" s="182"/>
    </row>
    <row r="76" spans="1:12" x14ac:dyDescent="0.2">
      <c r="A76" s="33" t="s">
        <v>86</v>
      </c>
      <c r="B76" s="221"/>
      <c r="C76" s="224">
        <f t="shared" ref="C76:H78" si="20">C49/$J49</f>
        <v>0.28932996117624077</v>
      </c>
      <c r="D76" s="224">
        <f t="shared" si="20"/>
        <v>3.5938141157503774E-2</v>
      </c>
      <c r="E76" s="224">
        <f t="shared" si="20"/>
        <v>8.204243977934092E-2</v>
      </c>
      <c r="F76" s="224">
        <f t="shared" si="20"/>
        <v>0.4250824622258203</v>
      </c>
      <c r="G76" s="224">
        <f t="shared" si="20"/>
        <v>9.7210373200819239E-2</v>
      </c>
      <c r="H76" s="224">
        <f t="shared" si="20"/>
        <v>7.0396622460275074E-2</v>
      </c>
      <c r="I76" s="224"/>
      <c r="J76" s="313"/>
      <c r="K76" s="313"/>
      <c r="L76" s="182"/>
    </row>
    <row r="77" spans="1:12" x14ac:dyDescent="0.2">
      <c r="A77" s="33" t="s">
        <v>87</v>
      </c>
      <c r="B77" s="221"/>
      <c r="C77" s="225">
        <f t="shared" si="20"/>
        <v>0.30854679920950306</v>
      </c>
      <c r="D77" s="225">
        <f t="shared" si="20"/>
        <v>5.18425778696592E-2</v>
      </c>
      <c r="E77" s="225">
        <f t="shared" si="20"/>
        <v>8.4177383295896663E-2</v>
      </c>
      <c r="F77" s="225">
        <f t="shared" si="20"/>
        <v>0.37309771397716651</v>
      </c>
      <c r="G77" s="225">
        <f t="shared" si="20"/>
        <v>0.1285833117475525</v>
      </c>
      <c r="H77" s="225">
        <f t="shared" si="20"/>
        <v>5.375221390022198E-2</v>
      </c>
      <c r="I77" s="313"/>
      <c r="J77" s="313"/>
      <c r="K77" s="313"/>
      <c r="L77" s="182"/>
    </row>
    <row r="78" spans="1:12" x14ac:dyDescent="0.2">
      <c r="A78" s="33" t="s">
        <v>173</v>
      </c>
      <c r="B78" s="221"/>
      <c r="C78" s="224">
        <f t="shared" si="20"/>
        <v>0.29759905228919037</v>
      </c>
      <c r="D78" s="224">
        <f t="shared" si="20"/>
        <v>4.2781891208647185E-2</v>
      </c>
      <c r="E78" s="224">
        <f t="shared" si="20"/>
        <v>8.2961115496378426E-2</v>
      </c>
      <c r="F78" s="224">
        <f t="shared" si="20"/>
        <v>0.40271319320207088</v>
      </c>
      <c r="G78" s="224">
        <f t="shared" si="20"/>
        <v>0.11071028858101171</v>
      </c>
      <c r="H78" s="224">
        <f t="shared" si="20"/>
        <v>6.3234459222701503E-2</v>
      </c>
      <c r="I78" s="224"/>
      <c r="J78" s="313"/>
      <c r="K78" s="313"/>
      <c r="L78" s="182"/>
    </row>
    <row r="79" spans="1:12" x14ac:dyDescent="0.2">
      <c r="A79" s="33"/>
      <c r="B79" s="221"/>
      <c r="C79" s="224"/>
      <c r="D79" s="224"/>
      <c r="E79" s="224"/>
      <c r="F79" s="224"/>
      <c r="G79" s="224"/>
      <c r="H79" s="224"/>
      <c r="I79" s="224"/>
      <c r="J79" s="313"/>
      <c r="K79" s="313"/>
      <c r="L79" s="182"/>
    </row>
    <row r="80" spans="1:12" ht="13.5" thickBot="1" x14ac:dyDescent="0.25">
      <c r="A80" s="33" t="s">
        <v>208</v>
      </c>
      <c r="B80" s="221"/>
      <c r="C80" s="226">
        <f t="shared" ref="C80:H80" si="21">C53/$J53</f>
        <v>0.28989326414541661</v>
      </c>
      <c r="D80" s="226">
        <f t="shared" si="21"/>
        <v>2.9811084481966423E-2</v>
      </c>
      <c r="E80" s="226">
        <f t="shared" si="21"/>
        <v>8.3506681693694115E-2</v>
      </c>
      <c r="F80" s="226">
        <f t="shared" si="21"/>
        <v>0.40632629868002113</v>
      </c>
      <c r="G80" s="226">
        <f t="shared" si="21"/>
        <v>0.12513591109283506</v>
      </c>
      <c r="H80" s="226">
        <f t="shared" si="21"/>
        <v>6.5326759906066664E-2</v>
      </c>
      <c r="I80" s="313"/>
      <c r="J80" s="313"/>
      <c r="K80" s="313"/>
      <c r="L80" s="182"/>
    </row>
    <row r="81" spans="1:13" ht="13.5" thickTop="1" x14ac:dyDescent="0.2">
      <c r="A81" s="33"/>
      <c r="B81" s="33"/>
      <c r="C81" s="296"/>
      <c r="D81" s="33"/>
      <c r="E81" s="33"/>
      <c r="F81" s="33"/>
      <c r="G81" s="33"/>
      <c r="H81" s="33"/>
      <c r="I81" s="33"/>
      <c r="J81" s="33"/>
      <c r="K81" s="33"/>
      <c r="L81" s="33"/>
      <c r="M81" s="182"/>
    </row>
    <row r="82" spans="1:13" x14ac:dyDescent="0.2">
      <c r="A82" s="33"/>
      <c r="B82" s="33"/>
      <c r="C82" s="33"/>
      <c r="D82" s="33"/>
      <c r="E82" s="33"/>
      <c r="F82" s="33"/>
      <c r="G82" s="33"/>
      <c r="H82" s="33"/>
      <c r="I82" s="33"/>
      <c r="J82" s="33"/>
      <c r="K82" s="33"/>
      <c r="L82" s="33"/>
      <c r="M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4"/>
  <dimension ref="A1:Y75"/>
  <sheetViews>
    <sheetView topLeftCell="A3" zoomScaleNormal="100" workbookViewId="0">
      <selection activeCell="B4" sqref="B4"/>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4" max="14" width="4" bestFit="1" customWidth="1"/>
    <col min="15" max="15" width="6.85546875" bestFit="1" customWidth="1"/>
    <col min="16" max="16" width="10.7109375" bestFit="1" customWidth="1"/>
    <col min="17" max="23" width="9.85546875" bestFit="1" customWidth="1"/>
  </cols>
  <sheetData>
    <row r="1" spans="1:25" x14ac:dyDescent="0.2">
      <c r="A1" s="36" t="s">
        <v>247</v>
      </c>
      <c r="B1" s="22"/>
      <c r="C1" s="22"/>
      <c r="D1" s="22"/>
      <c r="E1" s="22"/>
      <c r="F1" s="22"/>
      <c r="G1" s="22"/>
      <c r="H1" s="22"/>
      <c r="I1" s="22"/>
      <c r="J1" s="22"/>
      <c r="K1" s="22"/>
    </row>
    <row r="2" spans="1:25" x14ac:dyDescent="0.2">
      <c r="A2" s="22" t="s">
        <v>1083</v>
      </c>
      <c r="B2" s="22"/>
      <c r="C2" s="22"/>
      <c r="D2" s="22"/>
      <c r="E2" s="22"/>
      <c r="F2" s="22"/>
      <c r="G2" s="22"/>
      <c r="H2" s="22"/>
      <c r="I2" s="22"/>
      <c r="J2" s="22"/>
      <c r="K2" s="22"/>
    </row>
    <row r="3" spans="1:25" ht="33.75" x14ac:dyDescent="0.2">
      <c r="A3" s="21" t="s">
        <v>245</v>
      </c>
      <c r="B3" s="21" t="s">
        <v>1074</v>
      </c>
      <c r="C3" s="12" t="s">
        <v>1084</v>
      </c>
      <c r="D3" s="12" t="s">
        <v>1085</v>
      </c>
      <c r="E3" s="12" t="s">
        <v>1086</v>
      </c>
      <c r="F3" s="12" t="s">
        <v>1087</v>
      </c>
      <c r="G3" s="12" t="s">
        <v>1088</v>
      </c>
      <c r="H3" s="12" t="s">
        <v>1089</v>
      </c>
      <c r="I3" s="12" t="s">
        <v>1079</v>
      </c>
      <c r="J3" s="12" t="s">
        <v>1090</v>
      </c>
      <c r="K3" s="12" t="s">
        <v>1091</v>
      </c>
    </row>
    <row r="4" spans="1:25" ht="15" x14ac:dyDescent="0.25">
      <c r="A4" s="33" t="s">
        <v>102</v>
      </c>
      <c r="B4" s="214">
        <v>37842</v>
      </c>
      <c r="C4" s="214">
        <v>179409937.64000002</v>
      </c>
      <c r="D4" s="214">
        <v>37394690.130000003</v>
      </c>
      <c r="E4" s="214">
        <v>10542474.819999998</v>
      </c>
      <c r="F4" s="214">
        <v>19176864.879999999</v>
      </c>
      <c r="G4" s="214">
        <v>27949305.640000001</v>
      </c>
      <c r="H4" s="214">
        <v>14846775.360000001</v>
      </c>
      <c r="I4" s="214">
        <v>13266527.029999999</v>
      </c>
      <c r="J4" s="214">
        <v>11641350.879999999</v>
      </c>
      <c r="K4" s="214">
        <f t="shared" ref="K4:K9" si="0">SUM(C4:J4)</f>
        <v>314227926.38</v>
      </c>
      <c r="N4" s="214"/>
      <c r="O4" s="214"/>
      <c r="P4" s="294"/>
      <c r="Q4" s="293"/>
      <c r="R4" s="293"/>
      <c r="S4" s="293"/>
      <c r="T4" s="293"/>
      <c r="U4" s="293"/>
      <c r="V4" s="293"/>
      <c r="W4" s="293"/>
      <c r="X4" s="293"/>
      <c r="Y4" s="293"/>
    </row>
    <row r="5" spans="1:25" ht="15" x14ac:dyDescent="0.25">
      <c r="A5" s="33" t="s">
        <v>76</v>
      </c>
      <c r="B5" s="214">
        <v>18223</v>
      </c>
      <c r="C5" s="214">
        <v>88867719.489999995</v>
      </c>
      <c r="D5" s="214">
        <v>20024457.700000003</v>
      </c>
      <c r="E5" s="214">
        <v>6438769.0800000001</v>
      </c>
      <c r="F5" s="214">
        <v>10278275.890000001</v>
      </c>
      <c r="G5" s="214">
        <v>16508496.859999998</v>
      </c>
      <c r="H5" s="214">
        <v>8142576.5</v>
      </c>
      <c r="I5" s="214">
        <v>11423598.869999999</v>
      </c>
      <c r="J5" s="214">
        <v>9004371.0499999989</v>
      </c>
      <c r="K5" s="214">
        <f t="shared" si="0"/>
        <v>170688265.44</v>
      </c>
      <c r="N5" s="214"/>
      <c r="O5" s="214"/>
      <c r="P5" s="294"/>
      <c r="Q5" s="293"/>
      <c r="R5" s="293"/>
      <c r="S5" s="293"/>
      <c r="T5" s="293"/>
      <c r="U5" s="293"/>
      <c r="V5" s="293"/>
      <c r="W5" s="293"/>
      <c r="X5" s="293"/>
      <c r="Y5" s="293"/>
    </row>
    <row r="6" spans="1:25" ht="15" x14ac:dyDescent="0.25">
      <c r="A6" s="33" t="s">
        <v>77</v>
      </c>
      <c r="B6" s="214">
        <v>13498</v>
      </c>
      <c r="C6" s="214">
        <v>69227123.13000001</v>
      </c>
      <c r="D6" s="214">
        <v>12920585.92</v>
      </c>
      <c r="E6" s="214">
        <v>7845546.25</v>
      </c>
      <c r="F6" s="214">
        <v>7070525.1600000011</v>
      </c>
      <c r="G6" s="214">
        <v>14149593.949999999</v>
      </c>
      <c r="H6" s="214">
        <v>6443164.3100000005</v>
      </c>
      <c r="I6" s="214">
        <v>6832636.8200000003</v>
      </c>
      <c r="J6" s="214">
        <v>7556922.04</v>
      </c>
      <c r="K6" s="214">
        <f t="shared" si="0"/>
        <v>132046097.58000003</v>
      </c>
      <c r="N6" s="214"/>
      <c r="O6" s="214"/>
      <c r="P6" s="294"/>
      <c r="Q6" s="293"/>
      <c r="R6" s="293"/>
      <c r="S6" s="293"/>
      <c r="T6" s="293"/>
      <c r="U6" s="293"/>
      <c r="V6" s="293"/>
      <c r="W6" s="293"/>
      <c r="X6" s="293"/>
      <c r="Y6" s="293"/>
    </row>
    <row r="7" spans="1:25" ht="15" x14ac:dyDescent="0.25">
      <c r="A7" s="33" t="s">
        <v>78</v>
      </c>
      <c r="B7" s="214">
        <v>13549</v>
      </c>
      <c r="C7" s="214">
        <v>67916726.280000001</v>
      </c>
      <c r="D7" s="214">
        <v>7993556.5099999988</v>
      </c>
      <c r="E7" s="214">
        <v>9293422.6499999966</v>
      </c>
      <c r="F7" s="214">
        <v>5507413.2699999996</v>
      </c>
      <c r="G7" s="214">
        <v>13121203.699999999</v>
      </c>
      <c r="H7" s="214">
        <v>7401871.5500000007</v>
      </c>
      <c r="I7" s="214">
        <v>10176669.949999997</v>
      </c>
      <c r="J7" s="214">
        <v>8879962.9499999974</v>
      </c>
      <c r="K7" s="214">
        <f t="shared" si="0"/>
        <v>130290826.86</v>
      </c>
      <c r="N7" s="214"/>
      <c r="O7" s="214"/>
      <c r="P7" s="294"/>
      <c r="Q7" s="293"/>
      <c r="R7" s="293"/>
      <c r="S7" s="293"/>
      <c r="T7" s="293"/>
      <c r="U7" s="293"/>
      <c r="V7" s="293"/>
      <c r="W7" s="293"/>
      <c r="X7" s="293"/>
      <c r="Y7" s="293"/>
    </row>
    <row r="8" spans="1:25" ht="15" x14ac:dyDescent="0.25">
      <c r="A8" s="33" t="s">
        <v>79</v>
      </c>
      <c r="B8" s="214">
        <v>4973</v>
      </c>
      <c r="C8" s="214">
        <v>30434686.270000003</v>
      </c>
      <c r="D8" s="214">
        <v>3069863.8099999991</v>
      </c>
      <c r="E8" s="214">
        <v>5350552.1700000009</v>
      </c>
      <c r="F8" s="214">
        <v>2382785.64</v>
      </c>
      <c r="G8" s="214">
        <v>6227682.1600000001</v>
      </c>
      <c r="H8" s="214">
        <v>4954166.91</v>
      </c>
      <c r="I8" s="214">
        <v>2528292.4899999998</v>
      </c>
      <c r="J8" s="214">
        <v>4242128.42</v>
      </c>
      <c r="K8" s="214">
        <f t="shared" si="0"/>
        <v>59190157.869999997</v>
      </c>
      <c r="N8" s="214"/>
      <c r="O8" s="214"/>
      <c r="P8" s="294"/>
      <c r="Q8" s="293"/>
      <c r="R8" s="293"/>
      <c r="S8" s="293"/>
      <c r="T8" s="293"/>
      <c r="U8" s="293"/>
      <c r="V8" s="293"/>
      <c r="W8" s="293"/>
      <c r="X8" s="293"/>
      <c r="Y8" s="293"/>
    </row>
    <row r="9" spans="1:25" ht="15" x14ac:dyDescent="0.25">
      <c r="A9" s="33" t="s">
        <v>80</v>
      </c>
      <c r="B9" s="233">
        <v>1854</v>
      </c>
      <c r="C9" s="234">
        <v>11117609.219999999</v>
      </c>
      <c r="D9" s="220">
        <v>532759.46</v>
      </c>
      <c r="E9" s="220">
        <v>2205871.4499999993</v>
      </c>
      <c r="F9" s="220">
        <v>232269.59999999998</v>
      </c>
      <c r="G9" s="220">
        <v>2478315.3400000008</v>
      </c>
      <c r="H9" s="220">
        <v>1790556.5899999999</v>
      </c>
      <c r="I9" s="220">
        <v>441423.41000000003</v>
      </c>
      <c r="J9" s="220">
        <v>838198.77000000025</v>
      </c>
      <c r="K9" s="220">
        <f t="shared" si="0"/>
        <v>19637003.84</v>
      </c>
      <c r="N9" s="214"/>
      <c r="O9" s="214"/>
      <c r="P9" s="294"/>
      <c r="Q9" s="293"/>
      <c r="R9" s="293"/>
      <c r="S9" s="293"/>
      <c r="T9" s="293"/>
      <c r="U9" s="293"/>
      <c r="V9" s="293"/>
      <c r="W9" s="293"/>
      <c r="X9" s="293"/>
      <c r="Y9" s="293"/>
    </row>
    <row r="10" spans="1:25" x14ac:dyDescent="0.2">
      <c r="A10" s="182" t="s">
        <v>103</v>
      </c>
      <c r="B10" s="214">
        <f t="shared" ref="B10:K10" si="1">SUM(B4:B9)</f>
        <v>89939</v>
      </c>
      <c r="C10" s="214">
        <f t="shared" si="1"/>
        <v>446973802.02999997</v>
      </c>
      <c r="D10" s="214">
        <f t="shared" si="1"/>
        <v>81935913.530000001</v>
      </c>
      <c r="E10" s="214">
        <f t="shared" si="1"/>
        <v>41676636.420000002</v>
      </c>
      <c r="F10" s="214">
        <f t="shared" si="1"/>
        <v>44648134.440000005</v>
      </c>
      <c r="G10" s="214">
        <f t="shared" si="1"/>
        <v>80434597.650000006</v>
      </c>
      <c r="H10" s="214">
        <f t="shared" si="1"/>
        <v>43579111.219999999</v>
      </c>
      <c r="I10" s="214">
        <f t="shared" si="1"/>
        <v>44669148.569999993</v>
      </c>
      <c r="J10" s="214">
        <f t="shared" si="1"/>
        <v>42162934.109999999</v>
      </c>
      <c r="K10" s="214">
        <f t="shared" si="1"/>
        <v>826080277.97000003</v>
      </c>
      <c r="N10" s="214"/>
      <c r="O10" s="214"/>
    </row>
    <row r="11" spans="1:25" x14ac:dyDescent="0.2">
      <c r="A11" s="33"/>
      <c r="B11" s="214"/>
      <c r="C11" s="214"/>
      <c r="D11" s="214"/>
      <c r="E11" s="214"/>
      <c r="F11" s="214"/>
      <c r="G11" s="214"/>
      <c r="H11" s="214"/>
      <c r="I11" s="214"/>
      <c r="J11" s="214"/>
      <c r="K11" s="182"/>
      <c r="N11" s="214"/>
      <c r="O11" s="214"/>
    </row>
    <row r="12" spans="1:25" ht="15" x14ac:dyDescent="0.25">
      <c r="A12" s="33" t="s">
        <v>81</v>
      </c>
      <c r="B12" s="214">
        <v>21890</v>
      </c>
      <c r="C12" s="214">
        <v>103726633.79999998</v>
      </c>
      <c r="D12" s="214">
        <v>19136079.149999999</v>
      </c>
      <c r="E12" s="214">
        <v>8315663.5899999999</v>
      </c>
      <c r="F12" s="214">
        <v>11710378.84</v>
      </c>
      <c r="G12" s="214">
        <v>22062664.23</v>
      </c>
      <c r="H12" s="214">
        <v>8444513.8200000003</v>
      </c>
      <c r="I12" s="214">
        <v>13378185.229999999</v>
      </c>
      <c r="J12" s="214">
        <v>18708792.239999995</v>
      </c>
      <c r="K12" s="214">
        <f>SUM(C12:J12)</f>
        <v>205482910.89999998</v>
      </c>
      <c r="N12" s="214"/>
      <c r="O12" s="214"/>
      <c r="P12" s="294"/>
      <c r="Q12" s="293"/>
      <c r="R12" s="293"/>
      <c r="S12" s="293"/>
      <c r="T12" s="293"/>
      <c r="U12" s="293"/>
      <c r="V12" s="293"/>
      <c r="W12" s="293"/>
      <c r="X12" s="293"/>
      <c r="Y12" s="293"/>
    </row>
    <row r="13" spans="1:25" ht="15" x14ac:dyDescent="0.25">
      <c r="A13" s="33" t="s">
        <v>82</v>
      </c>
      <c r="B13" s="214">
        <v>6282</v>
      </c>
      <c r="C13" s="214">
        <v>27049292.689999998</v>
      </c>
      <c r="D13" s="214">
        <v>5090319.67</v>
      </c>
      <c r="E13" s="214">
        <v>2789712.32</v>
      </c>
      <c r="F13" s="214">
        <v>3957254.92</v>
      </c>
      <c r="G13" s="214">
        <v>7766433.8899999997</v>
      </c>
      <c r="H13" s="214">
        <v>3910448.19</v>
      </c>
      <c r="I13" s="214">
        <v>3927750</v>
      </c>
      <c r="J13" s="214">
        <v>7306522.9700000007</v>
      </c>
      <c r="K13" s="214">
        <f>SUM(C13:J13)</f>
        <v>61797734.649999999</v>
      </c>
      <c r="N13" s="214"/>
      <c r="O13" s="214"/>
      <c r="P13" s="294"/>
      <c r="Q13" s="293"/>
      <c r="R13" s="293"/>
      <c r="S13" s="293"/>
      <c r="T13" s="293"/>
      <c r="U13" s="293"/>
      <c r="V13" s="293"/>
      <c r="W13" s="293"/>
      <c r="X13" s="293"/>
      <c r="Y13" s="293"/>
    </row>
    <row r="14" spans="1:25" ht="15" x14ac:dyDescent="0.25">
      <c r="A14" s="33" t="s">
        <v>83</v>
      </c>
      <c r="B14" s="214">
        <v>5828</v>
      </c>
      <c r="C14" s="214">
        <v>27818035.440000001</v>
      </c>
      <c r="D14" s="214">
        <v>5144472.58</v>
      </c>
      <c r="E14" s="214">
        <v>3789407.5099999993</v>
      </c>
      <c r="F14" s="214">
        <v>4042943.4200000004</v>
      </c>
      <c r="G14" s="214">
        <v>9182328.290000001</v>
      </c>
      <c r="H14" s="214">
        <v>4354297.9799999995</v>
      </c>
      <c r="I14" s="214">
        <v>5524239.8199999994</v>
      </c>
      <c r="J14" s="214">
        <v>6282834.7800000012</v>
      </c>
      <c r="K14" s="214">
        <f>SUM(C14:J14)</f>
        <v>66138559.82</v>
      </c>
      <c r="N14" s="214"/>
      <c r="O14" s="214"/>
      <c r="P14" s="294"/>
      <c r="Q14" s="293"/>
      <c r="R14" s="293"/>
      <c r="S14" s="293"/>
      <c r="T14" s="293"/>
      <c r="U14" s="293"/>
      <c r="V14" s="293"/>
      <c r="W14" s="293"/>
      <c r="X14" s="293"/>
      <c r="Y14" s="293"/>
    </row>
    <row r="15" spans="1:25" ht="15" x14ac:dyDescent="0.25">
      <c r="A15" s="33" t="s">
        <v>84</v>
      </c>
      <c r="B15" s="214">
        <v>5163</v>
      </c>
      <c r="C15" s="214">
        <v>27308333.219999995</v>
      </c>
      <c r="D15" s="214">
        <v>3678022.8800000008</v>
      </c>
      <c r="E15" s="214">
        <v>5585642.8000000007</v>
      </c>
      <c r="F15" s="214">
        <v>3385474.77</v>
      </c>
      <c r="G15" s="214">
        <v>8698789.1499999985</v>
      </c>
      <c r="H15" s="214">
        <v>6723293.2800000003</v>
      </c>
      <c r="I15" s="214">
        <v>5558360.8099999987</v>
      </c>
      <c r="J15" s="214">
        <v>6443762.0700000003</v>
      </c>
      <c r="K15" s="214">
        <f>SUM(C15:J15)</f>
        <v>67381678.979999989</v>
      </c>
      <c r="N15" s="214"/>
      <c r="O15" s="214"/>
      <c r="P15" s="294"/>
      <c r="Q15" s="293"/>
      <c r="R15" s="293"/>
      <c r="S15" s="293"/>
      <c r="T15" s="293"/>
      <c r="U15" s="293"/>
      <c r="V15" s="293"/>
      <c r="W15" s="293"/>
      <c r="X15" s="293"/>
      <c r="Y15" s="293"/>
    </row>
    <row r="16" spans="1:25" ht="15" x14ac:dyDescent="0.25">
      <c r="A16" s="33" t="s">
        <v>85</v>
      </c>
      <c r="B16" s="233">
        <v>1384</v>
      </c>
      <c r="C16" s="234">
        <v>11401746.520000001</v>
      </c>
      <c r="D16" s="220">
        <v>939007.02999999991</v>
      </c>
      <c r="E16" s="220">
        <v>3317717.9899999998</v>
      </c>
      <c r="F16" s="220">
        <v>814035.97999999986</v>
      </c>
      <c r="G16" s="220">
        <v>4167161.9399999995</v>
      </c>
      <c r="H16" s="220">
        <v>2674947.94</v>
      </c>
      <c r="I16" s="220">
        <v>1935994.58</v>
      </c>
      <c r="J16" s="220">
        <v>2999678.98</v>
      </c>
      <c r="K16" s="220">
        <f>SUM(C16:J16)</f>
        <v>28250290.960000005</v>
      </c>
      <c r="N16" s="214"/>
      <c r="O16" s="214"/>
      <c r="P16" s="294"/>
      <c r="Q16" s="293"/>
      <c r="R16" s="293"/>
      <c r="S16" s="293"/>
      <c r="T16" s="293"/>
      <c r="U16" s="293"/>
      <c r="V16" s="293"/>
      <c r="W16" s="293"/>
      <c r="X16" s="293"/>
      <c r="Y16" s="293"/>
    </row>
    <row r="17" spans="1:25" x14ac:dyDescent="0.2">
      <c r="A17" s="182" t="s">
        <v>104</v>
      </c>
      <c r="B17" s="214">
        <f t="shared" ref="B17:K17" si="2">SUM(B12:B16)</f>
        <v>40547</v>
      </c>
      <c r="C17" s="214">
        <f t="shared" si="2"/>
        <v>197304041.66999999</v>
      </c>
      <c r="D17" s="214">
        <f t="shared" si="2"/>
        <v>33987901.310000002</v>
      </c>
      <c r="E17" s="214">
        <f t="shared" si="2"/>
        <v>23798144.209999997</v>
      </c>
      <c r="F17" s="214">
        <f t="shared" si="2"/>
        <v>23910087.93</v>
      </c>
      <c r="G17" s="214">
        <f t="shared" si="2"/>
        <v>51877377.5</v>
      </c>
      <c r="H17" s="214">
        <f t="shared" si="2"/>
        <v>26107501.210000001</v>
      </c>
      <c r="I17" s="214">
        <f t="shared" si="2"/>
        <v>30324530.439999998</v>
      </c>
      <c r="J17" s="214">
        <f t="shared" si="2"/>
        <v>41741591.039999992</v>
      </c>
      <c r="K17" s="214">
        <f t="shared" si="2"/>
        <v>429051175.31</v>
      </c>
    </row>
    <row r="18" spans="1:25" x14ac:dyDescent="0.2">
      <c r="A18" s="33"/>
      <c r="B18" s="214"/>
      <c r="C18" s="214"/>
      <c r="D18" s="214"/>
      <c r="E18" s="214"/>
      <c r="F18" s="214"/>
      <c r="G18" s="214"/>
      <c r="H18" s="214"/>
      <c r="I18" s="214"/>
      <c r="J18" s="214"/>
      <c r="K18" s="182"/>
    </row>
    <row r="19" spans="1:25" ht="15" x14ac:dyDescent="0.25">
      <c r="A19" s="33" t="s">
        <v>86</v>
      </c>
      <c r="B19" s="214">
        <v>10013</v>
      </c>
      <c r="C19" s="214">
        <v>45529391.200000003</v>
      </c>
      <c r="D19" s="214">
        <v>5625549.6599999992</v>
      </c>
      <c r="E19" s="214">
        <v>4062259.1799999997</v>
      </c>
      <c r="F19" s="214">
        <v>5042028.4799999995</v>
      </c>
      <c r="G19" s="214">
        <v>9294022.6199999992</v>
      </c>
      <c r="H19" s="214">
        <v>4844954.0999999996</v>
      </c>
      <c r="I19" s="214">
        <v>8342024.1499999985</v>
      </c>
      <c r="J19" s="214">
        <v>6605056.6699999999</v>
      </c>
      <c r="K19" s="214">
        <f>SUM(C19:J19)</f>
        <v>89345286.059999987</v>
      </c>
      <c r="P19" s="294"/>
      <c r="Q19" s="293"/>
      <c r="R19" s="293"/>
      <c r="S19" s="293"/>
      <c r="T19" s="293"/>
      <c r="U19" s="293"/>
      <c r="V19" s="293"/>
      <c r="W19" s="293"/>
      <c r="X19" s="293"/>
      <c r="Y19" s="293"/>
    </row>
    <row r="20" spans="1:25" ht="15" x14ac:dyDescent="0.25">
      <c r="A20" s="33" t="s">
        <v>87</v>
      </c>
      <c r="B20" s="233">
        <v>7466</v>
      </c>
      <c r="C20" s="234">
        <v>48891795.590000004</v>
      </c>
      <c r="D20" s="234">
        <v>4823206.6799999988</v>
      </c>
      <c r="E20" s="234">
        <v>8985041.629999999</v>
      </c>
      <c r="F20" s="234">
        <v>3586636.9400000004</v>
      </c>
      <c r="G20" s="234">
        <v>13662285.890000001</v>
      </c>
      <c r="H20" s="234">
        <v>8004008.6100000003</v>
      </c>
      <c r="I20" s="234">
        <v>8993599.4100000001</v>
      </c>
      <c r="J20" s="220">
        <v>8981196.8699999992</v>
      </c>
      <c r="K20" s="220">
        <f>SUM(C20:J20)</f>
        <v>105927771.62</v>
      </c>
      <c r="P20" s="294"/>
      <c r="Q20" s="293"/>
      <c r="R20" s="293"/>
      <c r="S20" s="293"/>
      <c r="T20" s="293"/>
      <c r="U20" s="293"/>
      <c r="V20" s="293"/>
      <c r="W20" s="293"/>
      <c r="X20" s="293"/>
      <c r="Y20" s="293"/>
    </row>
    <row r="21" spans="1:25" x14ac:dyDescent="0.2">
      <c r="A21" s="182" t="s">
        <v>105</v>
      </c>
      <c r="B21" s="214">
        <f t="shared" ref="B21:K21" si="3">SUM(B19:B20)</f>
        <v>17479</v>
      </c>
      <c r="C21" s="214">
        <f t="shared" si="3"/>
        <v>94421186.790000007</v>
      </c>
      <c r="D21" s="214">
        <f t="shared" si="3"/>
        <v>10448756.339999998</v>
      </c>
      <c r="E21" s="214">
        <f t="shared" si="3"/>
        <v>13047300.809999999</v>
      </c>
      <c r="F21" s="214">
        <f t="shared" si="3"/>
        <v>8628665.4199999999</v>
      </c>
      <c r="G21" s="214">
        <f t="shared" si="3"/>
        <v>22956308.509999998</v>
      </c>
      <c r="H21" s="214">
        <f t="shared" si="3"/>
        <v>12848962.710000001</v>
      </c>
      <c r="I21" s="214">
        <f t="shared" si="3"/>
        <v>17335623.559999999</v>
      </c>
      <c r="J21" s="214">
        <f t="shared" si="3"/>
        <v>15586253.539999999</v>
      </c>
      <c r="K21" s="214">
        <f t="shared" si="3"/>
        <v>195273057.68000001</v>
      </c>
    </row>
    <row r="22" spans="1:25" x14ac:dyDescent="0.2">
      <c r="A22" s="33"/>
      <c r="B22" s="214"/>
      <c r="C22" s="214"/>
      <c r="D22" s="214"/>
      <c r="E22" s="214"/>
      <c r="F22" s="214"/>
      <c r="G22" s="214"/>
      <c r="H22" s="214"/>
      <c r="I22" s="214"/>
      <c r="J22" s="214"/>
      <c r="K22" s="214"/>
    </row>
    <row r="23" spans="1:25" ht="13.5" thickBot="1" x14ac:dyDescent="0.25">
      <c r="A23" s="182" t="s">
        <v>209</v>
      </c>
      <c r="B23" s="222">
        <f t="shared" ref="B23:K23" si="4">B21+B17+B10</f>
        <v>147965</v>
      </c>
      <c r="C23" s="222">
        <f t="shared" si="4"/>
        <v>738699030.49000001</v>
      </c>
      <c r="D23" s="222">
        <f t="shared" si="4"/>
        <v>126372571.18000001</v>
      </c>
      <c r="E23" s="222">
        <f t="shared" si="4"/>
        <v>78522081.439999998</v>
      </c>
      <c r="F23" s="222">
        <f t="shared" si="4"/>
        <v>77186887.790000007</v>
      </c>
      <c r="G23" s="222">
        <f t="shared" si="4"/>
        <v>155268283.66</v>
      </c>
      <c r="H23" s="222">
        <f t="shared" si="4"/>
        <v>82535575.140000001</v>
      </c>
      <c r="I23" s="222">
        <f t="shared" si="4"/>
        <v>92329302.569999993</v>
      </c>
      <c r="J23" s="222">
        <f t="shared" si="4"/>
        <v>99490778.689999998</v>
      </c>
      <c r="K23" s="222">
        <f t="shared" si="4"/>
        <v>1450404510.96</v>
      </c>
    </row>
    <row r="24" spans="1:25" ht="13.5" thickTop="1" x14ac:dyDescent="0.2">
      <c r="A24" s="33"/>
      <c r="B24" s="182"/>
      <c r="C24" s="182"/>
      <c r="D24" s="182"/>
      <c r="E24" s="182"/>
      <c r="F24" s="182"/>
      <c r="G24" s="182"/>
      <c r="H24" s="182"/>
      <c r="I24" s="182"/>
      <c r="J24" s="182"/>
      <c r="K24" s="182"/>
    </row>
    <row r="25" spans="1:25" x14ac:dyDescent="0.2">
      <c r="A25" s="36" t="s">
        <v>247</v>
      </c>
      <c r="B25" s="22"/>
      <c r="C25" s="22"/>
      <c r="D25" s="22"/>
      <c r="E25" s="22"/>
      <c r="F25" s="22"/>
      <c r="G25" s="22"/>
      <c r="H25" s="22"/>
      <c r="I25" s="22"/>
      <c r="J25" s="22"/>
      <c r="K25" s="22"/>
    </row>
    <row r="26" spans="1:25" x14ac:dyDescent="0.2">
      <c r="A26" s="36" t="s">
        <v>1081</v>
      </c>
      <c r="B26" s="22"/>
      <c r="C26" s="22"/>
      <c r="D26" s="22"/>
      <c r="E26" s="22"/>
      <c r="F26" s="22"/>
      <c r="G26" s="22"/>
      <c r="H26" s="22"/>
      <c r="I26" s="22"/>
      <c r="J26" s="22"/>
      <c r="K26" s="22"/>
    </row>
    <row r="27" spans="1:25" ht="33.75" customHeight="1" x14ac:dyDescent="0.2">
      <c r="A27" s="21" t="s">
        <v>245</v>
      </c>
      <c r="B27" s="21" t="str">
        <f>B3</f>
        <v>ANB11</v>
      </c>
      <c r="C27" s="21" t="str">
        <f t="shared" ref="C27:K27" si="5">C3</f>
        <v>11/Pupil Instruction</v>
      </c>
      <c r="D27" s="21" t="str">
        <f t="shared" si="5"/>
        <v>11/Pupil Student Services</v>
      </c>
      <c r="E27" s="21" t="str">
        <f t="shared" si="5"/>
        <v>11/Pupil General Admin</v>
      </c>
      <c r="F27" s="21" t="str">
        <f t="shared" si="5"/>
        <v>11/Pupil Bldg Admin</v>
      </c>
      <c r="G27" s="21" t="str">
        <f t="shared" si="5"/>
        <v>11/Pupil Bldg OM</v>
      </c>
      <c r="H27" s="21" t="str">
        <f t="shared" si="5"/>
        <v>11/Pupil Transport</v>
      </c>
      <c r="I27" s="21" t="str">
        <f t="shared" si="5"/>
        <v>11/Pupil Other</v>
      </c>
      <c r="J27" s="21" t="str">
        <f t="shared" si="5"/>
        <v>11/Pupil Bonds/ Facilities</v>
      </c>
      <c r="K27" s="21" t="str">
        <f t="shared" si="5"/>
        <v>11/Pupil Total</v>
      </c>
    </row>
    <row r="28" spans="1:25" x14ac:dyDescent="0.2">
      <c r="A28" s="182" t="s">
        <v>102</v>
      </c>
      <c r="B28" s="214">
        <f t="shared" ref="B28:B33" si="6">B4</f>
        <v>37842</v>
      </c>
      <c r="C28" s="182">
        <f t="shared" ref="C28:K34" si="7">C4/$B28</f>
        <v>4741.0268389620005</v>
      </c>
      <c r="D28" s="182">
        <f t="shared" si="7"/>
        <v>988.17953940066604</v>
      </c>
      <c r="E28" s="182">
        <f t="shared" si="7"/>
        <v>278.59190370487812</v>
      </c>
      <c r="F28" s="182">
        <f t="shared" si="7"/>
        <v>506.76139950319748</v>
      </c>
      <c r="G28" s="182">
        <f t="shared" si="7"/>
        <v>738.57897679826647</v>
      </c>
      <c r="H28" s="182">
        <f t="shared" si="7"/>
        <v>392.33590613603934</v>
      </c>
      <c r="I28" s="182">
        <f t="shared" si="7"/>
        <v>350.57679377411341</v>
      </c>
      <c r="J28" s="182">
        <f t="shared" si="7"/>
        <v>307.63043390941277</v>
      </c>
      <c r="K28" s="182">
        <f t="shared" si="7"/>
        <v>8303.681792188574</v>
      </c>
    </row>
    <row r="29" spans="1:25" x14ac:dyDescent="0.2">
      <c r="A29" s="182" t="s">
        <v>76</v>
      </c>
      <c r="B29" s="214">
        <f t="shared" si="6"/>
        <v>18223</v>
      </c>
      <c r="C29" s="182">
        <f t="shared" si="7"/>
        <v>4876.6788942545136</v>
      </c>
      <c r="D29" s="182">
        <f t="shared" si="7"/>
        <v>1098.8562640619</v>
      </c>
      <c r="E29" s="182">
        <f t="shared" si="7"/>
        <v>353.33200241453108</v>
      </c>
      <c r="F29" s="182">
        <f t="shared" si="7"/>
        <v>564.02765131976082</v>
      </c>
      <c r="G29" s="182">
        <f t="shared" si="7"/>
        <v>905.9154288536464</v>
      </c>
      <c r="H29" s="182">
        <f t="shared" si="7"/>
        <v>446.82963836909403</v>
      </c>
      <c r="I29" s="182">
        <f t="shared" si="7"/>
        <v>626.8780590462602</v>
      </c>
      <c r="J29" s="182">
        <f t="shared" si="7"/>
        <v>494.12122317949837</v>
      </c>
      <c r="K29" s="182">
        <f t="shared" si="7"/>
        <v>9366.6391614992044</v>
      </c>
    </row>
    <row r="30" spans="1:25" x14ac:dyDescent="0.2">
      <c r="A30" s="182" t="s">
        <v>77</v>
      </c>
      <c r="B30" s="214">
        <f t="shared" si="6"/>
        <v>13498</v>
      </c>
      <c r="C30" s="182">
        <f t="shared" si="7"/>
        <v>5128.6948533116029</v>
      </c>
      <c r="D30" s="182">
        <f t="shared" si="7"/>
        <v>957.22224922210694</v>
      </c>
      <c r="E30" s="182">
        <f t="shared" si="7"/>
        <v>581.23768336049784</v>
      </c>
      <c r="F30" s="182">
        <f t="shared" si="7"/>
        <v>523.82020743813905</v>
      </c>
      <c r="G30" s="182">
        <f t="shared" si="7"/>
        <v>1048.273370128908</v>
      </c>
      <c r="H30" s="182">
        <f t="shared" si="7"/>
        <v>477.34214772558903</v>
      </c>
      <c r="I30" s="182">
        <f t="shared" si="7"/>
        <v>506.19623796117946</v>
      </c>
      <c r="J30" s="182">
        <f t="shared" si="7"/>
        <v>559.8549444362128</v>
      </c>
      <c r="K30" s="182">
        <f t="shared" si="7"/>
        <v>9782.6416935842371</v>
      </c>
    </row>
    <row r="31" spans="1:25" x14ac:dyDescent="0.2">
      <c r="A31" s="182" t="s">
        <v>78</v>
      </c>
      <c r="B31" s="214">
        <f t="shared" si="6"/>
        <v>13549</v>
      </c>
      <c r="C31" s="182">
        <f t="shared" si="7"/>
        <v>5012.6744615838807</v>
      </c>
      <c r="D31" s="182">
        <f t="shared" si="7"/>
        <v>589.97391025167906</v>
      </c>
      <c r="E31" s="182">
        <f t="shared" si="7"/>
        <v>685.91207100154963</v>
      </c>
      <c r="F31" s="182">
        <f t="shared" si="7"/>
        <v>406.48116244741306</v>
      </c>
      <c r="G31" s="182">
        <f t="shared" si="7"/>
        <v>968.42598715772374</v>
      </c>
      <c r="H31" s="182">
        <f t="shared" si="7"/>
        <v>546.30390065687516</v>
      </c>
      <c r="I31" s="182">
        <f t="shared" si="7"/>
        <v>751.10118458926843</v>
      </c>
      <c r="J31" s="182">
        <f t="shared" si="7"/>
        <v>655.3961879105467</v>
      </c>
      <c r="K31" s="182">
        <f t="shared" si="7"/>
        <v>9616.2688655989368</v>
      </c>
    </row>
    <row r="32" spans="1:25" x14ac:dyDescent="0.2">
      <c r="A32" s="182" t="s">
        <v>79</v>
      </c>
      <c r="B32" s="214">
        <f t="shared" si="6"/>
        <v>4973</v>
      </c>
      <c r="C32" s="182">
        <f t="shared" si="7"/>
        <v>6119.9851739392725</v>
      </c>
      <c r="D32" s="182">
        <f t="shared" si="7"/>
        <v>617.30621556404571</v>
      </c>
      <c r="E32" s="182">
        <f t="shared" si="7"/>
        <v>1075.920404182586</v>
      </c>
      <c r="F32" s="182">
        <f t="shared" si="7"/>
        <v>479.14450834506334</v>
      </c>
      <c r="G32" s="182">
        <f t="shared" si="7"/>
        <v>1252.2988457671427</v>
      </c>
      <c r="H32" s="182">
        <f t="shared" si="7"/>
        <v>996.21293183189221</v>
      </c>
      <c r="I32" s="182">
        <f t="shared" si="7"/>
        <v>508.40387894631004</v>
      </c>
      <c r="J32" s="182">
        <f t="shared" si="7"/>
        <v>853.03205710838529</v>
      </c>
      <c r="K32" s="182">
        <f t="shared" si="7"/>
        <v>11902.304015684696</v>
      </c>
    </row>
    <row r="33" spans="1:11" x14ac:dyDescent="0.2">
      <c r="A33" s="182" t="s">
        <v>80</v>
      </c>
      <c r="B33" s="220">
        <f t="shared" si="6"/>
        <v>1854</v>
      </c>
      <c r="C33" s="183">
        <f t="shared" si="7"/>
        <v>5996.5529773462777</v>
      </c>
      <c r="D33" s="183">
        <f t="shared" si="7"/>
        <v>287.35677454153182</v>
      </c>
      <c r="E33" s="183">
        <f t="shared" si="7"/>
        <v>1189.790426105717</v>
      </c>
      <c r="F33" s="183">
        <f t="shared" si="7"/>
        <v>125.28025889967637</v>
      </c>
      <c r="G33" s="183">
        <f t="shared" si="7"/>
        <v>1336.7396655879184</v>
      </c>
      <c r="H33" s="183">
        <f t="shared" si="7"/>
        <v>965.78025350593305</v>
      </c>
      <c r="I33" s="183">
        <f t="shared" si="7"/>
        <v>238.09245415318233</v>
      </c>
      <c r="J33" s="183">
        <f t="shared" si="7"/>
        <v>452.1028964401296</v>
      </c>
      <c r="K33" s="183">
        <f t="shared" si="7"/>
        <v>10591.695706580367</v>
      </c>
    </row>
    <row r="34" spans="1:11" x14ac:dyDescent="0.2">
      <c r="A34" s="182" t="s">
        <v>219</v>
      </c>
      <c r="B34" s="214">
        <f>SUM(B28:B33)</f>
        <v>89939</v>
      </c>
      <c r="C34" s="182">
        <f t="shared" si="7"/>
        <v>4969.7439601285314</v>
      </c>
      <c r="D34" s="182">
        <f t="shared" si="7"/>
        <v>911.01650596515412</v>
      </c>
      <c r="E34" s="182">
        <f t="shared" si="7"/>
        <v>463.38781196144055</v>
      </c>
      <c r="F34" s="182">
        <f t="shared" si="7"/>
        <v>496.42684975372202</v>
      </c>
      <c r="G34" s="182">
        <f t="shared" si="7"/>
        <v>894.32390453529626</v>
      </c>
      <c r="H34" s="182">
        <f t="shared" si="7"/>
        <v>484.54075784698517</v>
      </c>
      <c r="I34" s="182">
        <f t="shared" si="7"/>
        <v>496.66049844894866</v>
      </c>
      <c r="J34" s="182">
        <f t="shared" si="7"/>
        <v>468.79478435383982</v>
      </c>
      <c r="K34" s="182">
        <f t="shared" si="7"/>
        <v>9184.8950729939188</v>
      </c>
    </row>
    <row r="35" spans="1:11" x14ac:dyDescent="0.2">
      <c r="A35" s="182"/>
      <c r="B35" s="214"/>
      <c r="C35" s="182"/>
      <c r="D35" s="182"/>
      <c r="E35" s="182"/>
      <c r="F35" s="182"/>
      <c r="G35" s="182"/>
      <c r="H35" s="182"/>
      <c r="I35" s="182"/>
      <c r="J35" s="182"/>
      <c r="K35" s="182"/>
    </row>
    <row r="36" spans="1:11" x14ac:dyDescent="0.2">
      <c r="A36" s="182" t="s">
        <v>81</v>
      </c>
      <c r="B36" s="214">
        <f>B12</f>
        <v>21890</v>
      </c>
      <c r="C36" s="182">
        <f t="shared" ref="C36:K41" si="8">C12/$B36</f>
        <v>4738.5396893558691</v>
      </c>
      <c r="D36" s="182">
        <f t="shared" si="8"/>
        <v>874.19274326176333</v>
      </c>
      <c r="E36" s="182">
        <f t="shared" si="8"/>
        <v>379.88412928277751</v>
      </c>
      <c r="F36" s="182">
        <f t="shared" si="8"/>
        <v>534.96477112836908</v>
      </c>
      <c r="G36" s="182">
        <f t="shared" si="8"/>
        <v>1007.8878131566926</v>
      </c>
      <c r="H36" s="182">
        <f t="shared" si="8"/>
        <v>385.77038921882138</v>
      </c>
      <c r="I36" s="182">
        <f t="shared" si="8"/>
        <v>611.15510415714937</v>
      </c>
      <c r="J36" s="182">
        <f t="shared" si="8"/>
        <v>854.673012334399</v>
      </c>
      <c r="K36" s="182">
        <f t="shared" si="8"/>
        <v>9387.0676518958426</v>
      </c>
    </row>
    <row r="37" spans="1:11" x14ac:dyDescent="0.2">
      <c r="A37" s="182" t="s">
        <v>82</v>
      </c>
      <c r="B37" s="214">
        <f>B13</f>
        <v>6282</v>
      </c>
      <c r="C37" s="182">
        <f t="shared" si="8"/>
        <v>4305.8409248646922</v>
      </c>
      <c r="D37" s="182">
        <f t="shared" si="8"/>
        <v>810.30239891754218</v>
      </c>
      <c r="E37" s="182">
        <f t="shared" si="8"/>
        <v>444.08028016555232</v>
      </c>
      <c r="F37" s="182">
        <f t="shared" si="8"/>
        <v>629.93551735116205</v>
      </c>
      <c r="G37" s="182">
        <f t="shared" si="8"/>
        <v>1236.2995686087233</v>
      </c>
      <c r="H37" s="182">
        <f t="shared" si="8"/>
        <v>622.48458930276979</v>
      </c>
      <c r="I37" s="182">
        <f t="shared" si="8"/>
        <v>625.23877745940786</v>
      </c>
      <c r="J37" s="182">
        <f t="shared" si="8"/>
        <v>1163.0886612543777</v>
      </c>
      <c r="K37" s="182">
        <f t="shared" si="8"/>
        <v>9837.2707179242279</v>
      </c>
    </row>
    <row r="38" spans="1:11" x14ac:dyDescent="0.2">
      <c r="A38" s="182" t="s">
        <v>83</v>
      </c>
      <c r="B38" s="214">
        <f>B14</f>
        <v>5828</v>
      </c>
      <c r="C38" s="182">
        <f t="shared" si="8"/>
        <v>4773.1701166781058</v>
      </c>
      <c r="D38" s="182">
        <f t="shared" si="8"/>
        <v>882.71664035689776</v>
      </c>
      <c r="E38" s="182">
        <f t="shared" si="8"/>
        <v>650.20719114619067</v>
      </c>
      <c r="F38" s="182">
        <f t="shared" si="8"/>
        <v>693.71026424159243</v>
      </c>
      <c r="G38" s="182">
        <f t="shared" si="8"/>
        <v>1575.5539275909405</v>
      </c>
      <c r="H38" s="182">
        <f t="shared" si="8"/>
        <v>747.13417638984208</v>
      </c>
      <c r="I38" s="182">
        <f t="shared" si="8"/>
        <v>947.87917295813304</v>
      </c>
      <c r="J38" s="182">
        <f t="shared" si="8"/>
        <v>1078.0430301990393</v>
      </c>
      <c r="K38" s="182">
        <f t="shared" si="8"/>
        <v>11348.414519560742</v>
      </c>
    </row>
    <row r="39" spans="1:11" x14ac:dyDescent="0.2">
      <c r="A39" s="182" t="s">
        <v>84</v>
      </c>
      <c r="B39" s="214">
        <f>B15</f>
        <v>5163</v>
      </c>
      <c r="C39" s="182">
        <f t="shared" si="8"/>
        <v>5289.2375014526433</v>
      </c>
      <c r="D39" s="182">
        <f t="shared" si="8"/>
        <v>712.38095680805748</v>
      </c>
      <c r="E39" s="182">
        <f t="shared" si="8"/>
        <v>1081.8599263993804</v>
      </c>
      <c r="F39" s="182">
        <f t="shared" si="8"/>
        <v>655.71852992446247</v>
      </c>
      <c r="G39" s="182">
        <f t="shared" si="8"/>
        <v>1684.8322971140806</v>
      </c>
      <c r="H39" s="182">
        <f t="shared" si="8"/>
        <v>1302.2067170249854</v>
      </c>
      <c r="I39" s="182">
        <f t="shared" si="8"/>
        <v>1076.5757912066626</v>
      </c>
      <c r="J39" s="182">
        <f t="shared" si="8"/>
        <v>1248.065479372458</v>
      </c>
      <c r="K39" s="182">
        <f t="shared" si="8"/>
        <v>13050.877199302729</v>
      </c>
    </row>
    <row r="40" spans="1:11" x14ac:dyDescent="0.2">
      <c r="A40" s="182" t="s">
        <v>85</v>
      </c>
      <c r="B40" s="220">
        <f>B16</f>
        <v>1384</v>
      </c>
      <c r="C40" s="183">
        <f t="shared" si="8"/>
        <v>8238.2561560693648</v>
      </c>
      <c r="D40" s="183">
        <f t="shared" si="8"/>
        <v>678.47328757225432</v>
      </c>
      <c r="E40" s="183">
        <f t="shared" si="8"/>
        <v>2397.1950794797685</v>
      </c>
      <c r="F40" s="183">
        <f t="shared" si="8"/>
        <v>588.17628612716749</v>
      </c>
      <c r="G40" s="183">
        <f t="shared" si="8"/>
        <v>3010.9551589595371</v>
      </c>
      <c r="H40" s="183">
        <f t="shared" si="8"/>
        <v>1932.765852601156</v>
      </c>
      <c r="I40" s="183">
        <f t="shared" si="8"/>
        <v>1398.8400144508671</v>
      </c>
      <c r="J40" s="183">
        <f t="shared" si="8"/>
        <v>2167.3981069364163</v>
      </c>
      <c r="K40" s="183">
        <f t="shared" si="8"/>
        <v>20412.059942196534</v>
      </c>
    </row>
    <row r="41" spans="1:11" x14ac:dyDescent="0.2">
      <c r="A41" s="182" t="s">
        <v>220</v>
      </c>
      <c r="B41" s="214">
        <f>SUM(B36:B40)</f>
        <v>40547</v>
      </c>
      <c r="C41" s="182">
        <f t="shared" si="8"/>
        <v>4866.0577026660412</v>
      </c>
      <c r="D41" s="182">
        <f t="shared" si="8"/>
        <v>838.23467358867492</v>
      </c>
      <c r="E41" s="182">
        <f t="shared" si="8"/>
        <v>586.92737341850193</v>
      </c>
      <c r="F41" s="182">
        <f t="shared" si="8"/>
        <v>589.68821195156238</v>
      </c>
      <c r="G41" s="182">
        <f t="shared" si="8"/>
        <v>1279.43812119269</v>
      </c>
      <c r="H41" s="182">
        <f t="shared" si="8"/>
        <v>643.88243791155946</v>
      </c>
      <c r="I41" s="182">
        <f t="shared" si="8"/>
        <v>747.88592102991583</v>
      </c>
      <c r="J41" s="182">
        <f t="shared" si="8"/>
        <v>1029.4618847263666</v>
      </c>
      <c r="K41" s="182">
        <f t="shared" si="8"/>
        <v>10581.576326485314</v>
      </c>
    </row>
    <row r="42" spans="1:11" x14ac:dyDescent="0.2">
      <c r="A42" s="182"/>
      <c r="B42" s="214"/>
      <c r="C42" s="182"/>
      <c r="D42" s="182"/>
      <c r="E42" s="182"/>
      <c r="F42" s="182"/>
      <c r="G42" s="182"/>
      <c r="H42" s="182"/>
      <c r="I42" s="182"/>
      <c r="J42" s="182"/>
      <c r="K42" s="182"/>
    </row>
    <row r="43" spans="1:11" x14ac:dyDescent="0.2">
      <c r="A43" s="182" t="s">
        <v>86</v>
      </c>
      <c r="B43" s="214">
        <f>B19</f>
        <v>10013</v>
      </c>
      <c r="C43" s="182">
        <f t="shared" ref="C43:K45" si="9">C19/$B43</f>
        <v>4547.0279836212931</v>
      </c>
      <c r="D43" s="182">
        <f t="shared" si="9"/>
        <v>561.82459402776385</v>
      </c>
      <c r="E43" s="182">
        <f t="shared" si="9"/>
        <v>405.69850993708178</v>
      </c>
      <c r="F43" s="182">
        <f t="shared" si="9"/>
        <v>503.5482352941176</v>
      </c>
      <c r="G43" s="182">
        <f t="shared" si="9"/>
        <v>928.19560770997691</v>
      </c>
      <c r="H43" s="182">
        <f t="shared" si="9"/>
        <v>483.8663837011884</v>
      </c>
      <c r="I43" s="182">
        <f t="shared" si="9"/>
        <v>833.11935983221792</v>
      </c>
      <c r="J43" s="182">
        <f t="shared" si="9"/>
        <v>659.6481244382303</v>
      </c>
      <c r="K43" s="182">
        <f t="shared" si="9"/>
        <v>8922.9287985618685</v>
      </c>
    </row>
    <row r="44" spans="1:11" x14ac:dyDescent="0.2">
      <c r="A44" s="182" t="s">
        <v>87</v>
      </c>
      <c r="B44" s="220">
        <f>B20</f>
        <v>7466</v>
      </c>
      <c r="C44" s="183">
        <f t="shared" si="9"/>
        <v>6548.5930337530144</v>
      </c>
      <c r="D44" s="183">
        <f t="shared" si="9"/>
        <v>646.02286096972932</v>
      </c>
      <c r="E44" s="183">
        <f t="shared" si="9"/>
        <v>1203.4612416287166</v>
      </c>
      <c r="F44" s="183">
        <f t="shared" si="9"/>
        <v>480.39605411197437</v>
      </c>
      <c r="G44" s="183">
        <f t="shared" si="9"/>
        <v>1829.9338186445218</v>
      </c>
      <c r="H44" s="183">
        <f t="shared" si="9"/>
        <v>1072.0611585855881</v>
      </c>
      <c r="I44" s="183">
        <f t="shared" si="9"/>
        <v>1204.607475221002</v>
      </c>
      <c r="J44" s="183">
        <f t="shared" si="9"/>
        <v>1202.9462724350387</v>
      </c>
      <c r="K44" s="183">
        <f t="shared" si="9"/>
        <v>14188.021915349585</v>
      </c>
    </row>
    <row r="45" spans="1:11" x14ac:dyDescent="0.2">
      <c r="A45" s="182" t="s">
        <v>221</v>
      </c>
      <c r="B45" s="214">
        <f>SUM(B43:B44)</f>
        <v>17479</v>
      </c>
      <c r="C45" s="182">
        <f t="shared" si="9"/>
        <v>5401.9787625150184</v>
      </c>
      <c r="D45" s="182">
        <f t="shared" si="9"/>
        <v>597.78913782252982</v>
      </c>
      <c r="E45" s="182">
        <f t="shared" si="9"/>
        <v>746.45579323759932</v>
      </c>
      <c r="F45" s="182">
        <f t="shared" si="9"/>
        <v>493.65898621202587</v>
      </c>
      <c r="G45" s="182">
        <f t="shared" si="9"/>
        <v>1313.3650958292808</v>
      </c>
      <c r="H45" s="182">
        <f t="shared" si="9"/>
        <v>735.10857085645637</v>
      </c>
      <c r="I45" s="182">
        <f t="shared" si="9"/>
        <v>991.79721723210707</v>
      </c>
      <c r="J45" s="182">
        <f t="shared" si="9"/>
        <v>891.71311516677156</v>
      </c>
      <c r="K45" s="182">
        <f t="shared" si="9"/>
        <v>11171.866678871789</v>
      </c>
    </row>
    <row r="46" spans="1:11" x14ac:dyDescent="0.2">
      <c r="A46" s="182"/>
      <c r="B46" s="214"/>
      <c r="C46" s="182"/>
      <c r="D46" s="182"/>
      <c r="E46" s="182"/>
      <c r="F46" s="182"/>
      <c r="G46" s="182"/>
      <c r="H46" s="182"/>
      <c r="I46" s="182"/>
      <c r="J46" s="182"/>
      <c r="K46" s="182"/>
    </row>
    <row r="47" spans="1:11" ht="13.5" thickBot="1" x14ac:dyDescent="0.25">
      <c r="A47" s="182" t="s">
        <v>222</v>
      </c>
      <c r="B47" s="222">
        <f>B45+B41+B34</f>
        <v>147965</v>
      </c>
      <c r="C47" s="192">
        <f t="shared" ref="C47:K47" si="10">C23/$B47</f>
        <v>4992.3902983137905</v>
      </c>
      <c r="D47" s="192">
        <f t="shared" si="10"/>
        <v>854.07070036833045</v>
      </c>
      <c r="E47" s="192">
        <f t="shared" si="10"/>
        <v>530.68010299733044</v>
      </c>
      <c r="F47" s="192">
        <f t="shared" si="10"/>
        <v>521.65639029500221</v>
      </c>
      <c r="G47" s="192">
        <f t="shared" si="10"/>
        <v>1049.3581837596728</v>
      </c>
      <c r="H47" s="192">
        <f t="shared" si="10"/>
        <v>557.80471827797112</v>
      </c>
      <c r="I47" s="192">
        <f t="shared" si="10"/>
        <v>623.99420518365821</v>
      </c>
      <c r="J47" s="192">
        <f t="shared" si="10"/>
        <v>672.39400324401038</v>
      </c>
      <c r="K47" s="192">
        <f t="shared" si="10"/>
        <v>9802.3486024397662</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1092</v>
      </c>
      <c r="B50" s="182"/>
      <c r="C50" s="182"/>
      <c r="D50" s="182"/>
      <c r="E50" s="182"/>
      <c r="F50" s="182"/>
      <c r="G50" s="182"/>
      <c r="H50" s="182"/>
      <c r="I50" s="182"/>
      <c r="J50" s="182"/>
      <c r="K50" s="182"/>
    </row>
    <row r="51" spans="1:11" ht="38.25" customHeight="1" x14ac:dyDescent="0.2">
      <c r="A51" s="21" t="s">
        <v>245</v>
      </c>
      <c r="B51" s="21" t="str">
        <f>B3</f>
        <v>ANB11</v>
      </c>
      <c r="C51" s="21" t="str">
        <f t="shared" ref="C51:K51" si="11">C3</f>
        <v>11/Pupil Instruction</v>
      </c>
      <c r="D51" s="21" t="str">
        <f t="shared" si="11"/>
        <v>11/Pupil Student Services</v>
      </c>
      <c r="E51" s="21" t="str">
        <f t="shared" si="11"/>
        <v>11/Pupil General Admin</v>
      </c>
      <c r="F51" s="21" t="str">
        <f t="shared" si="11"/>
        <v>11/Pupil Bldg Admin</v>
      </c>
      <c r="G51" s="21" t="str">
        <f t="shared" si="11"/>
        <v>11/Pupil Bldg OM</v>
      </c>
      <c r="H51" s="21" t="str">
        <f t="shared" si="11"/>
        <v>11/Pupil Transport</v>
      </c>
      <c r="I51" s="21" t="str">
        <f t="shared" si="11"/>
        <v>11/Pupil Other</v>
      </c>
      <c r="J51" s="21" t="str">
        <f t="shared" si="11"/>
        <v>11/Pupil Bonds/ Facilities</v>
      </c>
      <c r="K51" s="21" t="str">
        <f t="shared" si="11"/>
        <v>11/Pupil Total</v>
      </c>
    </row>
    <row r="52" spans="1:11" x14ac:dyDescent="0.2">
      <c r="A52" s="182" t="s">
        <v>102</v>
      </c>
      <c r="B52" s="214">
        <f t="shared" ref="B52:B57" si="12">B4</f>
        <v>37842</v>
      </c>
      <c r="C52" s="191">
        <f t="shared" ref="C52:K58" si="13">C28/$K28</f>
        <v>0.57095478338560268</v>
      </c>
      <c r="D52" s="191">
        <f t="shared" si="13"/>
        <v>0.11900498647843956</v>
      </c>
      <c r="E52" s="191">
        <f t="shared" si="13"/>
        <v>3.3550406997406218E-2</v>
      </c>
      <c r="F52" s="191">
        <f t="shared" si="13"/>
        <v>6.1028518696359155E-2</v>
      </c>
      <c r="G52" s="191">
        <f t="shared" si="13"/>
        <v>8.8945963403012543E-2</v>
      </c>
      <c r="H52" s="191">
        <f t="shared" si="13"/>
        <v>4.7248427378938931E-2</v>
      </c>
      <c r="I52" s="191">
        <f t="shared" si="13"/>
        <v>4.2219439827752968E-2</v>
      </c>
      <c r="J52" s="191">
        <f t="shared" si="13"/>
        <v>3.7047473832487944E-2</v>
      </c>
      <c r="K52" s="191">
        <f t="shared" si="13"/>
        <v>1</v>
      </c>
    </row>
    <row r="53" spans="1:11" x14ac:dyDescent="0.2">
      <c r="A53" s="182" t="s">
        <v>76</v>
      </c>
      <c r="B53" s="214">
        <f t="shared" si="12"/>
        <v>18223</v>
      </c>
      <c r="C53" s="191">
        <f t="shared" si="13"/>
        <v>0.52064340369806272</v>
      </c>
      <c r="D53" s="191">
        <f t="shared" si="13"/>
        <v>0.11731595987797393</v>
      </c>
      <c r="E53" s="191">
        <f t="shared" si="13"/>
        <v>3.7722388609446281E-2</v>
      </c>
      <c r="F53" s="191">
        <f t="shared" si="13"/>
        <v>6.0216652055750136E-2</v>
      </c>
      <c r="G53" s="191">
        <f t="shared" si="13"/>
        <v>9.6717233709326264E-2</v>
      </c>
      <c r="H53" s="191">
        <f t="shared" si="13"/>
        <v>4.7704371937989272E-2</v>
      </c>
      <c r="I53" s="191">
        <f t="shared" si="13"/>
        <v>6.6926679702041969E-2</v>
      </c>
      <c r="J53" s="191">
        <f t="shared" si="13"/>
        <v>5.2753310409409469E-2</v>
      </c>
      <c r="K53" s="191">
        <f t="shared" si="13"/>
        <v>1</v>
      </c>
    </row>
    <row r="54" spans="1:11" x14ac:dyDescent="0.2">
      <c r="A54" s="182" t="s">
        <v>77</v>
      </c>
      <c r="B54" s="214">
        <f t="shared" si="12"/>
        <v>13498</v>
      </c>
      <c r="C54" s="191">
        <f t="shared" si="13"/>
        <v>0.52426481659602864</v>
      </c>
      <c r="D54" s="191">
        <f t="shared" si="13"/>
        <v>9.7849055419241535E-2</v>
      </c>
      <c r="E54" s="191">
        <f t="shared" si="13"/>
        <v>5.941520721766716E-2</v>
      </c>
      <c r="F54" s="191">
        <f t="shared" si="13"/>
        <v>5.3545885032432163E-2</v>
      </c>
      <c r="G54" s="191">
        <f t="shared" si="13"/>
        <v>0.10715647193910807</v>
      </c>
      <c r="H54" s="191">
        <f t="shared" si="13"/>
        <v>4.879481050999189E-2</v>
      </c>
      <c r="I54" s="191">
        <f t="shared" si="13"/>
        <v>5.1744329784986283E-2</v>
      </c>
      <c r="J54" s="191">
        <f t="shared" si="13"/>
        <v>5.7229423500544156E-2</v>
      </c>
      <c r="K54" s="191">
        <f t="shared" si="13"/>
        <v>1</v>
      </c>
    </row>
    <row r="55" spans="1:11" x14ac:dyDescent="0.2">
      <c r="A55" s="182" t="s">
        <v>78</v>
      </c>
      <c r="B55" s="214">
        <f t="shared" si="12"/>
        <v>13549</v>
      </c>
      <c r="C55" s="191">
        <f t="shared" si="13"/>
        <v>0.52127020694233395</v>
      </c>
      <c r="D55" s="191">
        <f t="shared" si="13"/>
        <v>6.1351644644862299E-2</v>
      </c>
      <c r="E55" s="191">
        <f t="shared" si="13"/>
        <v>7.1328295889824672E-2</v>
      </c>
      <c r="F55" s="191">
        <f t="shared" si="13"/>
        <v>4.2270153645719212E-2</v>
      </c>
      <c r="G55" s="191">
        <f t="shared" si="13"/>
        <v>0.10070704144121355</v>
      </c>
      <c r="H55" s="191">
        <f t="shared" si="13"/>
        <v>5.6810381270766326E-2</v>
      </c>
      <c r="I55" s="191">
        <f t="shared" si="13"/>
        <v>7.8107340288315355E-2</v>
      </c>
      <c r="J55" s="191">
        <f t="shared" si="13"/>
        <v>6.8154935876964598E-2</v>
      </c>
      <c r="K55" s="191">
        <f t="shared" si="13"/>
        <v>1</v>
      </c>
    </row>
    <row r="56" spans="1:11" x14ac:dyDescent="0.2">
      <c r="A56" s="182" t="s">
        <v>79</v>
      </c>
      <c r="B56" s="214">
        <f t="shared" si="12"/>
        <v>4973</v>
      </c>
      <c r="C56" s="191">
        <f t="shared" si="13"/>
        <v>0.51418491460766236</v>
      </c>
      <c r="D56" s="191">
        <f t="shared" si="13"/>
        <v>5.1864430176759714E-2</v>
      </c>
      <c r="E56" s="191">
        <f t="shared" si="13"/>
        <v>9.0395977347306256E-2</v>
      </c>
      <c r="F56" s="191">
        <f t="shared" si="13"/>
        <v>4.0256450155671808E-2</v>
      </c>
      <c r="G56" s="191">
        <f t="shared" si="13"/>
        <v>0.10521482597964898</v>
      </c>
      <c r="H56" s="191">
        <f t="shared" si="13"/>
        <v>8.3699167028425434E-2</v>
      </c>
      <c r="I56" s="191">
        <f t="shared" si="13"/>
        <v>4.2714744832289799E-2</v>
      </c>
      <c r="J56" s="191">
        <f t="shared" si="13"/>
        <v>7.1669489872235759E-2</v>
      </c>
      <c r="K56" s="191">
        <f t="shared" si="13"/>
        <v>1</v>
      </c>
    </row>
    <row r="57" spans="1:11" x14ac:dyDescent="0.2">
      <c r="A57" s="182" t="s">
        <v>80</v>
      </c>
      <c r="B57" s="220">
        <f t="shared" si="12"/>
        <v>1854</v>
      </c>
      <c r="C57" s="193">
        <f t="shared" si="13"/>
        <v>0.56615608524523253</v>
      </c>
      <c r="D57" s="193">
        <f t="shared" si="13"/>
        <v>2.7130384265382921E-2</v>
      </c>
      <c r="E57" s="193">
        <f t="shared" si="13"/>
        <v>0.11233238369626958</v>
      </c>
      <c r="F57" s="193">
        <f t="shared" si="13"/>
        <v>1.1828158811420795E-2</v>
      </c>
      <c r="G57" s="193">
        <f t="shared" si="13"/>
        <v>0.12620638872370871</v>
      </c>
      <c r="H57" s="193">
        <f t="shared" si="13"/>
        <v>9.1182779439737571E-2</v>
      </c>
      <c r="I57" s="193">
        <f t="shared" si="13"/>
        <v>2.2479162992311154E-2</v>
      </c>
      <c r="J57" s="193">
        <f t="shared" si="13"/>
        <v>4.2684656825936654E-2</v>
      </c>
      <c r="K57" s="193">
        <f t="shared" si="13"/>
        <v>1</v>
      </c>
    </row>
    <row r="58" spans="1:11" x14ac:dyDescent="0.2">
      <c r="A58" s="182" t="s">
        <v>219</v>
      </c>
      <c r="B58" s="214">
        <f>SUM(B52:B57)</f>
        <v>89939</v>
      </c>
      <c r="C58" s="191">
        <f t="shared" si="13"/>
        <v>0.54107792420415624</v>
      </c>
      <c r="D58" s="191">
        <f t="shared" si="13"/>
        <v>9.9186381414828523E-2</v>
      </c>
      <c r="E58" s="191">
        <f t="shared" si="13"/>
        <v>5.045107301485962E-2</v>
      </c>
      <c r="F58" s="191">
        <f t="shared" si="13"/>
        <v>5.4048178646411704E-2</v>
      </c>
      <c r="G58" s="191">
        <f t="shared" si="13"/>
        <v>9.736898434091544E-2</v>
      </c>
      <c r="H58" s="191">
        <f t="shared" si="13"/>
        <v>5.2754087444250329E-2</v>
      </c>
      <c r="I58" s="191">
        <f t="shared" si="13"/>
        <v>5.4073617009438156E-2</v>
      </c>
      <c r="J58" s="191">
        <f t="shared" si="13"/>
        <v>5.1039753925139937E-2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21890</v>
      </c>
      <c r="C60" s="191">
        <f t="shared" ref="C60:K65" si="14">C36/$K36</f>
        <v>0.50479445393139977</v>
      </c>
      <c r="D60" s="191">
        <f t="shared" si="14"/>
        <v>9.3127350912956139E-2</v>
      </c>
      <c r="E60" s="191">
        <f t="shared" si="14"/>
        <v>4.0468881590094312E-2</v>
      </c>
      <c r="F60" s="191">
        <f t="shared" si="14"/>
        <v>5.6989551046894377E-2</v>
      </c>
      <c r="G60" s="191">
        <f t="shared" si="14"/>
        <v>0.10736982522472141</v>
      </c>
      <c r="H60" s="191">
        <f t="shared" si="14"/>
        <v>4.1095942154087912E-2</v>
      </c>
      <c r="I60" s="191">
        <f t="shared" si="14"/>
        <v>6.5106072185781946E-2</v>
      </c>
      <c r="J60" s="191">
        <f t="shared" si="14"/>
        <v>9.1047922954063984E-2</v>
      </c>
      <c r="K60" s="191">
        <f t="shared" si="14"/>
        <v>1</v>
      </c>
    </row>
    <row r="61" spans="1:11" x14ac:dyDescent="0.2">
      <c r="A61" s="182" t="s">
        <v>82</v>
      </c>
      <c r="B61" s="214">
        <f>B37</f>
        <v>6282</v>
      </c>
      <c r="C61" s="191">
        <f t="shared" si="14"/>
        <v>0.43770686487453625</v>
      </c>
      <c r="D61" s="191">
        <f t="shared" si="14"/>
        <v>8.2370651591514285E-2</v>
      </c>
      <c r="E61" s="191">
        <f t="shared" si="14"/>
        <v>4.5142630806775046E-2</v>
      </c>
      <c r="F61" s="191">
        <f t="shared" si="14"/>
        <v>6.4035598431114976E-2</v>
      </c>
      <c r="G61" s="191">
        <f t="shared" si="14"/>
        <v>0.12567505805813547</v>
      </c>
      <c r="H61" s="191">
        <f t="shared" si="14"/>
        <v>6.3278180214005622E-2</v>
      </c>
      <c r="I61" s="191">
        <f t="shared" si="14"/>
        <v>6.3558155039911329E-2</v>
      </c>
      <c r="J61" s="191">
        <f t="shared" si="14"/>
        <v>0.11823286098400697</v>
      </c>
      <c r="K61" s="191">
        <f t="shared" si="14"/>
        <v>1</v>
      </c>
    </row>
    <row r="62" spans="1:11" x14ac:dyDescent="0.2">
      <c r="A62" s="182" t="s">
        <v>83</v>
      </c>
      <c r="B62" s="214">
        <f>B38</f>
        <v>5828</v>
      </c>
      <c r="C62" s="191">
        <f t="shared" si="14"/>
        <v>0.42060237652147897</v>
      </c>
      <c r="D62" s="191">
        <f t="shared" si="14"/>
        <v>7.7783256756738972E-2</v>
      </c>
      <c r="E62" s="191">
        <f t="shared" si="14"/>
        <v>5.7294980723999668E-2</v>
      </c>
      <c r="F62" s="191">
        <f t="shared" si="14"/>
        <v>6.1128386088283596E-2</v>
      </c>
      <c r="G62" s="191">
        <f t="shared" si="14"/>
        <v>0.13883471782558088</v>
      </c>
      <c r="H62" s="191">
        <f t="shared" si="14"/>
        <v>6.5835996306095546E-2</v>
      </c>
      <c r="I62" s="191">
        <f t="shared" si="14"/>
        <v>8.3525251155068148E-2</v>
      </c>
      <c r="J62" s="191">
        <f t="shared" si="14"/>
        <v>9.4995034622754215E-2</v>
      </c>
      <c r="K62" s="191">
        <f t="shared" si="14"/>
        <v>1</v>
      </c>
    </row>
    <row r="63" spans="1:11" x14ac:dyDescent="0.2">
      <c r="A63" s="182" t="s">
        <v>84</v>
      </c>
      <c r="B63" s="214">
        <f>B39</f>
        <v>5163</v>
      </c>
      <c r="C63" s="191">
        <f t="shared" si="14"/>
        <v>0.40527831353245986</v>
      </c>
      <c r="D63" s="191">
        <f t="shared" si="14"/>
        <v>5.4584909958858389E-2</v>
      </c>
      <c r="E63" s="191">
        <f t="shared" si="14"/>
        <v>8.2895571682888941E-2</v>
      </c>
      <c r="F63" s="191">
        <f t="shared" si="14"/>
        <v>5.0243253377596379E-2</v>
      </c>
      <c r="G63" s="191">
        <f t="shared" si="14"/>
        <v>0.12909724544830567</v>
      </c>
      <c r="H63" s="191">
        <f t="shared" si="14"/>
        <v>9.9779248332407769E-2</v>
      </c>
      <c r="I63" s="191">
        <f t="shared" si="14"/>
        <v>8.2490684324589378E-2</v>
      </c>
      <c r="J63" s="191">
        <f t="shared" si="14"/>
        <v>9.5630773342893646E-2</v>
      </c>
      <c r="K63" s="191">
        <f t="shared" si="14"/>
        <v>1</v>
      </c>
    </row>
    <row r="64" spans="1:11" x14ac:dyDescent="0.2">
      <c r="A64" s="182" t="s">
        <v>85</v>
      </c>
      <c r="B64" s="220">
        <f>B40</f>
        <v>1384</v>
      </c>
      <c r="C64" s="193">
        <f t="shared" si="14"/>
        <v>0.40359748988581745</v>
      </c>
      <c r="D64" s="193">
        <f t="shared" si="14"/>
        <v>3.3238844560204837E-2</v>
      </c>
      <c r="E64" s="193">
        <f t="shared" si="14"/>
        <v>0.11744013520772599</v>
      </c>
      <c r="F64" s="193">
        <f t="shared" si="14"/>
        <v>2.8815136139751805E-2</v>
      </c>
      <c r="G64" s="193">
        <f t="shared" si="14"/>
        <v>0.14750863790749427</v>
      </c>
      <c r="H64" s="193">
        <f t="shared" si="14"/>
        <v>9.4687447424435287E-2</v>
      </c>
      <c r="I64" s="193">
        <f t="shared" si="14"/>
        <v>6.8530075769527576E-2</v>
      </c>
      <c r="J64" s="193">
        <f t="shared" si="14"/>
        <v>0.10618223310504267</v>
      </c>
      <c r="K64" s="193">
        <f t="shared" si="14"/>
        <v>1</v>
      </c>
    </row>
    <row r="65" spans="1:11" x14ac:dyDescent="0.2">
      <c r="A65" s="182" t="s">
        <v>220</v>
      </c>
      <c r="B65" s="214">
        <f>SUM(B60:B64)</f>
        <v>40547</v>
      </c>
      <c r="C65" s="191">
        <f t="shared" si="14"/>
        <v>0.45986132429876914</v>
      </c>
      <c r="D65" s="191">
        <f t="shared" si="14"/>
        <v>7.9216427470319609E-2</v>
      </c>
      <c r="E65" s="191">
        <f t="shared" si="14"/>
        <v>5.5466912991918166E-2</v>
      </c>
      <c r="F65" s="191">
        <f t="shared" si="14"/>
        <v>5.5727822940292319E-2</v>
      </c>
      <c r="G65" s="191">
        <f t="shared" si="14"/>
        <v>0.12091186433067645</v>
      </c>
      <c r="H65" s="191">
        <f t="shared" si="14"/>
        <v>6.084938746790914E-2</v>
      </c>
      <c r="I65" s="191">
        <f t="shared" si="14"/>
        <v>7.0678119965735503E-2</v>
      </c>
      <c r="J65" s="191">
        <f t="shared" si="14"/>
        <v>9.7288140534379522E-2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10013</v>
      </c>
      <c r="C67" s="191">
        <f t="shared" ref="C67:K69" si="15">C43/$K43</f>
        <v>0.50958918156493072</v>
      </c>
      <c r="D67" s="191">
        <f t="shared" si="15"/>
        <v>6.2964146269811602E-2</v>
      </c>
      <c r="E67" s="191">
        <f t="shared" si="15"/>
        <v>4.5466967079516453E-2</v>
      </c>
      <c r="F67" s="191">
        <f t="shared" si="15"/>
        <v>5.6433066615445344E-2</v>
      </c>
      <c r="G67" s="191">
        <f t="shared" si="15"/>
        <v>0.10402364836303261</v>
      </c>
      <c r="H67" s="191">
        <f t="shared" si="15"/>
        <v>5.4227305251967763E-2</v>
      </c>
      <c r="I67" s="191">
        <f t="shared" si="15"/>
        <v>9.3368374738851886E-2</v>
      </c>
      <c r="J67" s="191">
        <f t="shared" si="15"/>
        <v>7.3927310116443767E-2</v>
      </c>
      <c r="K67" s="191">
        <f t="shared" si="15"/>
        <v>1</v>
      </c>
    </row>
    <row r="68" spans="1:11" x14ac:dyDescent="0.2">
      <c r="A68" s="182" t="s">
        <v>87</v>
      </c>
      <c r="B68" s="220">
        <f>B44</f>
        <v>7466</v>
      </c>
      <c r="C68" s="193">
        <f t="shared" si="15"/>
        <v>0.46155786006140098</v>
      </c>
      <c r="D68" s="193">
        <f t="shared" si="15"/>
        <v>4.5532975972557316E-2</v>
      </c>
      <c r="E68" s="193">
        <f t="shared" si="15"/>
        <v>8.482234160681193E-2</v>
      </c>
      <c r="F68" s="193">
        <f t="shared" si="15"/>
        <v>3.3859269246846076E-2</v>
      </c>
      <c r="G68" s="193">
        <f t="shared" si="15"/>
        <v>0.12897737468707829</v>
      </c>
      <c r="H68" s="193">
        <f t="shared" si="15"/>
        <v>7.5561002441486086E-2</v>
      </c>
      <c r="I68" s="193">
        <f t="shared" si="15"/>
        <v>8.4903130429885662E-2</v>
      </c>
      <c r="J68" s="193">
        <f t="shared" si="15"/>
        <v>8.4786045553933639E-2</v>
      </c>
      <c r="K68" s="193">
        <f t="shared" si="15"/>
        <v>1</v>
      </c>
    </row>
    <row r="69" spans="1:11" x14ac:dyDescent="0.2">
      <c r="A69" s="182" t="s">
        <v>221</v>
      </c>
      <c r="B69" s="214">
        <f>SUM(B67:B68)</f>
        <v>17479</v>
      </c>
      <c r="C69" s="191">
        <f t="shared" si="15"/>
        <v>0.48353412350786723</v>
      </c>
      <c r="D69" s="191">
        <f t="shared" si="15"/>
        <v>5.3508438205145017E-2</v>
      </c>
      <c r="E69" s="191">
        <f t="shared" si="15"/>
        <v>6.6815673216839844E-2</v>
      </c>
      <c r="F69" s="191">
        <f t="shared" si="15"/>
        <v>4.4187690419330967E-2</v>
      </c>
      <c r="G69" s="191">
        <f t="shared" si="15"/>
        <v>0.11756004019571001</v>
      </c>
      <c r="H69" s="191">
        <f t="shared" si="15"/>
        <v>6.5799977030400136E-2</v>
      </c>
      <c r="I69" s="191">
        <f t="shared" si="15"/>
        <v>8.8776320532699501E-2</v>
      </c>
      <c r="J69" s="191">
        <f t="shared" si="15"/>
        <v>7.9817736892007274E-2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147965</v>
      </c>
      <c r="C71" s="195">
        <f t="shared" ref="C71:K71" si="16">C47/$K47</f>
        <v>0.50930552470570212</v>
      </c>
      <c r="D71" s="195">
        <f t="shared" si="16"/>
        <v>8.7129190667199444E-2</v>
      </c>
      <c r="E71" s="195">
        <f t="shared" si="16"/>
        <v>5.4138056553635142E-2</v>
      </c>
      <c r="F71" s="195">
        <f t="shared" si="16"/>
        <v>5.3217490159976968E-2</v>
      </c>
      <c r="G71" s="195">
        <f t="shared" si="16"/>
        <v>0.10705171039300639</v>
      </c>
      <c r="H71" s="195">
        <f t="shared" si="16"/>
        <v>5.6905211281624457E-2</v>
      </c>
      <c r="I71" s="195">
        <f t="shared" si="16"/>
        <v>6.3657622320057922E-2</v>
      </c>
      <c r="J71" s="195">
        <f t="shared" si="16"/>
        <v>6.8595193918797592E-2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5"/>
  <dimension ref="A1:Y75"/>
  <sheetViews>
    <sheetView zoomScaleNormal="100" workbookViewId="0"/>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4" max="14" width="4" bestFit="1" customWidth="1"/>
    <col min="15" max="15" width="6.85546875" bestFit="1" customWidth="1"/>
    <col min="16" max="16" width="10.7109375" bestFit="1" customWidth="1"/>
    <col min="17" max="23" width="9.85546875" bestFit="1" customWidth="1"/>
  </cols>
  <sheetData>
    <row r="1" spans="1:25" x14ac:dyDescent="0.2">
      <c r="A1" s="36" t="s">
        <v>247</v>
      </c>
      <c r="B1" s="22"/>
      <c r="C1" s="22"/>
      <c r="D1" s="22"/>
      <c r="E1" s="22"/>
      <c r="F1" s="22"/>
      <c r="G1" s="22"/>
      <c r="H1" s="22"/>
      <c r="I1" s="22"/>
      <c r="J1" s="22"/>
      <c r="K1" s="22"/>
    </row>
    <row r="2" spans="1:25" x14ac:dyDescent="0.2">
      <c r="A2" s="22" t="s">
        <v>1083</v>
      </c>
      <c r="B2" s="22"/>
      <c r="C2" s="22"/>
      <c r="D2" s="22"/>
      <c r="E2" s="22"/>
      <c r="F2" s="22"/>
      <c r="G2" s="22"/>
      <c r="H2" s="22"/>
      <c r="I2" s="22"/>
      <c r="J2" s="22"/>
      <c r="K2" s="22"/>
    </row>
    <row r="3" spans="1:25" ht="33.75" x14ac:dyDescent="0.2">
      <c r="A3" s="21" t="s">
        <v>245</v>
      </c>
      <c r="B3" s="21" t="s">
        <v>1074</v>
      </c>
      <c r="C3" s="12" t="s">
        <v>1084</v>
      </c>
      <c r="D3" s="12" t="s">
        <v>1085</v>
      </c>
      <c r="E3" s="12" t="s">
        <v>1086</v>
      </c>
      <c r="F3" s="12" t="s">
        <v>1087</v>
      </c>
      <c r="G3" s="12" t="s">
        <v>1088</v>
      </c>
      <c r="H3" s="12" t="s">
        <v>1089</v>
      </c>
      <c r="I3" s="12" t="s">
        <v>1079</v>
      </c>
      <c r="J3" s="12" t="s">
        <v>1090</v>
      </c>
      <c r="K3" s="12" t="s">
        <v>1091</v>
      </c>
    </row>
    <row r="4" spans="1:25" ht="15" x14ac:dyDescent="0.25">
      <c r="A4" s="33" t="s">
        <v>102</v>
      </c>
      <c r="B4" s="214">
        <v>37842</v>
      </c>
      <c r="C4" s="214">
        <v>192815573.95000002</v>
      </c>
      <c r="D4" s="214">
        <v>40046987.060000002</v>
      </c>
      <c r="E4" s="214">
        <v>10542474.819999998</v>
      </c>
      <c r="F4" s="214">
        <v>19231721.370000005</v>
      </c>
      <c r="G4" s="214">
        <v>27949305.640000001</v>
      </c>
      <c r="H4" s="214">
        <v>14846775.360000001</v>
      </c>
      <c r="I4" s="214">
        <v>13266527.029999999</v>
      </c>
      <c r="J4" s="214">
        <v>11641350.879999999</v>
      </c>
      <c r="K4" s="214">
        <f t="shared" ref="K4:K9" si="0">SUM(C4:J4)</f>
        <v>330340716.11000001</v>
      </c>
      <c r="N4" s="214"/>
      <c r="O4" s="214"/>
      <c r="P4" s="294"/>
      <c r="Q4" s="293"/>
      <c r="R4" s="293"/>
      <c r="S4" s="293"/>
      <c r="T4" s="293"/>
      <c r="U4" s="293"/>
      <c r="V4" s="293"/>
      <c r="W4" s="293"/>
      <c r="X4" s="293"/>
      <c r="Y4" s="293"/>
    </row>
    <row r="5" spans="1:25" ht="15" x14ac:dyDescent="0.25">
      <c r="A5" s="33" t="s">
        <v>76</v>
      </c>
      <c r="B5" s="214">
        <v>18223</v>
      </c>
      <c r="C5" s="214">
        <v>95982510.189999998</v>
      </c>
      <c r="D5" s="214">
        <v>20255671.510000002</v>
      </c>
      <c r="E5" s="214">
        <v>6470802.2200000007</v>
      </c>
      <c r="F5" s="214">
        <v>10310231.140000001</v>
      </c>
      <c r="G5" s="214">
        <v>16508496.860000001</v>
      </c>
      <c r="H5" s="214">
        <v>8143265.7700000005</v>
      </c>
      <c r="I5" s="214">
        <v>11436243.869999999</v>
      </c>
      <c r="J5" s="214">
        <v>9004371.0499999989</v>
      </c>
      <c r="K5" s="214">
        <f t="shared" si="0"/>
        <v>178111592.61000004</v>
      </c>
      <c r="N5" s="214"/>
      <c r="O5" s="214"/>
      <c r="P5" s="294"/>
      <c r="Q5" s="293"/>
      <c r="R5" s="293"/>
      <c r="S5" s="293"/>
      <c r="T5" s="293"/>
      <c r="U5" s="293"/>
      <c r="V5" s="293"/>
      <c r="W5" s="293"/>
      <c r="X5" s="293"/>
      <c r="Y5" s="293"/>
    </row>
    <row r="6" spans="1:25" ht="15" x14ac:dyDescent="0.25">
      <c r="A6" s="33" t="s">
        <v>77</v>
      </c>
      <c r="B6" s="214">
        <v>13498</v>
      </c>
      <c r="C6" s="214">
        <v>74532433.780000001</v>
      </c>
      <c r="D6" s="214">
        <v>13067785.200000001</v>
      </c>
      <c r="E6" s="214">
        <v>7858181.25</v>
      </c>
      <c r="F6" s="214">
        <v>7191295.7000000011</v>
      </c>
      <c r="G6" s="214">
        <v>14177552.949999999</v>
      </c>
      <c r="H6" s="214">
        <v>6449948.2500000009</v>
      </c>
      <c r="I6" s="214">
        <v>6832636.8200000003</v>
      </c>
      <c r="J6" s="214">
        <v>7603145.2699999986</v>
      </c>
      <c r="K6" s="214">
        <f t="shared" si="0"/>
        <v>137712979.22000003</v>
      </c>
      <c r="N6" s="214"/>
      <c r="O6" s="214"/>
      <c r="P6" s="294"/>
      <c r="Q6" s="293"/>
      <c r="R6" s="293"/>
      <c r="S6" s="293"/>
      <c r="T6" s="293"/>
      <c r="U6" s="293"/>
      <c r="V6" s="293"/>
      <c r="W6" s="293"/>
      <c r="X6" s="293"/>
      <c r="Y6" s="293"/>
    </row>
    <row r="7" spans="1:25" ht="15" x14ac:dyDescent="0.25">
      <c r="A7" s="33" t="s">
        <v>78</v>
      </c>
      <c r="B7" s="214">
        <v>13549</v>
      </c>
      <c r="C7" s="214">
        <v>73848237.690000013</v>
      </c>
      <c r="D7" s="214">
        <v>8040157.9899999984</v>
      </c>
      <c r="E7" s="214">
        <v>9302491.9699999951</v>
      </c>
      <c r="F7" s="214">
        <v>5535300.8799999999</v>
      </c>
      <c r="G7" s="214">
        <v>13121203.699999997</v>
      </c>
      <c r="H7" s="214">
        <v>7401871.5500000007</v>
      </c>
      <c r="I7" s="214">
        <v>10176669.949999997</v>
      </c>
      <c r="J7" s="214">
        <v>8879962.9499999974</v>
      </c>
      <c r="K7" s="214">
        <f t="shared" si="0"/>
        <v>136305896.68000001</v>
      </c>
      <c r="N7" s="214"/>
      <c r="O7" s="214"/>
      <c r="P7" s="294"/>
      <c r="Q7" s="293"/>
      <c r="R7" s="293"/>
      <c r="S7" s="293"/>
      <c r="T7" s="293"/>
      <c r="U7" s="293"/>
      <c r="V7" s="293"/>
      <c r="W7" s="293"/>
      <c r="X7" s="293"/>
      <c r="Y7" s="293"/>
    </row>
    <row r="8" spans="1:25" ht="15" x14ac:dyDescent="0.25">
      <c r="A8" s="33" t="s">
        <v>79</v>
      </c>
      <c r="B8" s="214">
        <v>4973</v>
      </c>
      <c r="C8" s="214">
        <v>32759511.280000001</v>
      </c>
      <c r="D8" s="214">
        <v>3093377.4599999995</v>
      </c>
      <c r="E8" s="214">
        <v>5375613.2000000002</v>
      </c>
      <c r="F8" s="214">
        <v>2395742.9699999997</v>
      </c>
      <c r="G8" s="214">
        <v>6266092.0699999994</v>
      </c>
      <c r="H8" s="214">
        <v>4954166.91</v>
      </c>
      <c r="I8" s="214">
        <v>2528292.4899999998</v>
      </c>
      <c r="J8" s="214">
        <v>4248280.8499999996</v>
      </c>
      <c r="K8" s="214">
        <f t="shared" si="0"/>
        <v>61621077.230000004</v>
      </c>
      <c r="N8" s="214"/>
      <c r="O8" s="214"/>
      <c r="P8" s="294"/>
      <c r="Q8" s="293"/>
      <c r="R8" s="293"/>
      <c r="S8" s="293"/>
      <c r="T8" s="293"/>
      <c r="U8" s="293"/>
      <c r="V8" s="293"/>
      <c r="W8" s="293"/>
      <c r="X8" s="293"/>
      <c r="Y8" s="293"/>
    </row>
    <row r="9" spans="1:25" ht="15" x14ac:dyDescent="0.25">
      <c r="A9" s="33" t="s">
        <v>80</v>
      </c>
      <c r="B9" s="233">
        <v>1854</v>
      </c>
      <c r="C9" s="234">
        <v>12042267.459999999</v>
      </c>
      <c r="D9" s="220">
        <v>540991.13</v>
      </c>
      <c r="E9" s="220">
        <v>2215099.439999999</v>
      </c>
      <c r="F9" s="220">
        <v>237490.32</v>
      </c>
      <c r="G9" s="220">
        <v>2479054.3100000005</v>
      </c>
      <c r="H9" s="220">
        <v>1790556.5899999999</v>
      </c>
      <c r="I9" s="220">
        <v>441423.41000000003</v>
      </c>
      <c r="J9" s="220">
        <v>838631.17000000016</v>
      </c>
      <c r="K9" s="220">
        <f t="shared" si="0"/>
        <v>20585513.830000002</v>
      </c>
      <c r="N9" s="214"/>
      <c r="O9" s="214"/>
      <c r="P9" s="294"/>
      <c r="Q9" s="293"/>
      <c r="R9" s="293"/>
      <c r="S9" s="293"/>
      <c r="T9" s="293"/>
      <c r="U9" s="293"/>
      <c r="V9" s="293"/>
      <c r="W9" s="293"/>
      <c r="X9" s="293"/>
      <c r="Y9" s="293"/>
    </row>
    <row r="10" spans="1:25" x14ac:dyDescent="0.2">
      <c r="A10" s="182" t="s">
        <v>103</v>
      </c>
      <c r="B10" s="214">
        <f t="shared" ref="B10:K10" si="1">SUM(B4:B9)</f>
        <v>89939</v>
      </c>
      <c r="C10" s="214">
        <f t="shared" si="1"/>
        <v>481980534.34999996</v>
      </c>
      <c r="D10" s="214">
        <f t="shared" si="1"/>
        <v>85044970.349999994</v>
      </c>
      <c r="E10" s="214">
        <f t="shared" si="1"/>
        <v>41764662.899999991</v>
      </c>
      <c r="F10" s="214">
        <f t="shared" si="1"/>
        <v>44901782.38000001</v>
      </c>
      <c r="G10" s="214">
        <f t="shared" si="1"/>
        <v>80501705.530000001</v>
      </c>
      <c r="H10" s="214">
        <f t="shared" si="1"/>
        <v>43586584.430000007</v>
      </c>
      <c r="I10" s="214">
        <f t="shared" si="1"/>
        <v>44681793.569999993</v>
      </c>
      <c r="J10" s="214">
        <f t="shared" si="1"/>
        <v>42215742.170000002</v>
      </c>
      <c r="K10" s="214">
        <f t="shared" si="1"/>
        <v>864677775.68000019</v>
      </c>
      <c r="N10" s="214"/>
      <c r="O10" s="214"/>
    </row>
    <row r="11" spans="1:25" x14ac:dyDescent="0.2">
      <c r="A11" s="33"/>
      <c r="B11" s="214"/>
      <c r="C11" s="214"/>
      <c r="D11" s="214"/>
      <c r="E11" s="214"/>
      <c r="F11" s="214"/>
      <c r="G11" s="214"/>
      <c r="H11" s="214"/>
      <c r="I11" s="214"/>
      <c r="J11" s="214"/>
      <c r="K11" s="182"/>
      <c r="N11" s="214"/>
      <c r="O11" s="214"/>
    </row>
    <row r="12" spans="1:25" ht="15" x14ac:dyDescent="0.25">
      <c r="A12" s="33" t="s">
        <v>81</v>
      </c>
      <c r="B12" s="214">
        <v>21890</v>
      </c>
      <c r="C12" s="214">
        <v>112994039.64999998</v>
      </c>
      <c r="D12" s="214">
        <v>20778801.789999999</v>
      </c>
      <c r="E12" s="214">
        <v>8315663.5899999999</v>
      </c>
      <c r="F12" s="214">
        <v>11881350.549999997</v>
      </c>
      <c r="G12" s="214">
        <v>22062664.23</v>
      </c>
      <c r="H12" s="214">
        <v>8444513.8200000003</v>
      </c>
      <c r="I12" s="214">
        <v>13378185.229999999</v>
      </c>
      <c r="J12" s="214">
        <v>18708792.239999995</v>
      </c>
      <c r="K12" s="214">
        <f>SUM(C12:J12)</f>
        <v>216564011.09999996</v>
      </c>
      <c r="N12" s="214"/>
      <c r="O12" s="214"/>
      <c r="P12" s="294"/>
      <c r="Q12" s="293"/>
      <c r="R12" s="293"/>
      <c r="S12" s="293"/>
      <c r="T12" s="293"/>
      <c r="U12" s="293"/>
      <c r="V12" s="293"/>
      <c r="W12" s="293"/>
      <c r="X12" s="293"/>
      <c r="Y12" s="293"/>
    </row>
    <row r="13" spans="1:25" ht="15" x14ac:dyDescent="0.25">
      <c r="A13" s="33" t="s">
        <v>82</v>
      </c>
      <c r="B13" s="214">
        <v>6282</v>
      </c>
      <c r="C13" s="214">
        <v>29986435.639999997</v>
      </c>
      <c r="D13" s="214">
        <v>5183345.5600000005</v>
      </c>
      <c r="E13" s="214">
        <v>2813159.06</v>
      </c>
      <c r="F13" s="214">
        <v>4007702.4</v>
      </c>
      <c r="G13" s="214">
        <v>7771420.6200000001</v>
      </c>
      <c r="H13" s="214">
        <v>3910467.67</v>
      </c>
      <c r="I13" s="214">
        <v>4042180.76</v>
      </c>
      <c r="J13" s="214">
        <v>7306522.9700000007</v>
      </c>
      <c r="K13" s="214">
        <f>SUM(C13:J13)</f>
        <v>65021234.679999992</v>
      </c>
      <c r="N13" s="214"/>
      <c r="O13" s="214"/>
      <c r="P13" s="294"/>
      <c r="Q13" s="293"/>
      <c r="R13" s="293"/>
      <c r="S13" s="293"/>
      <c r="T13" s="293"/>
      <c r="U13" s="293"/>
      <c r="V13" s="293"/>
      <c r="W13" s="293"/>
      <c r="X13" s="293"/>
      <c r="Y13" s="293"/>
    </row>
    <row r="14" spans="1:25" ht="15" x14ac:dyDescent="0.25">
      <c r="A14" s="33" t="s">
        <v>83</v>
      </c>
      <c r="B14" s="214">
        <v>5828</v>
      </c>
      <c r="C14" s="214">
        <v>30969096.709999997</v>
      </c>
      <c r="D14" s="214">
        <v>5172110.6500000004</v>
      </c>
      <c r="E14" s="214">
        <v>3806809.0099999993</v>
      </c>
      <c r="F14" s="214">
        <v>4042943.4200000004</v>
      </c>
      <c r="G14" s="214">
        <v>9182328.290000001</v>
      </c>
      <c r="H14" s="214">
        <v>4354297.9799999995</v>
      </c>
      <c r="I14" s="214">
        <v>5543295.3999999994</v>
      </c>
      <c r="J14" s="214">
        <v>6282834.7800000012</v>
      </c>
      <c r="K14" s="214">
        <f>SUM(C14:J14)</f>
        <v>69353716.239999995</v>
      </c>
      <c r="N14" s="214"/>
      <c r="O14" s="214"/>
      <c r="P14" s="294"/>
      <c r="Q14" s="293"/>
      <c r="R14" s="293"/>
      <c r="S14" s="293"/>
      <c r="T14" s="293"/>
      <c r="U14" s="293"/>
      <c r="V14" s="293"/>
      <c r="W14" s="293"/>
      <c r="X14" s="293"/>
      <c r="Y14" s="293"/>
    </row>
    <row r="15" spans="1:25" ht="15" x14ac:dyDescent="0.25">
      <c r="A15" s="33" t="s">
        <v>84</v>
      </c>
      <c r="B15" s="214">
        <v>5163</v>
      </c>
      <c r="C15" s="214">
        <v>30530259.950000003</v>
      </c>
      <c r="D15" s="214">
        <v>3712462.3800000008</v>
      </c>
      <c r="E15" s="214">
        <v>5640191.5700000003</v>
      </c>
      <c r="F15" s="214">
        <v>3425306.67</v>
      </c>
      <c r="G15" s="214">
        <v>8698789.1499999985</v>
      </c>
      <c r="H15" s="214">
        <v>6723293.2800000003</v>
      </c>
      <c r="I15" s="214">
        <v>5558360.8099999987</v>
      </c>
      <c r="J15" s="214">
        <v>6443762.0700000003</v>
      </c>
      <c r="K15" s="214">
        <f>SUM(C15:J15)</f>
        <v>70732425.879999995</v>
      </c>
      <c r="N15" s="214"/>
      <c r="O15" s="214"/>
      <c r="P15" s="294"/>
      <c r="Q15" s="293"/>
      <c r="R15" s="293"/>
      <c r="S15" s="293"/>
      <c r="T15" s="293"/>
      <c r="U15" s="293"/>
      <c r="V15" s="293"/>
      <c r="W15" s="293"/>
      <c r="X15" s="293"/>
      <c r="Y15" s="293"/>
    </row>
    <row r="16" spans="1:25" ht="15" x14ac:dyDescent="0.25">
      <c r="A16" s="33" t="s">
        <v>85</v>
      </c>
      <c r="B16" s="233">
        <v>1384</v>
      </c>
      <c r="C16" s="234">
        <v>12599453.51</v>
      </c>
      <c r="D16" s="220">
        <v>953609.27999999991</v>
      </c>
      <c r="E16" s="220">
        <v>3360343.26</v>
      </c>
      <c r="F16" s="220">
        <v>824821.41</v>
      </c>
      <c r="G16" s="220">
        <v>4220545.209999999</v>
      </c>
      <c r="H16" s="220">
        <v>2674947.94</v>
      </c>
      <c r="I16" s="220">
        <v>1935994.5800000003</v>
      </c>
      <c r="J16" s="220">
        <v>3006894.84</v>
      </c>
      <c r="K16" s="220">
        <f>SUM(C16:J16)</f>
        <v>29576610.029999997</v>
      </c>
      <c r="N16" s="214"/>
      <c r="O16" s="214"/>
      <c r="P16" s="294"/>
      <c r="Q16" s="293"/>
      <c r="R16" s="293"/>
      <c r="S16" s="293"/>
      <c r="T16" s="293"/>
      <c r="U16" s="293"/>
      <c r="V16" s="293"/>
      <c r="W16" s="293"/>
      <c r="X16" s="293"/>
      <c r="Y16" s="293"/>
    </row>
    <row r="17" spans="1:25" x14ac:dyDescent="0.2">
      <c r="A17" s="182" t="s">
        <v>104</v>
      </c>
      <c r="B17" s="214">
        <f t="shared" ref="B17:K17" si="2">SUM(B12:B16)</f>
        <v>40547</v>
      </c>
      <c r="C17" s="214">
        <f t="shared" si="2"/>
        <v>217079285.45999998</v>
      </c>
      <c r="D17" s="214">
        <f t="shared" si="2"/>
        <v>35800329.660000004</v>
      </c>
      <c r="E17" s="214">
        <f t="shared" si="2"/>
        <v>23936166.490000002</v>
      </c>
      <c r="F17" s="214">
        <f t="shared" si="2"/>
        <v>24182124.449999999</v>
      </c>
      <c r="G17" s="214">
        <f t="shared" si="2"/>
        <v>51935747.5</v>
      </c>
      <c r="H17" s="214">
        <f t="shared" si="2"/>
        <v>26107520.690000001</v>
      </c>
      <c r="I17" s="214">
        <f t="shared" si="2"/>
        <v>30458016.779999997</v>
      </c>
      <c r="J17" s="214">
        <f t="shared" si="2"/>
        <v>41748806.899999991</v>
      </c>
      <c r="K17" s="214">
        <f t="shared" si="2"/>
        <v>451247997.92999995</v>
      </c>
    </row>
    <row r="18" spans="1:25" x14ac:dyDescent="0.2">
      <c r="A18" s="33"/>
      <c r="B18" s="214"/>
      <c r="C18" s="214"/>
      <c r="D18" s="214"/>
      <c r="E18" s="214"/>
      <c r="F18" s="214"/>
      <c r="G18" s="214"/>
      <c r="H18" s="214"/>
      <c r="I18" s="214"/>
      <c r="J18" s="214"/>
      <c r="K18" s="182"/>
    </row>
    <row r="19" spans="1:25" ht="15" x14ac:dyDescent="0.25">
      <c r="A19" s="33" t="s">
        <v>86</v>
      </c>
      <c r="B19" s="214">
        <v>10013</v>
      </c>
      <c r="C19" s="214">
        <v>49790645.270000003</v>
      </c>
      <c r="D19" s="214">
        <v>5647595.9999999991</v>
      </c>
      <c r="E19" s="214">
        <v>4062259.1799999997</v>
      </c>
      <c r="F19" s="214">
        <v>5357897.2700000005</v>
      </c>
      <c r="G19" s="214">
        <v>9294022.620000001</v>
      </c>
      <c r="H19" s="214">
        <v>4844954.0999999996</v>
      </c>
      <c r="I19" s="214">
        <v>8342024.1499999985</v>
      </c>
      <c r="J19" s="214">
        <v>6605056.6699999999</v>
      </c>
      <c r="K19" s="214">
        <f>SUM(C19:J19)</f>
        <v>93944455.260000005</v>
      </c>
      <c r="P19" s="294"/>
      <c r="Q19" s="293"/>
      <c r="R19" s="293"/>
      <c r="S19" s="293"/>
      <c r="T19" s="293"/>
      <c r="U19" s="293"/>
      <c r="V19" s="293"/>
      <c r="W19" s="293"/>
      <c r="X19" s="293"/>
      <c r="Y19" s="293"/>
    </row>
    <row r="20" spans="1:25" ht="15" x14ac:dyDescent="0.25">
      <c r="A20" s="33" t="s">
        <v>87</v>
      </c>
      <c r="B20" s="233">
        <v>7466</v>
      </c>
      <c r="C20" s="234">
        <v>53265634.080000006</v>
      </c>
      <c r="D20" s="234">
        <v>4886001.3599999985</v>
      </c>
      <c r="E20" s="234">
        <v>9005597.6699999999</v>
      </c>
      <c r="F20" s="234">
        <v>3637667.120000001</v>
      </c>
      <c r="G20" s="234">
        <v>13704099.76</v>
      </c>
      <c r="H20" s="234">
        <v>8004008.6100000003</v>
      </c>
      <c r="I20" s="234">
        <v>8993599.4100000001</v>
      </c>
      <c r="J20" s="220">
        <v>9003890.5499999989</v>
      </c>
      <c r="K20" s="220">
        <f>SUM(C20:J20)</f>
        <v>110500498.56</v>
      </c>
      <c r="P20" s="294"/>
      <c r="Q20" s="293"/>
      <c r="R20" s="293"/>
      <c r="S20" s="293"/>
      <c r="T20" s="293"/>
      <c r="U20" s="293"/>
      <c r="V20" s="293"/>
      <c r="W20" s="293"/>
      <c r="X20" s="293"/>
      <c r="Y20" s="293"/>
    </row>
    <row r="21" spans="1:25" x14ac:dyDescent="0.2">
      <c r="A21" s="182" t="s">
        <v>105</v>
      </c>
      <c r="B21" s="214">
        <f t="shared" ref="B21:K21" si="3">SUM(B19:B20)</f>
        <v>17479</v>
      </c>
      <c r="C21" s="214">
        <f t="shared" si="3"/>
        <v>103056279.35000001</v>
      </c>
      <c r="D21" s="214">
        <f t="shared" si="3"/>
        <v>10533597.359999998</v>
      </c>
      <c r="E21" s="214">
        <f t="shared" si="3"/>
        <v>13067856.85</v>
      </c>
      <c r="F21" s="214">
        <f t="shared" si="3"/>
        <v>8995564.3900000006</v>
      </c>
      <c r="G21" s="214">
        <f t="shared" si="3"/>
        <v>22998122.380000003</v>
      </c>
      <c r="H21" s="214">
        <f t="shared" si="3"/>
        <v>12848962.710000001</v>
      </c>
      <c r="I21" s="214">
        <f t="shared" si="3"/>
        <v>17335623.559999999</v>
      </c>
      <c r="J21" s="214">
        <f t="shared" si="3"/>
        <v>15608947.219999999</v>
      </c>
      <c r="K21" s="214">
        <f t="shared" si="3"/>
        <v>204444953.81999999</v>
      </c>
    </row>
    <row r="22" spans="1:25" x14ac:dyDescent="0.2">
      <c r="A22" s="33"/>
      <c r="B22" s="214"/>
      <c r="C22" s="214"/>
      <c r="D22" s="214"/>
      <c r="E22" s="214"/>
      <c r="F22" s="214"/>
      <c r="G22" s="214"/>
      <c r="H22" s="214"/>
      <c r="I22" s="214"/>
      <c r="J22" s="214"/>
      <c r="K22" s="214"/>
    </row>
    <row r="23" spans="1:25" ht="13.5" thickBot="1" x14ac:dyDescent="0.25">
      <c r="A23" s="182" t="s">
        <v>209</v>
      </c>
      <c r="B23" s="222">
        <f t="shared" ref="B23:K23" si="4">B21+B17+B10</f>
        <v>147965</v>
      </c>
      <c r="C23" s="222">
        <f t="shared" si="4"/>
        <v>802116099.15999997</v>
      </c>
      <c r="D23" s="222">
        <f t="shared" si="4"/>
        <v>131378897.37</v>
      </c>
      <c r="E23" s="222">
        <f t="shared" si="4"/>
        <v>78768686.239999995</v>
      </c>
      <c r="F23" s="222">
        <f t="shared" si="4"/>
        <v>78079471.220000014</v>
      </c>
      <c r="G23" s="222">
        <f t="shared" si="4"/>
        <v>155435575.41</v>
      </c>
      <c r="H23" s="222">
        <f t="shared" si="4"/>
        <v>82543067.830000013</v>
      </c>
      <c r="I23" s="222">
        <f t="shared" si="4"/>
        <v>92475433.909999996</v>
      </c>
      <c r="J23" s="222">
        <f t="shared" si="4"/>
        <v>99573496.289999992</v>
      </c>
      <c r="K23" s="222">
        <f t="shared" si="4"/>
        <v>1520370727.4300003</v>
      </c>
    </row>
    <row r="24" spans="1:25" ht="13.5" thickTop="1" x14ac:dyDescent="0.2">
      <c r="A24" s="33"/>
      <c r="B24" s="182"/>
      <c r="C24" s="182"/>
      <c r="D24" s="182"/>
      <c r="E24" s="182"/>
      <c r="F24" s="182"/>
      <c r="G24" s="182"/>
      <c r="H24" s="182"/>
      <c r="I24" s="182"/>
      <c r="J24" s="182"/>
      <c r="K24" s="182"/>
    </row>
    <row r="25" spans="1:25" x14ac:dyDescent="0.2">
      <c r="A25" s="36" t="s">
        <v>247</v>
      </c>
      <c r="B25" s="22"/>
      <c r="C25" s="22"/>
      <c r="D25" s="22"/>
      <c r="E25" s="22"/>
      <c r="F25" s="22"/>
      <c r="G25" s="22"/>
      <c r="H25" s="22"/>
      <c r="I25" s="22"/>
      <c r="J25" s="22"/>
      <c r="K25" s="22"/>
    </row>
    <row r="26" spans="1:25" x14ac:dyDescent="0.2">
      <c r="A26" s="36" t="s">
        <v>1081</v>
      </c>
      <c r="B26" s="22"/>
      <c r="C26" s="22"/>
      <c r="D26" s="22"/>
      <c r="E26" s="22"/>
      <c r="F26" s="22"/>
      <c r="G26" s="22"/>
      <c r="H26" s="22"/>
      <c r="I26" s="22"/>
      <c r="J26" s="22"/>
      <c r="K26" s="22"/>
    </row>
    <row r="27" spans="1:25" ht="39.75" customHeight="1" x14ac:dyDescent="0.2">
      <c r="A27" s="21" t="s">
        <v>245</v>
      </c>
      <c r="B27" s="21" t="str">
        <f>B3</f>
        <v>ANB11</v>
      </c>
      <c r="C27" s="21" t="str">
        <f t="shared" ref="C27:K27" si="5">C3</f>
        <v>11/Pupil Instruction</v>
      </c>
      <c r="D27" s="21" t="str">
        <f t="shared" si="5"/>
        <v>11/Pupil Student Services</v>
      </c>
      <c r="E27" s="21" t="str">
        <f t="shared" si="5"/>
        <v>11/Pupil General Admin</v>
      </c>
      <c r="F27" s="21" t="str">
        <f t="shared" si="5"/>
        <v>11/Pupil Bldg Admin</v>
      </c>
      <c r="G27" s="21" t="str">
        <f t="shared" si="5"/>
        <v>11/Pupil Bldg OM</v>
      </c>
      <c r="H27" s="21" t="str">
        <f t="shared" si="5"/>
        <v>11/Pupil Transport</v>
      </c>
      <c r="I27" s="21" t="str">
        <f t="shared" si="5"/>
        <v>11/Pupil Other</v>
      </c>
      <c r="J27" s="21" t="str">
        <f t="shared" si="5"/>
        <v>11/Pupil Bonds/ Facilities</v>
      </c>
      <c r="K27" s="21" t="str">
        <f t="shared" si="5"/>
        <v>11/Pupil Total</v>
      </c>
    </row>
    <row r="28" spans="1:25" x14ac:dyDescent="0.2">
      <c r="A28" s="182" t="s">
        <v>102</v>
      </c>
      <c r="B28" s="214">
        <f t="shared" ref="B28:B33" si="6">B4</f>
        <v>37842</v>
      </c>
      <c r="C28" s="182">
        <f t="shared" ref="C28:K34" si="7">C4/$B28</f>
        <v>5095.2796879129019</v>
      </c>
      <c r="D28" s="182">
        <f t="shared" si="7"/>
        <v>1058.2682485069499</v>
      </c>
      <c r="E28" s="182">
        <f t="shared" si="7"/>
        <v>278.59190370487812</v>
      </c>
      <c r="F28" s="182">
        <f t="shared" si="7"/>
        <v>508.21101870937065</v>
      </c>
      <c r="G28" s="182">
        <f t="shared" si="7"/>
        <v>738.57897679826647</v>
      </c>
      <c r="H28" s="182">
        <f t="shared" si="7"/>
        <v>392.33590613603934</v>
      </c>
      <c r="I28" s="182">
        <f t="shared" si="7"/>
        <v>350.57679377411341</v>
      </c>
      <c r="J28" s="182">
        <f t="shared" si="7"/>
        <v>307.63043390941277</v>
      </c>
      <c r="K28" s="182">
        <f t="shared" si="7"/>
        <v>8729.4729694519319</v>
      </c>
    </row>
    <row r="29" spans="1:25" x14ac:dyDescent="0.2">
      <c r="A29" s="182" t="s">
        <v>76</v>
      </c>
      <c r="B29" s="214">
        <f t="shared" si="6"/>
        <v>18223</v>
      </c>
      <c r="C29" s="182">
        <f t="shared" si="7"/>
        <v>5267.1080606925316</v>
      </c>
      <c r="D29" s="182">
        <f t="shared" si="7"/>
        <v>1111.5442852439226</v>
      </c>
      <c r="E29" s="182">
        <f t="shared" si="7"/>
        <v>355.08984360423642</v>
      </c>
      <c r="F29" s="182">
        <f t="shared" si="7"/>
        <v>565.78121824068489</v>
      </c>
      <c r="G29" s="182">
        <f t="shared" si="7"/>
        <v>905.91542885364652</v>
      </c>
      <c r="H29" s="182">
        <f t="shared" si="7"/>
        <v>446.86746254733032</v>
      </c>
      <c r="I29" s="182">
        <f t="shared" si="7"/>
        <v>627.57196235526533</v>
      </c>
      <c r="J29" s="182">
        <f t="shared" si="7"/>
        <v>494.12122317949837</v>
      </c>
      <c r="K29" s="182">
        <f t="shared" si="7"/>
        <v>9773.9994847171183</v>
      </c>
    </row>
    <row r="30" spans="1:25" x14ac:dyDescent="0.2">
      <c r="A30" s="182" t="s">
        <v>77</v>
      </c>
      <c r="B30" s="214">
        <f t="shared" si="6"/>
        <v>13498</v>
      </c>
      <c r="C30" s="182">
        <f t="shared" si="7"/>
        <v>5521.739056156468</v>
      </c>
      <c r="D30" s="182">
        <f t="shared" si="7"/>
        <v>968.12751518743528</v>
      </c>
      <c r="E30" s="182">
        <f t="shared" si="7"/>
        <v>582.17374796266108</v>
      </c>
      <c r="F30" s="182">
        <f t="shared" si="7"/>
        <v>532.76749888872439</v>
      </c>
      <c r="G30" s="182">
        <f t="shared" si="7"/>
        <v>1050.3447140317082</v>
      </c>
      <c r="H30" s="182">
        <f t="shared" si="7"/>
        <v>477.84473625722336</v>
      </c>
      <c r="I30" s="182">
        <f t="shared" si="7"/>
        <v>506.19623796117946</v>
      </c>
      <c r="J30" s="182">
        <f t="shared" si="7"/>
        <v>563.27939472514436</v>
      </c>
      <c r="K30" s="182">
        <f t="shared" si="7"/>
        <v>10202.472901170546</v>
      </c>
    </row>
    <row r="31" spans="1:25" x14ac:dyDescent="0.2">
      <c r="A31" s="182" t="s">
        <v>78</v>
      </c>
      <c r="B31" s="214">
        <f t="shared" si="6"/>
        <v>13549</v>
      </c>
      <c r="C31" s="182">
        <f t="shared" si="7"/>
        <v>5450.4566897926052</v>
      </c>
      <c r="D31" s="182">
        <f t="shared" si="7"/>
        <v>593.4133877038895</v>
      </c>
      <c r="E31" s="182">
        <f t="shared" si="7"/>
        <v>686.5814429109156</v>
      </c>
      <c r="F31" s="182">
        <f t="shared" si="7"/>
        <v>408.53944054911801</v>
      </c>
      <c r="G31" s="182">
        <f t="shared" si="7"/>
        <v>968.42598715772363</v>
      </c>
      <c r="H31" s="182">
        <f t="shared" si="7"/>
        <v>546.30390065687516</v>
      </c>
      <c r="I31" s="182">
        <f t="shared" si="7"/>
        <v>751.10118458926843</v>
      </c>
      <c r="J31" s="182">
        <f t="shared" si="7"/>
        <v>655.3961879105467</v>
      </c>
      <c r="K31" s="182">
        <f t="shared" si="7"/>
        <v>10060.218221270943</v>
      </c>
    </row>
    <row r="32" spans="1:25" x14ac:dyDescent="0.2">
      <c r="A32" s="182" t="s">
        <v>79</v>
      </c>
      <c r="B32" s="214">
        <f t="shared" si="6"/>
        <v>4973</v>
      </c>
      <c r="C32" s="182">
        <f t="shared" si="7"/>
        <v>6587.4746189422885</v>
      </c>
      <c r="D32" s="182">
        <f t="shared" si="7"/>
        <v>622.03447818218365</v>
      </c>
      <c r="E32" s="182">
        <f t="shared" si="7"/>
        <v>1080.9598230444401</v>
      </c>
      <c r="F32" s="182">
        <f t="shared" si="7"/>
        <v>481.75004423888993</v>
      </c>
      <c r="G32" s="182">
        <f t="shared" si="7"/>
        <v>1260.0225356927406</v>
      </c>
      <c r="H32" s="182">
        <f t="shared" si="7"/>
        <v>996.21293183189221</v>
      </c>
      <c r="I32" s="182">
        <f t="shared" si="7"/>
        <v>508.40387894631004</v>
      </c>
      <c r="J32" s="182">
        <f t="shared" si="7"/>
        <v>854.26922380856615</v>
      </c>
      <c r="K32" s="182">
        <f t="shared" si="7"/>
        <v>12391.127534687312</v>
      </c>
    </row>
    <row r="33" spans="1:11" x14ac:dyDescent="0.2">
      <c r="A33" s="182" t="s">
        <v>80</v>
      </c>
      <c r="B33" s="220">
        <f t="shared" si="6"/>
        <v>1854</v>
      </c>
      <c r="C33" s="183">
        <f t="shared" si="7"/>
        <v>6495.2898921251344</v>
      </c>
      <c r="D33" s="183">
        <f t="shared" si="7"/>
        <v>291.79672599784249</v>
      </c>
      <c r="E33" s="183">
        <f t="shared" si="7"/>
        <v>1194.7677669902907</v>
      </c>
      <c r="F33" s="183">
        <f t="shared" si="7"/>
        <v>128.09618122977346</v>
      </c>
      <c r="G33" s="183">
        <f t="shared" si="7"/>
        <v>1337.1382470334415</v>
      </c>
      <c r="H33" s="183">
        <f t="shared" si="7"/>
        <v>965.78025350593305</v>
      </c>
      <c r="I33" s="183">
        <f t="shared" si="7"/>
        <v>238.09245415318233</v>
      </c>
      <c r="J33" s="183">
        <f t="shared" si="7"/>
        <v>452.3361218985977</v>
      </c>
      <c r="K33" s="183">
        <f t="shared" si="7"/>
        <v>11103.297642934198</v>
      </c>
    </row>
    <row r="34" spans="1:11" x14ac:dyDescent="0.2">
      <c r="A34" s="182" t="s">
        <v>219</v>
      </c>
      <c r="B34" s="214">
        <f>SUM(B28:B33)</f>
        <v>89939</v>
      </c>
      <c r="C34" s="182">
        <f t="shared" si="7"/>
        <v>5358.9714623244636</v>
      </c>
      <c r="D34" s="182">
        <f t="shared" si="7"/>
        <v>945.58501150779966</v>
      </c>
      <c r="E34" s="182">
        <f t="shared" si="7"/>
        <v>464.36654732652119</v>
      </c>
      <c r="F34" s="182">
        <f t="shared" si="7"/>
        <v>499.24707168191787</v>
      </c>
      <c r="G34" s="182">
        <f t="shared" si="7"/>
        <v>895.07005336950601</v>
      </c>
      <c r="H34" s="182">
        <f t="shared" si="7"/>
        <v>484.6238498315526</v>
      </c>
      <c r="I34" s="182">
        <f t="shared" si="7"/>
        <v>496.80109374131348</v>
      </c>
      <c r="J34" s="182">
        <f t="shared" si="7"/>
        <v>469.38193853611892</v>
      </c>
      <c r="K34" s="182">
        <f t="shared" si="7"/>
        <v>9614.0470283191953</v>
      </c>
    </row>
    <row r="35" spans="1:11" x14ac:dyDescent="0.2">
      <c r="A35" s="182"/>
      <c r="B35" s="214"/>
      <c r="C35" s="182"/>
      <c r="D35" s="182"/>
      <c r="E35" s="182"/>
      <c r="F35" s="182"/>
      <c r="G35" s="182"/>
      <c r="H35" s="182"/>
      <c r="I35" s="182"/>
      <c r="J35" s="182"/>
      <c r="K35" s="182"/>
    </row>
    <row r="36" spans="1:11" x14ac:dyDescent="0.2">
      <c r="A36" s="182" t="s">
        <v>81</v>
      </c>
      <c r="B36" s="214">
        <f>B12</f>
        <v>21890</v>
      </c>
      <c r="C36" s="182">
        <f t="shared" ref="C36:K41" si="8">C12/$B36</f>
        <v>5161.9022224760156</v>
      </c>
      <c r="D36" s="182">
        <f t="shared" si="8"/>
        <v>949.23717633622653</v>
      </c>
      <c r="E36" s="182">
        <f t="shared" si="8"/>
        <v>379.88412928277751</v>
      </c>
      <c r="F36" s="182">
        <f t="shared" si="8"/>
        <v>542.77526496116934</v>
      </c>
      <c r="G36" s="182">
        <f t="shared" si="8"/>
        <v>1007.8878131566926</v>
      </c>
      <c r="H36" s="182">
        <f t="shared" si="8"/>
        <v>385.77038921882138</v>
      </c>
      <c r="I36" s="182">
        <f t="shared" si="8"/>
        <v>611.15510415714937</v>
      </c>
      <c r="J36" s="182">
        <f t="shared" si="8"/>
        <v>854.673012334399</v>
      </c>
      <c r="K36" s="182">
        <f t="shared" si="8"/>
        <v>9893.285111923251</v>
      </c>
    </row>
    <row r="37" spans="1:11" x14ac:dyDescent="0.2">
      <c r="A37" s="182" t="s">
        <v>82</v>
      </c>
      <c r="B37" s="214">
        <f>B13</f>
        <v>6282</v>
      </c>
      <c r="C37" s="182">
        <f t="shared" si="8"/>
        <v>4773.3899458771084</v>
      </c>
      <c r="D37" s="182">
        <f t="shared" si="8"/>
        <v>825.11072269977717</v>
      </c>
      <c r="E37" s="182">
        <f t="shared" si="8"/>
        <v>447.81264883794972</v>
      </c>
      <c r="F37" s="182">
        <f t="shared" si="8"/>
        <v>637.96599808978033</v>
      </c>
      <c r="G37" s="182">
        <f t="shared" si="8"/>
        <v>1237.0933810888253</v>
      </c>
      <c r="H37" s="182">
        <f t="shared" si="8"/>
        <v>622.48769022604267</v>
      </c>
      <c r="I37" s="182">
        <f t="shared" si="8"/>
        <v>643.45443489334605</v>
      </c>
      <c r="J37" s="182">
        <f t="shared" si="8"/>
        <v>1163.0886612543777</v>
      </c>
      <c r="K37" s="182">
        <f t="shared" si="8"/>
        <v>10350.403482967207</v>
      </c>
    </row>
    <row r="38" spans="1:11" x14ac:dyDescent="0.2">
      <c r="A38" s="182" t="s">
        <v>83</v>
      </c>
      <c r="B38" s="214">
        <f>B14</f>
        <v>5828</v>
      </c>
      <c r="C38" s="182">
        <f t="shared" si="8"/>
        <v>5313.8463812628688</v>
      </c>
      <c r="D38" s="182">
        <f t="shared" si="8"/>
        <v>887.45893102264938</v>
      </c>
      <c r="E38" s="182">
        <f t="shared" si="8"/>
        <v>653.19303534660253</v>
      </c>
      <c r="F38" s="182">
        <f t="shared" si="8"/>
        <v>693.71026424159243</v>
      </c>
      <c r="G38" s="182">
        <f t="shared" si="8"/>
        <v>1575.5539275909405</v>
      </c>
      <c r="H38" s="182">
        <f t="shared" si="8"/>
        <v>747.13417638984208</v>
      </c>
      <c r="I38" s="182">
        <f t="shared" si="8"/>
        <v>951.14883321894297</v>
      </c>
      <c r="J38" s="182">
        <f t="shared" si="8"/>
        <v>1078.0430301990393</v>
      </c>
      <c r="K38" s="182">
        <f t="shared" si="8"/>
        <v>11900.088579272477</v>
      </c>
    </row>
    <row r="39" spans="1:11" x14ac:dyDescent="0.2">
      <c r="A39" s="182" t="s">
        <v>84</v>
      </c>
      <c r="B39" s="214">
        <f>B15</f>
        <v>5163</v>
      </c>
      <c r="C39" s="182">
        <f t="shared" si="8"/>
        <v>5913.2790916134036</v>
      </c>
      <c r="D39" s="182">
        <f t="shared" si="8"/>
        <v>719.05140034863473</v>
      </c>
      <c r="E39" s="182">
        <f t="shared" si="8"/>
        <v>1092.4252508231648</v>
      </c>
      <c r="F39" s="182">
        <f t="shared" si="8"/>
        <v>663.43340499709473</v>
      </c>
      <c r="G39" s="182">
        <f t="shared" si="8"/>
        <v>1684.8322971140806</v>
      </c>
      <c r="H39" s="182">
        <f t="shared" si="8"/>
        <v>1302.2067170249854</v>
      </c>
      <c r="I39" s="182">
        <f t="shared" si="8"/>
        <v>1076.5757912066626</v>
      </c>
      <c r="J39" s="182">
        <f t="shared" si="8"/>
        <v>1248.065479372458</v>
      </c>
      <c r="K39" s="182">
        <f t="shared" si="8"/>
        <v>13699.869432500484</v>
      </c>
    </row>
    <row r="40" spans="1:11" x14ac:dyDescent="0.2">
      <c r="A40" s="182" t="s">
        <v>85</v>
      </c>
      <c r="B40" s="220">
        <f>B16</f>
        <v>1384</v>
      </c>
      <c r="C40" s="183">
        <f t="shared" si="8"/>
        <v>9103.6513800578032</v>
      </c>
      <c r="D40" s="183">
        <f t="shared" si="8"/>
        <v>689.02404624277449</v>
      </c>
      <c r="E40" s="183">
        <f t="shared" si="8"/>
        <v>2427.993684971098</v>
      </c>
      <c r="F40" s="183">
        <f t="shared" si="8"/>
        <v>595.96922687861274</v>
      </c>
      <c r="G40" s="183">
        <f t="shared" si="8"/>
        <v>3049.5268858381496</v>
      </c>
      <c r="H40" s="183">
        <f t="shared" si="8"/>
        <v>1932.765852601156</v>
      </c>
      <c r="I40" s="183">
        <f t="shared" si="8"/>
        <v>1398.8400144508673</v>
      </c>
      <c r="J40" s="183">
        <f t="shared" si="8"/>
        <v>2172.6118786127167</v>
      </c>
      <c r="K40" s="183">
        <f t="shared" si="8"/>
        <v>21370.382969653176</v>
      </c>
    </row>
    <row r="41" spans="1:11" x14ac:dyDescent="0.2">
      <c r="A41" s="182" t="s">
        <v>220</v>
      </c>
      <c r="B41" s="214">
        <f>SUM(B36:B40)</f>
        <v>40547</v>
      </c>
      <c r="C41" s="182">
        <f t="shared" si="8"/>
        <v>5353.7693407650377</v>
      </c>
      <c r="D41" s="182">
        <f t="shared" si="8"/>
        <v>882.93411744395405</v>
      </c>
      <c r="E41" s="182">
        <f t="shared" si="8"/>
        <v>590.33138062002126</v>
      </c>
      <c r="F41" s="182">
        <f t="shared" si="8"/>
        <v>596.39737711791258</v>
      </c>
      <c r="G41" s="182">
        <f t="shared" si="8"/>
        <v>1280.8776851554985</v>
      </c>
      <c r="H41" s="182">
        <f t="shared" si="8"/>
        <v>643.88291834167762</v>
      </c>
      <c r="I41" s="182">
        <f t="shared" si="8"/>
        <v>751.17805953584718</v>
      </c>
      <c r="J41" s="182">
        <f t="shared" si="8"/>
        <v>1029.6398475842848</v>
      </c>
      <c r="K41" s="182">
        <f t="shared" si="8"/>
        <v>11129.010726564233</v>
      </c>
    </row>
    <row r="42" spans="1:11" x14ac:dyDescent="0.2">
      <c r="A42" s="182"/>
      <c r="B42" s="214"/>
      <c r="C42" s="182"/>
      <c r="D42" s="182"/>
      <c r="E42" s="182"/>
      <c r="F42" s="182"/>
      <c r="G42" s="182"/>
      <c r="H42" s="182"/>
      <c r="I42" s="182"/>
      <c r="J42" s="182"/>
      <c r="K42" s="182"/>
    </row>
    <row r="43" spans="1:11" x14ac:dyDescent="0.2">
      <c r="A43" s="182" t="s">
        <v>86</v>
      </c>
      <c r="B43" s="214">
        <f>B19</f>
        <v>10013</v>
      </c>
      <c r="C43" s="182">
        <f t="shared" ref="C43:K45" si="9">C19/$B43</f>
        <v>4972.6001468091481</v>
      </c>
      <c r="D43" s="182">
        <f t="shared" si="9"/>
        <v>564.02636572455799</v>
      </c>
      <c r="E43" s="182">
        <f t="shared" si="9"/>
        <v>405.69850993708178</v>
      </c>
      <c r="F43" s="182">
        <f t="shared" si="9"/>
        <v>535.09410466393695</v>
      </c>
      <c r="G43" s="182">
        <f t="shared" si="9"/>
        <v>928.19560770997714</v>
      </c>
      <c r="H43" s="182">
        <f t="shared" si="9"/>
        <v>483.8663837011884</v>
      </c>
      <c r="I43" s="182">
        <f t="shared" si="9"/>
        <v>833.11935983221792</v>
      </c>
      <c r="J43" s="182">
        <f t="shared" si="9"/>
        <v>659.6481244382303</v>
      </c>
      <c r="K43" s="182">
        <f t="shared" si="9"/>
        <v>9382.2486028163385</v>
      </c>
    </row>
    <row r="44" spans="1:11" x14ac:dyDescent="0.2">
      <c r="A44" s="182" t="s">
        <v>87</v>
      </c>
      <c r="B44" s="220">
        <f>B20</f>
        <v>7466</v>
      </c>
      <c r="C44" s="183">
        <f t="shared" si="9"/>
        <v>7134.4272810072334</v>
      </c>
      <c r="D44" s="183">
        <f t="shared" si="9"/>
        <v>654.43361371551009</v>
      </c>
      <c r="E44" s="183">
        <f t="shared" si="9"/>
        <v>1206.2145285293329</v>
      </c>
      <c r="F44" s="183">
        <f t="shared" si="9"/>
        <v>487.23106348781153</v>
      </c>
      <c r="G44" s="183">
        <f t="shared" si="9"/>
        <v>1835.5343905705865</v>
      </c>
      <c r="H44" s="183">
        <f t="shared" si="9"/>
        <v>1072.0611585855881</v>
      </c>
      <c r="I44" s="183">
        <f t="shared" si="9"/>
        <v>1204.607475221002</v>
      </c>
      <c r="J44" s="183">
        <f t="shared" si="9"/>
        <v>1205.9858759710687</v>
      </c>
      <c r="K44" s="183">
        <f t="shared" si="9"/>
        <v>14800.495387088133</v>
      </c>
    </row>
    <row r="45" spans="1:11" x14ac:dyDescent="0.2">
      <c r="A45" s="182" t="s">
        <v>221</v>
      </c>
      <c r="B45" s="214">
        <f>SUM(B43:B44)</f>
        <v>17479</v>
      </c>
      <c r="C45" s="182">
        <f t="shared" si="9"/>
        <v>5896.0054551175699</v>
      </c>
      <c r="D45" s="182">
        <f t="shared" si="9"/>
        <v>602.64302076777835</v>
      </c>
      <c r="E45" s="182">
        <f t="shared" si="9"/>
        <v>747.6318353452715</v>
      </c>
      <c r="F45" s="182">
        <f t="shared" si="9"/>
        <v>514.64983065392755</v>
      </c>
      <c r="G45" s="182">
        <f t="shared" si="9"/>
        <v>1315.757330510899</v>
      </c>
      <c r="H45" s="182">
        <f t="shared" si="9"/>
        <v>735.10857085645637</v>
      </c>
      <c r="I45" s="182">
        <f t="shared" si="9"/>
        <v>991.79721723210707</v>
      </c>
      <c r="J45" s="182">
        <f t="shared" si="9"/>
        <v>893.01145488872351</v>
      </c>
      <c r="K45" s="182">
        <f t="shared" si="9"/>
        <v>11696.604715372732</v>
      </c>
    </row>
    <row r="46" spans="1:11" x14ac:dyDescent="0.2">
      <c r="A46" s="182"/>
      <c r="B46" s="214"/>
      <c r="C46" s="182"/>
      <c r="D46" s="182"/>
      <c r="E46" s="182"/>
      <c r="F46" s="182"/>
      <c r="G46" s="182"/>
      <c r="H46" s="182"/>
      <c r="I46" s="182"/>
      <c r="J46" s="182"/>
      <c r="K46" s="182"/>
    </row>
    <row r="47" spans="1:11" ht="13.5" thickBot="1" x14ac:dyDescent="0.25">
      <c r="A47" s="182" t="s">
        <v>222</v>
      </c>
      <c r="B47" s="222">
        <f>B45+B41+B34</f>
        <v>147965</v>
      </c>
      <c r="C47" s="192">
        <f t="shared" ref="C47:K47" si="10">C23/$B47</f>
        <v>5420.9853624843709</v>
      </c>
      <c r="D47" s="192">
        <f t="shared" si="10"/>
        <v>887.90523008819662</v>
      </c>
      <c r="E47" s="192">
        <f t="shared" si="10"/>
        <v>532.34674578447607</v>
      </c>
      <c r="F47" s="192">
        <f t="shared" si="10"/>
        <v>527.68878599668847</v>
      </c>
      <c r="G47" s="192">
        <f t="shared" si="10"/>
        <v>1050.488800797486</v>
      </c>
      <c r="H47" s="192">
        <f t="shared" si="10"/>
        <v>557.85535653701902</v>
      </c>
      <c r="I47" s="192">
        <f t="shared" si="10"/>
        <v>624.98181265839889</v>
      </c>
      <c r="J47" s="192">
        <f t="shared" si="10"/>
        <v>672.95303815091404</v>
      </c>
      <c r="K47" s="192">
        <f t="shared" si="10"/>
        <v>10275.205132497553</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1092</v>
      </c>
      <c r="B50" s="182"/>
      <c r="C50" s="182"/>
      <c r="D50" s="182"/>
      <c r="E50" s="182"/>
      <c r="F50" s="182"/>
      <c r="G50" s="182"/>
      <c r="H50" s="182"/>
      <c r="I50" s="182"/>
      <c r="J50" s="182"/>
      <c r="K50" s="182"/>
    </row>
    <row r="51" spans="1:11" ht="45" customHeight="1" x14ac:dyDescent="0.2">
      <c r="A51" s="21" t="s">
        <v>245</v>
      </c>
      <c r="B51" s="21" t="str">
        <f>B3</f>
        <v>ANB11</v>
      </c>
      <c r="C51" s="21" t="str">
        <f t="shared" ref="C51:K51" si="11">C3</f>
        <v>11/Pupil Instruction</v>
      </c>
      <c r="D51" s="21" t="str">
        <f t="shared" si="11"/>
        <v>11/Pupil Student Services</v>
      </c>
      <c r="E51" s="21" t="str">
        <f t="shared" si="11"/>
        <v>11/Pupil General Admin</v>
      </c>
      <c r="F51" s="21" t="str">
        <f t="shared" si="11"/>
        <v>11/Pupil Bldg Admin</v>
      </c>
      <c r="G51" s="21" t="str">
        <f t="shared" si="11"/>
        <v>11/Pupil Bldg OM</v>
      </c>
      <c r="H51" s="21" t="str">
        <f t="shared" si="11"/>
        <v>11/Pupil Transport</v>
      </c>
      <c r="I51" s="21" t="str">
        <f t="shared" si="11"/>
        <v>11/Pupil Other</v>
      </c>
      <c r="J51" s="21" t="str">
        <f t="shared" si="11"/>
        <v>11/Pupil Bonds/ Facilities</v>
      </c>
      <c r="K51" s="21" t="str">
        <f t="shared" si="11"/>
        <v>11/Pupil Total</v>
      </c>
    </row>
    <row r="52" spans="1:11" x14ac:dyDescent="0.2">
      <c r="A52" s="182" t="s">
        <v>102</v>
      </c>
      <c r="B52" s="214">
        <f t="shared" ref="B52:B57" si="12">B4</f>
        <v>37842</v>
      </c>
      <c r="C52" s="191">
        <f t="shared" ref="C52:K58" si="13">C28/$K28</f>
        <v>0.58368697695077487</v>
      </c>
      <c r="D52" s="191">
        <f t="shared" si="13"/>
        <v>0.12122934021449772</v>
      </c>
      <c r="E52" s="191">
        <f t="shared" si="13"/>
        <v>3.1913943107423258E-2</v>
      </c>
      <c r="F52" s="191">
        <f t="shared" si="13"/>
        <v>5.8217835198964819E-2</v>
      </c>
      <c r="G52" s="191">
        <f t="shared" si="13"/>
        <v>8.4607510600337776E-2</v>
      </c>
      <c r="H52" s="191">
        <f t="shared" si="13"/>
        <v>4.4943825075005828E-2</v>
      </c>
      <c r="I52" s="191">
        <f t="shared" si="13"/>
        <v>4.016013280537415E-2</v>
      </c>
      <c r="J52" s="191">
        <f t="shared" si="13"/>
        <v>3.5240436047621664E-2</v>
      </c>
      <c r="K52" s="191">
        <f t="shared" si="13"/>
        <v>1</v>
      </c>
    </row>
    <row r="53" spans="1:11" x14ac:dyDescent="0.2">
      <c r="A53" s="182" t="s">
        <v>76</v>
      </c>
      <c r="B53" s="214">
        <f t="shared" si="12"/>
        <v>18223</v>
      </c>
      <c r="C53" s="191">
        <f t="shared" si="13"/>
        <v>0.53888974200666984</v>
      </c>
      <c r="D53" s="191">
        <f t="shared" si="13"/>
        <v>0.11372461058361649</v>
      </c>
      <c r="E53" s="191">
        <f t="shared" si="13"/>
        <v>3.6330045255216575E-2</v>
      </c>
      <c r="F53" s="191">
        <f t="shared" si="13"/>
        <v>5.7886356462915227E-2</v>
      </c>
      <c r="G53" s="191">
        <f t="shared" si="13"/>
        <v>9.2686257071136494E-2</v>
      </c>
      <c r="H53" s="191">
        <f t="shared" si="13"/>
        <v>4.5720021087177667E-2</v>
      </c>
      <c r="I53" s="191">
        <f t="shared" si="13"/>
        <v>6.420830728879752E-2</v>
      </c>
      <c r="J53" s="191">
        <f t="shared" si="13"/>
        <v>5.0554660244469959E-2</v>
      </c>
      <c r="K53" s="191">
        <f t="shared" si="13"/>
        <v>1</v>
      </c>
    </row>
    <row r="54" spans="1:11" x14ac:dyDescent="0.2">
      <c r="A54" s="182" t="s">
        <v>77</v>
      </c>
      <c r="B54" s="214">
        <f t="shared" si="12"/>
        <v>13498</v>
      </c>
      <c r="C54" s="191">
        <f t="shared" si="13"/>
        <v>0.54121575324379934</v>
      </c>
      <c r="D54" s="191">
        <f t="shared" si="13"/>
        <v>9.4891456665997173E-2</v>
      </c>
      <c r="E54" s="191">
        <f t="shared" si="13"/>
        <v>5.7062023452752061E-2</v>
      </c>
      <c r="F54" s="191">
        <f t="shared" si="13"/>
        <v>5.2219447583889113E-2</v>
      </c>
      <c r="G54" s="191">
        <f t="shared" si="13"/>
        <v>0.10295001262989883</v>
      </c>
      <c r="H54" s="191">
        <f t="shared" si="13"/>
        <v>4.6836168141392416E-2</v>
      </c>
      <c r="I54" s="191">
        <f t="shared" si="13"/>
        <v>4.9615053415442326E-2</v>
      </c>
      <c r="J54" s="191">
        <f t="shared" si="13"/>
        <v>5.5210084866828553E-2</v>
      </c>
      <c r="K54" s="191">
        <f t="shared" si="13"/>
        <v>1</v>
      </c>
    </row>
    <row r="55" spans="1:11" x14ac:dyDescent="0.2">
      <c r="A55" s="182" t="s">
        <v>78</v>
      </c>
      <c r="B55" s="214">
        <f t="shared" si="12"/>
        <v>13549</v>
      </c>
      <c r="C55" s="191">
        <f t="shared" si="13"/>
        <v>0.54178314723515308</v>
      </c>
      <c r="D55" s="191">
        <f t="shared" si="13"/>
        <v>5.8986134758906003E-2</v>
      </c>
      <c r="E55" s="191">
        <f t="shared" si="13"/>
        <v>6.8247171960866007E-2</v>
      </c>
      <c r="F55" s="191">
        <f t="shared" si="13"/>
        <v>4.0609401462616164E-2</v>
      </c>
      <c r="G55" s="191">
        <f t="shared" si="13"/>
        <v>9.6262920530900659E-2</v>
      </c>
      <c r="H55" s="191">
        <f t="shared" si="13"/>
        <v>5.4303384741872789E-2</v>
      </c>
      <c r="I55" s="191">
        <f t="shared" si="13"/>
        <v>7.4660526051131632E-2</v>
      </c>
      <c r="J55" s="191">
        <f t="shared" si="13"/>
        <v>6.5147313258553566E-2</v>
      </c>
      <c r="K55" s="191">
        <f t="shared" si="13"/>
        <v>1</v>
      </c>
    </row>
    <row r="56" spans="1:11" x14ac:dyDescent="0.2">
      <c r="A56" s="182" t="s">
        <v>79</v>
      </c>
      <c r="B56" s="214">
        <f t="shared" si="12"/>
        <v>4973</v>
      </c>
      <c r="C56" s="191">
        <f t="shared" si="13"/>
        <v>0.53162834459588371</v>
      </c>
      <c r="D56" s="191">
        <f t="shared" si="13"/>
        <v>5.0199989988068558E-2</v>
      </c>
      <c r="E56" s="191">
        <f t="shared" si="13"/>
        <v>8.7236598930842818E-2</v>
      </c>
      <c r="F56" s="191">
        <f t="shared" si="13"/>
        <v>3.8878628509818401E-2</v>
      </c>
      <c r="G56" s="191">
        <f t="shared" si="13"/>
        <v>0.10168748018818104</v>
      </c>
      <c r="H56" s="191">
        <f t="shared" si="13"/>
        <v>8.0397278540078512E-2</v>
      </c>
      <c r="I56" s="191">
        <f t="shared" si="13"/>
        <v>4.1029670425318528E-2</v>
      </c>
      <c r="J56" s="191">
        <f t="shared" si="13"/>
        <v>6.894200882180844E-2</v>
      </c>
      <c r="K56" s="191">
        <f t="shared" si="13"/>
        <v>1</v>
      </c>
    </row>
    <row r="57" spans="1:11" x14ac:dyDescent="0.2">
      <c r="A57" s="182" t="s">
        <v>80</v>
      </c>
      <c r="B57" s="220">
        <f t="shared" si="12"/>
        <v>1854</v>
      </c>
      <c r="C57" s="193">
        <f t="shared" si="13"/>
        <v>0.5849874605728993</v>
      </c>
      <c r="D57" s="193">
        <f t="shared" si="13"/>
        <v>2.6280185885454766E-2</v>
      </c>
      <c r="E57" s="193">
        <f t="shared" si="13"/>
        <v>0.10760476800787239</v>
      </c>
      <c r="F57" s="193">
        <f t="shared" si="13"/>
        <v>1.1536769106724793E-2</v>
      </c>
      <c r="G57" s="193">
        <f t="shared" si="13"/>
        <v>0.12042712805094942</v>
      </c>
      <c r="H57" s="193">
        <f t="shared" si="13"/>
        <v>8.6981389184007538E-2</v>
      </c>
      <c r="I57" s="193">
        <f t="shared" si="13"/>
        <v>2.1443400132995366E-2</v>
      </c>
      <c r="J57" s="193">
        <f t="shared" si="13"/>
        <v>4.0738899059096258E-2</v>
      </c>
      <c r="K57" s="193">
        <f t="shared" si="13"/>
        <v>1</v>
      </c>
    </row>
    <row r="58" spans="1:11" x14ac:dyDescent="0.2">
      <c r="A58" s="182" t="s">
        <v>219</v>
      </c>
      <c r="B58" s="214">
        <f>SUM(B52:B57)</f>
        <v>89939</v>
      </c>
      <c r="C58" s="191">
        <f t="shared" si="13"/>
        <v>0.55741057293968344</v>
      </c>
      <c r="D58" s="191">
        <f t="shared" si="13"/>
        <v>9.8354523201569399E-2</v>
      </c>
      <c r="E58" s="191">
        <f t="shared" si="13"/>
        <v>4.8300840006157683E-2</v>
      </c>
      <c r="F58" s="191">
        <f t="shared" si="13"/>
        <v>5.1928919237791603E-2</v>
      </c>
      <c r="G58" s="191">
        <f t="shared" si="13"/>
        <v>9.3100236636349101E-2</v>
      </c>
      <c r="H58" s="191">
        <f t="shared" si="13"/>
        <v>5.0407892576772473E-2</v>
      </c>
      <c r="I58" s="191">
        <f t="shared" si="13"/>
        <v>5.1674502140246784E-2</v>
      </c>
      <c r="J58" s="191">
        <f t="shared" si="13"/>
        <v>4.8822513261429307E-2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21890</v>
      </c>
      <c r="C60" s="191">
        <f t="shared" ref="C60:K65" si="14">C36/$K36</f>
        <v>0.52175815859738661</v>
      </c>
      <c r="D60" s="191">
        <f t="shared" si="14"/>
        <v>9.5947621603689456E-2</v>
      </c>
      <c r="E60" s="191">
        <f t="shared" si="14"/>
        <v>3.8398178662105514E-2</v>
      </c>
      <c r="F60" s="191">
        <f t="shared" si="14"/>
        <v>5.486299634759581E-2</v>
      </c>
      <c r="G60" s="191">
        <f t="shared" si="14"/>
        <v>0.10187594936913322</v>
      </c>
      <c r="H60" s="191">
        <f t="shared" si="14"/>
        <v>3.8993153927596426E-2</v>
      </c>
      <c r="I60" s="191">
        <f t="shared" si="14"/>
        <v>6.1774738849949211E-2</v>
      </c>
      <c r="J60" s="191">
        <f t="shared" si="14"/>
        <v>8.6389202642543766E-2</v>
      </c>
      <c r="K60" s="191">
        <f t="shared" si="14"/>
        <v>1</v>
      </c>
    </row>
    <row r="61" spans="1:11" x14ac:dyDescent="0.2">
      <c r="A61" s="182" t="s">
        <v>82</v>
      </c>
      <c r="B61" s="214">
        <f>B37</f>
        <v>6282</v>
      </c>
      <c r="C61" s="191">
        <f t="shared" si="14"/>
        <v>0.46117911767712988</v>
      </c>
      <c r="D61" s="191">
        <f t="shared" si="14"/>
        <v>7.9717735067777101E-2</v>
      </c>
      <c r="E61" s="191">
        <f t="shared" si="14"/>
        <v>4.3265235947069845E-2</v>
      </c>
      <c r="F61" s="191">
        <f t="shared" si="14"/>
        <v>6.1636824027162571E-2</v>
      </c>
      <c r="G61" s="191">
        <f t="shared" si="14"/>
        <v>0.11952127113929484</v>
      </c>
      <c r="H61" s="191">
        <f t="shared" si="14"/>
        <v>6.0141393642326943E-2</v>
      </c>
      <c r="I61" s="191">
        <f t="shared" si="14"/>
        <v>6.2167087104596952E-2</v>
      </c>
      <c r="J61" s="191">
        <f t="shared" si="14"/>
        <v>0.11237133539464189</v>
      </c>
      <c r="K61" s="191">
        <f t="shared" si="14"/>
        <v>1</v>
      </c>
    </row>
    <row r="62" spans="1:11" x14ac:dyDescent="0.2">
      <c r="A62" s="182" t="s">
        <v>83</v>
      </c>
      <c r="B62" s="214">
        <f>B38</f>
        <v>5828</v>
      </c>
      <c r="C62" s="191">
        <f t="shared" si="14"/>
        <v>0.44653838884178593</v>
      </c>
      <c r="D62" s="191">
        <f t="shared" si="14"/>
        <v>7.4575825642879803E-2</v>
      </c>
      <c r="E62" s="191">
        <f t="shared" si="14"/>
        <v>5.4889762458098956E-2</v>
      </c>
      <c r="F62" s="191">
        <f t="shared" si="14"/>
        <v>5.8294546264965962E-2</v>
      </c>
      <c r="G62" s="191">
        <f t="shared" si="14"/>
        <v>0.13239850418720694</v>
      </c>
      <c r="H62" s="191">
        <f t="shared" si="14"/>
        <v>6.2783917229926947E-2</v>
      </c>
      <c r="I62" s="191">
        <f t="shared" si="14"/>
        <v>7.9927878425682469E-2</v>
      </c>
      <c r="J62" s="191">
        <f t="shared" si="14"/>
        <v>9.0591176949453137E-2</v>
      </c>
      <c r="K62" s="191">
        <f t="shared" si="14"/>
        <v>1</v>
      </c>
    </row>
    <row r="63" spans="1:11" x14ac:dyDescent="0.2">
      <c r="A63" s="182" t="s">
        <v>84</v>
      </c>
      <c r="B63" s="214">
        <f>B39</f>
        <v>5163</v>
      </c>
      <c r="C63" s="191">
        <f t="shared" si="14"/>
        <v>0.43163032470843915</v>
      </c>
      <c r="D63" s="191">
        <f t="shared" si="14"/>
        <v>5.2486003891600179E-2</v>
      </c>
      <c r="E63" s="191">
        <f t="shared" si="14"/>
        <v>7.9739829361554479E-2</v>
      </c>
      <c r="F63" s="191">
        <f t="shared" si="14"/>
        <v>4.8426257510397724E-2</v>
      </c>
      <c r="G63" s="191">
        <f t="shared" si="14"/>
        <v>0.12298163171665842</v>
      </c>
      <c r="H63" s="191">
        <f t="shared" si="14"/>
        <v>9.5052491079640034E-2</v>
      </c>
      <c r="I63" s="191">
        <f t="shared" si="14"/>
        <v>7.858292347317411E-2</v>
      </c>
      <c r="J63" s="191">
        <f t="shared" si="14"/>
        <v>9.1100538258535979E-2</v>
      </c>
      <c r="K63" s="191">
        <f t="shared" si="14"/>
        <v>1</v>
      </c>
    </row>
    <row r="64" spans="1:11" x14ac:dyDescent="0.2">
      <c r="A64" s="182" t="s">
        <v>85</v>
      </c>
      <c r="B64" s="220">
        <f>B40</f>
        <v>1384</v>
      </c>
      <c r="C64" s="193">
        <f t="shared" si="14"/>
        <v>0.42599383422306297</v>
      </c>
      <c r="D64" s="193">
        <f t="shared" si="14"/>
        <v>3.2242007418454642E-2</v>
      </c>
      <c r="E64" s="193">
        <f t="shared" si="14"/>
        <v>0.11361488881219158</v>
      </c>
      <c r="F64" s="193">
        <f t="shared" si="14"/>
        <v>2.788762502407718E-2</v>
      </c>
      <c r="G64" s="193">
        <f t="shared" si="14"/>
        <v>0.14269874761573545</v>
      </c>
      <c r="H64" s="193">
        <f t="shared" si="14"/>
        <v>9.0441329729362502E-2</v>
      </c>
      <c r="I64" s="193">
        <f t="shared" si="14"/>
        <v>6.54569464869805E-2</v>
      </c>
      <c r="J64" s="193">
        <f t="shared" si="14"/>
        <v>0.10166462069013528</v>
      </c>
      <c r="K64" s="193">
        <f t="shared" si="14"/>
        <v>1</v>
      </c>
    </row>
    <row r="65" spans="1:11" x14ac:dyDescent="0.2">
      <c r="A65" s="182" t="s">
        <v>220</v>
      </c>
      <c r="B65" s="214">
        <f>SUM(B60:B64)</f>
        <v>40547</v>
      </c>
      <c r="C65" s="191">
        <f t="shared" si="14"/>
        <v>0.48106426279075593</v>
      </c>
      <c r="D65" s="191">
        <f t="shared" si="14"/>
        <v>7.9336262596678711E-2</v>
      </c>
      <c r="E65" s="191">
        <f t="shared" si="14"/>
        <v>5.304437160896415E-2</v>
      </c>
      <c r="F65" s="191">
        <f t="shared" si="14"/>
        <v>5.3589433218385746E-2</v>
      </c>
      <c r="G65" s="191">
        <f t="shared" si="14"/>
        <v>0.11509357989009085</v>
      </c>
      <c r="H65" s="191">
        <f t="shared" si="14"/>
        <v>5.7856258221116681E-2</v>
      </c>
      <c r="I65" s="191">
        <f t="shared" si="14"/>
        <v>6.7497289560772319E-2</v>
      </c>
      <c r="J65" s="191">
        <f t="shared" si="14"/>
        <v>9.2518542113235694E-2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10013</v>
      </c>
      <c r="C67" s="191">
        <f t="shared" ref="C67:K69" si="15">C43/$K43</f>
        <v>0.53000089395589944</v>
      </c>
      <c r="D67" s="191">
        <f t="shared" si="15"/>
        <v>6.0116331340362275E-2</v>
      </c>
      <c r="E67" s="191">
        <f t="shared" si="15"/>
        <v>4.3241074406757916E-2</v>
      </c>
      <c r="F67" s="191">
        <f t="shared" si="15"/>
        <v>5.7032607780539285E-2</v>
      </c>
      <c r="G67" s="191">
        <f t="shared" si="15"/>
        <v>9.8931039562451362E-2</v>
      </c>
      <c r="H67" s="191">
        <f t="shared" si="15"/>
        <v>5.1572539183830909E-2</v>
      </c>
      <c r="I67" s="191">
        <f t="shared" si="15"/>
        <v>8.8797408286765536E-2</v>
      </c>
      <c r="J67" s="191">
        <f t="shared" si="15"/>
        <v>7.0308105483393279E-2</v>
      </c>
      <c r="K67" s="191">
        <f t="shared" si="15"/>
        <v>1</v>
      </c>
    </row>
    <row r="68" spans="1:11" x14ac:dyDescent="0.2">
      <c r="A68" s="182" t="s">
        <v>87</v>
      </c>
      <c r="B68" s="220">
        <f>B44</f>
        <v>7466</v>
      </c>
      <c r="C68" s="193">
        <f t="shared" si="15"/>
        <v>0.48203976248195496</v>
      </c>
      <c r="D68" s="193">
        <f t="shared" si="15"/>
        <v>4.421700737709322E-2</v>
      </c>
      <c r="E68" s="193">
        <f t="shared" si="15"/>
        <v>8.1498253739643575E-2</v>
      </c>
      <c r="F68" s="193">
        <f t="shared" si="15"/>
        <v>3.2919915904495271E-2</v>
      </c>
      <c r="G68" s="193">
        <f t="shared" si="15"/>
        <v>0.12401844279968467</v>
      </c>
      <c r="H68" s="193">
        <f t="shared" si="15"/>
        <v>7.2434140246470949E-2</v>
      </c>
      <c r="I68" s="193">
        <f t="shared" si="15"/>
        <v>8.138967269108402E-2</v>
      </c>
      <c r="J68" s="193">
        <f t="shared" si="15"/>
        <v>8.1482804759573382E-2</v>
      </c>
      <c r="K68" s="193">
        <f t="shared" si="15"/>
        <v>1</v>
      </c>
    </row>
    <row r="69" spans="1:11" x14ac:dyDescent="0.2">
      <c r="A69" s="182" t="s">
        <v>221</v>
      </c>
      <c r="B69" s="214">
        <f>SUM(B67:B68)</f>
        <v>17479</v>
      </c>
      <c r="C69" s="191">
        <f t="shared" si="15"/>
        <v>0.50407837133869349</v>
      </c>
      <c r="D69" s="191">
        <f t="shared" si="15"/>
        <v>5.1522902195346533E-2</v>
      </c>
      <c r="E69" s="191">
        <f t="shared" si="15"/>
        <v>6.3918705773023721E-2</v>
      </c>
      <c r="F69" s="191">
        <f t="shared" si="15"/>
        <v>4.3999933585643733E-2</v>
      </c>
      <c r="G69" s="191">
        <f t="shared" si="15"/>
        <v>0.112490535717738</v>
      </c>
      <c r="H69" s="191">
        <f t="shared" si="15"/>
        <v>6.284803058192695E-2</v>
      </c>
      <c r="I69" s="191">
        <f t="shared" si="15"/>
        <v>8.4793599627129207E-2</v>
      </c>
      <c r="J69" s="191">
        <f t="shared" si="15"/>
        <v>7.6347921180498421E-2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147965</v>
      </c>
      <c r="C71" s="195">
        <f t="shared" ref="C71:K71" si="16">C47/$K47</f>
        <v>0.52757928358426009</v>
      </c>
      <c r="D71" s="195">
        <f t="shared" si="16"/>
        <v>8.6412409157653192E-2</v>
      </c>
      <c r="E71" s="195">
        <f t="shared" si="16"/>
        <v>5.1808867941800466E-2</v>
      </c>
      <c r="F71" s="195">
        <f t="shared" si="16"/>
        <v>5.1355547572258083E-2</v>
      </c>
      <c r="G71" s="195">
        <f t="shared" si="16"/>
        <v>0.102235311826047</v>
      </c>
      <c r="H71" s="195">
        <f t="shared" si="16"/>
        <v>5.4291408234048884E-2</v>
      </c>
      <c r="I71" s="195">
        <f t="shared" si="16"/>
        <v>6.0824266240851882E-2</v>
      </c>
      <c r="J71" s="195">
        <f t="shared" si="16"/>
        <v>6.5492905443080146E-2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36"/>
  <dimension ref="A1:X75"/>
  <sheetViews>
    <sheetView topLeftCell="A16" zoomScaleNormal="100" workbookViewId="0"/>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4" x14ac:dyDescent="0.2">
      <c r="A1" s="36" t="s">
        <v>247</v>
      </c>
      <c r="B1" s="22"/>
      <c r="C1" s="22"/>
      <c r="D1" s="22"/>
      <c r="E1" s="22"/>
      <c r="F1" s="22"/>
      <c r="G1" s="22"/>
      <c r="H1" s="22"/>
      <c r="I1" s="22"/>
      <c r="J1" s="22"/>
      <c r="K1" s="22"/>
    </row>
    <row r="2" spans="1:24" x14ac:dyDescent="0.2">
      <c r="A2" s="22" t="s">
        <v>1083</v>
      </c>
      <c r="B2" s="22"/>
      <c r="C2" s="22"/>
      <c r="D2" s="22"/>
      <c r="E2" s="22"/>
      <c r="F2" s="22"/>
      <c r="G2" s="22"/>
      <c r="H2" s="22"/>
      <c r="I2" s="22"/>
      <c r="J2" s="22"/>
      <c r="K2" s="22"/>
    </row>
    <row r="3" spans="1:24" ht="33.75" x14ac:dyDescent="0.2">
      <c r="A3" s="21" t="s">
        <v>245</v>
      </c>
      <c r="B3" s="21" t="s">
        <v>1074</v>
      </c>
      <c r="C3" s="12" t="s">
        <v>1084</v>
      </c>
      <c r="D3" s="12" t="s">
        <v>1085</v>
      </c>
      <c r="E3" s="12" t="s">
        <v>1086</v>
      </c>
      <c r="F3" s="12" t="s">
        <v>1087</v>
      </c>
      <c r="G3" s="12" t="s">
        <v>1088</v>
      </c>
      <c r="H3" s="12" t="s">
        <v>1089</v>
      </c>
      <c r="I3" s="12" t="s">
        <v>1079</v>
      </c>
      <c r="J3" s="12" t="s">
        <v>1090</v>
      </c>
      <c r="K3" s="12" t="s">
        <v>1091</v>
      </c>
    </row>
    <row r="4" spans="1:24" ht="15" x14ac:dyDescent="0.25">
      <c r="A4" s="33" t="s">
        <v>102</v>
      </c>
      <c r="B4" s="214">
        <v>37842</v>
      </c>
      <c r="C4" s="214">
        <v>199926793.34999999</v>
      </c>
      <c r="D4" s="214">
        <v>41326383.850000001</v>
      </c>
      <c r="E4" s="214">
        <v>10563795.33</v>
      </c>
      <c r="F4" s="214">
        <v>19370148.119999997</v>
      </c>
      <c r="G4" s="214">
        <v>27953782.719999999</v>
      </c>
      <c r="H4" s="214">
        <v>14857000.360000001</v>
      </c>
      <c r="I4" s="214">
        <v>11654426.23</v>
      </c>
      <c r="J4" s="214">
        <v>13316472.399999999</v>
      </c>
      <c r="K4" s="214">
        <f t="shared" ref="K4:K9" si="0">SUM(C4:J4)</f>
        <v>338968802.36000001</v>
      </c>
      <c r="N4" s="214"/>
      <c r="O4" s="294"/>
      <c r="P4" s="293"/>
      <c r="Q4" s="293"/>
      <c r="R4" s="293"/>
      <c r="S4" s="293"/>
      <c r="T4" s="293"/>
      <c r="U4" s="293"/>
      <c r="V4" s="293"/>
      <c r="W4" s="293"/>
      <c r="X4" s="293"/>
    </row>
    <row r="5" spans="1:24" ht="15" x14ac:dyDescent="0.25">
      <c r="A5" s="33" t="s">
        <v>76</v>
      </c>
      <c r="B5" s="214">
        <v>18223</v>
      </c>
      <c r="C5" s="214">
        <v>99833689.519999996</v>
      </c>
      <c r="D5" s="214">
        <v>21335814.780000001</v>
      </c>
      <c r="E5" s="214">
        <v>6470802.2200000007</v>
      </c>
      <c r="F5" s="214">
        <v>10349232.469999999</v>
      </c>
      <c r="G5" s="214">
        <v>16621837.299999999</v>
      </c>
      <c r="H5" s="214">
        <v>8231426.4800000004</v>
      </c>
      <c r="I5" s="214">
        <v>9015786.6499999985</v>
      </c>
      <c r="J5" s="214">
        <v>12365023.039999999</v>
      </c>
      <c r="K5" s="214">
        <f t="shared" si="0"/>
        <v>184223612.46000001</v>
      </c>
      <c r="N5" s="214"/>
      <c r="O5" s="294"/>
      <c r="P5" s="293"/>
      <c r="Q5" s="293"/>
      <c r="R5" s="293"/>
      <c r="S5" s="293"/>
      <c r="T5" s="293"/>
      <c r="U5" s="293"/>
      <c r="V5" s="293"/>
      <c r="W5" s="293"/>
      <c r="X5" s="293"/>
    </row>
    <row r="6" spans="1:24" ht="15" x14ac:dyDescent="0.25">
      <c r="A6" s="33" t="s">
        <v>77</v>
      </c>
      <c r="B6" s="214">
        <v>13498</v>
      </c>
      <c r="C6" s="214">
        <v>76342647.449999988</v>
      </c>
      <c r="D6" s="214">
        <v>13281279.219999997</v>
      </c>
      <c r="E6" s="214">
        <v>7858181.2500000009</v>
      </c>
      <c r="F6" s="214">
        <v>7197800.9199999999</v>
      </c>
      <c r="G6" s="214">
        <v>14371848.899999999</v>
      </c>
      <c r="H6" s="214">
        <v>6528566.3000000007</v>
      </c>
      <c r="I6" s="214">
        <v>7603145.2699999986</v>
      </c>
      <c r="J6" s="214">
        <v>7050906.3899999997</v>
      </c>
      <c r="K6" s="214">
        <f t="shared" si="0"/>
        <v>140234375.69999996</v>
      </c>
      <c r="N6" s="214"/>
      <c r="O6" s="294"/>
      <c r="P6" s="293"/>
      <c r="Q6" s="293"/>
      <c r="R6" s="293"/>
      <c r="S6" s="293"/>
      <c r="T6" s="293"/>
      <c r="U6" s="293"/>
      <c r="V6" s="293"/>
      <c r="W6" s="293"/>
      <c r="X6" s="293"/>
    </row>
    <row r="7" spans="1:24" ht="15" x14ac:dyDescent="0.25">
      <c r="A7" s="33" t="s">
        <v>78</v>
      </c>
      <c r="B7" s="214">
        <v>13549</v>
      </c>
      <c r="C7" s="214">
        <v>75897345.999999985</v>
      </c>
      <c r="D7" s="214">
        <v>8616866.8899999987</v>
      </c>
      <c r="E7" s="214">
        <v>9463429.6099999975</v>
      </c>
      <c r="F7" s="214">
        <v>5557170.9799999995</v>
      </c>
      <c r="G7" s="214">
        <v>13129148.33</v>
      </c>
      <c r="H7" s="214">
        <v>7422343.7000000011</v>
      </c>
      <c r="I7" s="214">
        <v>8886843.5599999987</v>
      </c>
      <c r="J7" s="214">
        <v>10280998.949999997</v>
      </c>
      <c r="K7" s="214">
        <f t="shared" si="0"/>
        <v>139254148.01999998</v>
      </c>
      <c r="N7" s="214"/>
      <c r="O7" s="294"/>
      <c r="P7" s="293"/>
      <c r="Q7" s="293"/>
      <c r="R7" s="293"/>
      <c r="S7" s="293"/>
      <c r="T7" s="293"/>
      <c r="U7" s="293"/>
      <c r="V7" s="293"/>
      <c r="W7" s="293"/>
      <c r="X7" s="293"/>
    </row>
    <row r="8" spans="1:24" ht="15" x14ac:dyDescent="0.25">
      <c r="A8" s="33" t="s">
        <v>79</v>
      </c>
      <c r="B8" s="214">
        <v>4973</v>
      </c>
      <c r="C8" s="214">
        <v>33899602.770000003</v>
      </c>
      <c r="D8" s="214">
        <v>3137616.93</v>
      </c>
      <c r="E8" s="214">
        <v>5413732.7000000002</v>
      </c>
      <c r="F8" s="214">
        <v>2419085.0199999996</v>
      </c>
      <c r="G8" s="214">
        <v>6294053.2299999995</v>
      </c>
      <c r="H8" s="214">
        <v>5010815.1600000011</v>
      </c>
      <c r="I8" s="214">
        <v>4251580.0200000005</v>
      </c>
      <c r="J8" s="214">
        <v>2582479.4899999998</v>
      </c>
      <c r="K8" s="214">
        <f t="shared" si="0"/>
        <v>63008965.320000008</v>
      </c>
      <c r="N8" s="214"/>
      <c r="O8" s="294"/>
      <c r="P8" s="293"/>
      <c r="Q8" s="293"/>
      <c r="R8" s="293"/>
      <c r="S8" s="293"/>
      <c r="T8" s="293"/>
      <c r="U8" s="293"/>
      <c r="V8" s="293"/>
      <c r="W8" s="293"/>
      <c r="X8" s="293"/>
    </row>
    <row r="9" spans="1:24" ht="15" x14ac:dyDescent="0.25">
      <c r="A9" s="33" t="s">
        <v>80</v>
      </c>
      <c r="B9" s="220">
        <v>1854</v>
      </c>
      <c r="C9" s="220">
        <v>12184146.529999997</v>
      </c>
      <c r="D9" s="220">
        <v>547624.92999999993</v>
      </c>
      <c r="E9" s="220">
        <v>2215099.439999999</v>
      </c>
      <c r="F9" s="220">
        <v>237490.32</v>
      </c>
      <c r="G9" s="220">
        <v>2479054.3100000005</v>
      </c>
      <c r="H9" s="220">
        <v>1790556.5899999999</v>
      </c>
      <c r="I9" s="220">
        <v>841499.82000000018</v>
      </c>
      <c r="J9" s="220">
        <v>441481.41000000003</v>
      </c>
      <c r="K9" s="220">
        <f t="shared" si="0"/>
        <v>20736953.349999998</v>
      </c>
      <c r="N9" s="214"/>
      <c r="O9" s="294"/>
      <c r="P9" s="293"/>
      <c r="Q9" s="293"/>
      <c r="R9" s="293"/>
      <c r="S9" s="293"/>
      <c r="T9" s="293"/>
      <c r="U9" s="293"/>
      <c r="V9" s="293"/>
      <c r="W9" s="293"/>
      <c r="X9" s="293"/>
    </row>
    <row r="10" spans="1:24" x14ac:dyDescent="0.2">
      <c r="A10" s="182" t="s">
        <v>103</v>
      </c>
      <c r="B10" s="214">
        <f t="shared" ref="B10:K10" si="1">SUM(B4:B9)</f>
        <v>89939</v>
      </c>
      <c r="C10" s="214">
        <f t="shared" si="1"/>
        <v>498084225.61999995</v>
      </c>
      <c r="D10" s="214">
        <f t="shared" si="1"/>
        <v>88245586.600000009</v>
      </c>
      <c r="E10" s="214">
        <f t="shared" si="1"/>
        <v>41985040.549999997</v>
      </c>
      <c r="F10" s="214">
        <f t="shared" si="1"/>
        <v>45130927.829999991</v>
      </c>
      <c r="G10" s="214">
        <f t="shared" si="1"/>
        <v>80849724.790000007</v>
      </c>
      <c r="H10" s="214">
        <f t="shared" si="1"/>
        <v>43840708.590000004</v>
      </c>
      <c r="I10" s="214">
        <f t="shared" si="1"/>
        <v>42253281.549999997</v>
      </c>
      <c r="J10" s="214">
        <f t="shared" si="1"/>
        <v>46037361.679999992</v>
      </c>
      <c r="K10" s="214">
        <f t="shared" si="1"/>
        <v>886426857.21000004</v>
      </c>
      <c r="N10" s="214"/>
    </row>
    <row r="11" spans="1:24" x14ac:dyDescent="0.2">
      <c r="A11" s="33"/>
      <c r="B11" s="214"/>
      <c r="C11" s="214"/>
      <c r="D11" s="214"/>
      <c r="E11" s="214"/>
      <c r="F11" s="214"/>
      <c r="G11" s="214"/>
      <c r="H11" s="214"/>
      <c r="I11" s="214"/>
      <c r="J11" s="214"/>
      <c r="K11" s="182"/>
      <c r="N11" s="214"/>
    </row>
    <row r="12" spans="1:24" ht="15" x14ac:dyDescent="0.25">
      <c r="A12" s="33" t="s">
        <v>81</v>
      </c>
      <c r="B12" s="214">
        <v>21890</v>
      </c>
      <c r="C12" s="214">
        <v>115546121.76999997</v>
      </c>
      <c r="D12" s="214">
        <v>21691981.73</v>
      </c>
      <c r="E12" s="214">
        <v>8315663.5899999999</v>
      </c>
      <c r="F12" s="214">
        <v>12014297.52</v>
      </c>
      <c r="G12" s="214">
        <v>22067664.23</v>
      </c>
      <c r="H12" s="214">
        <v>8444513.8200000003</v>
      </c>
      <c r="I12" s="214">
        <v>18708792.239999995</v>
      </c>
      <c r="J12" s="214">
        <v>13378185.229999999</v>
      </c>
      <c r="K12" s="214">
        <f>SUM(C12:J12)</f>
        <v>220167220.12999997</v>
      </c>
      <c r="N12" s="214"/>
      <c r="O12" s="294"/>
      <c r="P12" s="293"/>
      <c r="Q12" s="293"/>
      <c r="R12" s="293"/>
      <c r="S12" s="293"/>
      <c r="T12" s="293"/>
      <c r="U12" s="293"/>
      <c r="V12" s="293"/>
      <c r="W12" s="293"/>
      <c r="X12" s="293"/>
    </row>
    <row r="13" spans="1:24" ht="15" x14ac:dyDescent="0.25">
      <c r="A13" s="33" t="s">
        <v>82</v>
      </c>
      <c r="B13" s="214">
        <v>6282</v>
      </c>
      <c r="C13" s="214">
        <v>30027998.270000003</v>
      </c>
      <c r="D13" s="214">
        <v>5183345.5599999996</v>
      </c>
      <c r="E13" s="214">
        <v>2813159.06</v>
      </c>
      <c r="F13" s="214">
        <v>4007702.4000000004</v>
      </c>
      <c r="G13" s="214">
        <v>7772686.6200000001</v>
      </c>
      <c r="H13" s="214">
        <v>3926319.01</v>
      </c>
      <c r="I13" s="214">
        <v>7306522.9699999997</v>
      </c>
      <c r="J13" s="214">
        <v>4069045.76</v>
      </c>
      <c r="K13" s="214">
        <f>SUM(C13:J13)</f>
        <v>65106779.649999999</v>
      </c>
      <c r="N13" s="214"/>
      <c r="O13" s="294"/>
      <c r="P13" s="293"/>
      <c r="Q13" s="293"/>
      <c r="R13" s="293"/>
      <c r="S13" s="293"/>
      <c r="T13" s="293"/>
      <c r="U13" s="293"/>
      <c r="V13" s="293"/>
      <c r="W13" s="293"/>
      <c r="X13" s="293"/>
    </row>
    <row r="14" spans="1:24" ht="15" x14ac:dyDescent="0.25">
      <c r="A14" s="33" t="s">
        <v>83</v>
      </c>
      <c r="B14" s="214">
        <v>5828</v>
      </c>
      <c r="C14" s="214">
        <v>31807476.789999995</v>
      </c>
      <c r="D14" s="214">
        <v>5582852.3200000003</v>
      </c>
      <c r="E14" s="214">
        <v>3806809.0100000002</v>
      </c>
      <c r="F14" s="214">
        <v>4042943.5100000002</v>
      </c>
      <c r="G14" s="214">
        <v>9199222.8399999999</v>
      </c>
      <c r="H14" s="214">
        <v>4355701.1899999995</v>
      </c>
      <c r="I14" s="214">
        <v>6282834.7800000012</v>
      </c>
      <c r="J14" s="214">
        <v>5543295.3999999994</v>
      </c>
      <c r="K14" s="214">
        <f>SUM(C14:J14)</f>
        <v>70621135.840000004</v>
      </c>
      <c r="N14" s="214"/>
      <c r="O14" s="294"/>
      <c r="P14" s="293"/>
      <c r="Q14" s="293"/>
      <c r="R14" s="293"/>
      <c r="S14" s="293"/>
      <c r="T14" s="293"/>
      <c r="U14" s="293"/>
      <c r="V14" s="293"/>
      <c r="W14" s="293"/>
      <c r="X14" s="293"/>
    </row>
    <row r="15" spans="1:24" ht="15" x14ac:dyDescent="0.25">
      <c r="A15" s="33" t="s">
        <v>84</v>
      </c>
      <c r="B15" s="214">
        <v>5163</v>
      </c>
      <c r="C15" s="214">
        <v>30778385.170000002</v>
      </c>
      <c r="D15" s="214">
        <v>3716523.99</v>
      </c>
      <c r="E15" s="214">
        <v>5646699.0300000003</v>
      </c>
      <c r="F15" s="214">
        <v>3425306.67</v>
      </c>
      <c r="G15" s="214">
        <v>8699119.1499999985</v>
      </c>
      <c r="H15" s="214">
        <v>6804562.2800000003</v>
      </c>
      <c r="I15" s="214">
        <v>6443762.0700000003</v>
      </c>
      <c r="J15" s="214">
        <v>5558754.1799999988</v>
      </c>
      <c r="K15" s="214">
        <f>SUM(C15:J15)</f>
        <v>71073112.540000007</v>
      </c>
      <c r="N15" s="214"/>
      <c r="O15" s="294"/>
      <c r="P15" s="293"/>
      <c r="Q15" s="293"/>
      <c r="R15" s="293"/>
      <c r="S15" s="293"/>
      <c r="T15" s="293"/>
      <c r="U15" s="293"/>
      <c r="V15" s="293"/>
      <c r="W15" s="293"/>
      <c r="X15" s="293"/>
    </row>
    <row r="16" spans="1:24" ht="15" x14ac:dyDescent="0.25">
      <c r="A16" s="33" t="s">
        <v>85</v>
      </c>
      <c r="B16" s="220">
        <v>1384</v>
      </c>
      <c r="C16" s="220">
        <v>12699395.1</v>
      </c>
      <c r="D16" s="220">
        <v>1031133.5799999998</v>
      </c>
      <c r="E16" s="220">
        <v>3452892.42</v>
      </c>
      <c r="F16" s="220">
        <v>824821.40999999992</v>
      </c>
      <c r="G16" s="220">
        <v>4229625.209999999</v>
      </c>
      <c r="H16" s="220">
        <v>2721197.94</v>
      </c>
      <c r="I16" s="220">
        <v>3006894.8399999994</v>
      </c>
      <c r="J16" s="220">
        <v>1935994.58</v>
      </c>
      <c r="K16" s="220">
        <f>SUM(C16:J16)</f>
        <v>29901955.079999998</v>
      </c>
      <c r="N16" s="214"/>
      <c r="O16" s="294"/>
      <c r="P16" s="293"/>
      <c r="Q16" s="293"/>
      <c r="R16" s="293"/>
      <c r="S16" s="293"/>
      <c r="T16" s="293"/>
      <c r="U16" s="293"/>
      <c r="V16" s="293"/>
      <c r="W16" s="293"/>
      <c r="X16" s="293"/>
    </row>
    <row r="17" spans="1:24" x14ac:dyDescent="0.2">
      <c r="A17" s="182" t="s">
        <v>104</v>
      </c>
      <c r="B17" s="214">
        <f t="shared" ref="B17:K17" si="2">SUM(B12:B16)</f>
        <v>40547</v>
      </c>
      <c r="C17" s="214">
        <f t="shared" si="2"/>
        <v>220859377.09999993</v>
      </c>
      <c r="D17" s="214">
        <f t="shared" si="2"/>
        <v>37205837.18</v>
      </c>
      <c r="E17" s="214">
        <f t="shared" si="2"/>
        <v>24035223.109999999</v>
      </c>
      <c r="F17" s="214">
        <f t="shared" si="2"/>
        <v>24315071.510000002</v>
      </c>
      <c r="G17" s="214">
        <f t="shared" si="2"/>
        <v>51968318.049999997</v>
      </c>
      <c r="H17" s="214">
        <f t="shared" si="2"/>
        <v>26252294.240000002</v>
      </c>
      <c r="I17" s="214">
        <f t="shared" si="2"/>
        <v>41748806.899999991</v>
      </c>
      <c r="J17" s="214">
        <f t="shared" si="2"/>
        <v>30485275.149999999</v>
      </c>
      <c r="K17" s="214">
        <f t="shared" si="2"/>
        <v>456870203.24000001</v>
      </c>
    </row>
    <row r="18" spans="1:24" x14ac:dyDescent="0.2">
      <c r="A18" s="33"/>
      <c r="B18" s="214"/>
      <c r="C18" s="214"/>
      <c r="D18" s="214"/>
      <c r="E18" s="214"/>
      <c r="F18" s="214"/>
      <c r="G18" s="214"/>
      <c r="H18" s="214"/>
      <c r="I18" s="214"/>
      <c r="J18" s="214"/>
      <c r="K18" s="182"/>
    </row>
    <row r="19" spans="1:24" ht="15" x14ac:dyDescent="0.25">
      <c r="A19" s="33" t="s">
        <v>86</v>
      </c>
      <c r="B19" s="214">
        <v>10013</v>
      </c>
      <c r="C19" s="214">
        <v>51686746.780000009</v>
      </c>
      <c r="D19" s="214">
        <v>5904332.6399999987</v>
      </c>
      <c r="E19" s="214">
        <v>4084759.18</v>
      </c>
      <c r="F19" s="214">
        <v>5357897.2699999996</v>
      </c>
      <c r="G19" s="214">
        <v>9294022.620000001</v>
      </c>
      <c r="H19" s="214">
        <v>5062969.2399999993</v>
      </c>
      <c r="I19" s="214">
        <v>6605056.6699999999</v>
      </c>
      <c r="J19" s="214">
        <v>8485002.0299999993</v>
      </c>
      <c r="K19" s="214">
        <f>SUM(C19:J19)</f>
        <v>96480786.430000007</v>
      </c>
      <c r="O19" s="294"/>
      <c r="P19" s="293"/>
      <c r="Q19" s="293"/>
      <c r="R19" s="293"/>
      <c r="S19" s="293"/>
      <c r="T19" s="293"/>
      <c r="U19" s="293"/>
      <c r="V19" s="293"/>
      <c r="W19" s="293"/>
      <c r="X19" s="293"/>
    </row>
    <row r="20" spans="1:24" ht="15" x14ac:dyDescent="0.25">
      <c r="A20" s="33" t="s">
        <v>87</v>
      </c>
      <c r="B20" s="233">
        <v>7466</v>
      </c>
      <c r="C20" s="234">
        <v>54332805.700000025</v>
      </c>
      <c r="D20" s="234">
        <v>5297483.9999999991</v>
      </c>
      <c r="E20" s="234">
        <v>9007959.1699999999</v>
      </c>
      <c r="F20" s="234">
        <v>3642300.23</v>
      </c>
      <c r="G20" s="234">
        <v>13805115.289999999</v>
      </c>
      <c r="H20" s="234">
        <v>8048893.6100000003</v>
      </c>
      <c r="I20" s="234">
        <v>9007509.879999999</v>
      </c>
      <c r="J20" s="220">
        <v>8998909.7400000002</v>
      </c>
      <c r="K20" s="220">
        <f>SUM(C20:J20)</f>
        <v>112140977.62</v>
      </c>
      <c r="O20" s="294"/>
      <c r="P20" s="293"/>
      <c r="Q20" s="293"/>
      <c r="R20" s="293"/>
      <c r="S20" s="293"/>
      <c r="T20" s="293"/>
      <c r="U20" s="293"/>
      <c r="V20" s="293"/>
      <c r="W20" s="293"/>
      <c r="X20" s="293"/>
    </row>
    <row r="21" spans="1:24" x14ac:dyDescent="0.2">
      <c r="A21" s="182" t="s">
        <v>105</v>
      </c>
      <c r="B21" s="214">
        <f t="shared" ref="B21:K21" si="3">SUM(B19:B20)</f>
        <v>17479</v>
      </c>
      <c r="C21" s="214">
        <f t="shared" si="3"/>
        <v>106019552.48000003</v>
      </c>
      <c r="D21" s="214">
        <f t="shared" si="3"/>
        <v>11201816.639999997</v>
      </c>
      <c r="E21" s="214">
        <f t="shared" si="3"/>
        <v>13092718.35</v>
      </c>
      <c r="F21" s="214">
        <f t="shared" si="3"/>
        <v>9000197.5</v>
      </c>
      <c r="G21" s="214">
        <f t="shared" si="3"/>
        <v>23099137.91</v>
      </c>
      <c r="H21" s="214">
        <f t="shared" si="3"/>
        <v>13111862.85</v>
      </c>
      <c r="I21" s="214">
        <f t="shared" si="3"/>
        <v>15612566.549999999</v>
      </c>
      <c r="J21" s="214">
        <f t="shared" si="3"/>
        <v>17483911.77</v>
      </c>
      <c r="K21" s="214">
        <f t="shared" si="3"/>
        <v>208621764.05000001</v>
      </c>
    </row>
    <row r="22" spans="1:24" x14ac:dyDescent="0.2">
      <c r="A22" s="33"/>
      <c r="B22" s="214"/>
      <c r="C22" s="214"/>
      <c r="D22" s="214"/>
      <c r="E22" s="214"/>
      <c r="F22" s="214"/>
      <c r="G22" s="214"/>
      <c r="H22" s="214"/>
      <c r="I22" s="214"/>
      <c r="J22" s="214"/>
      <c r="K22" s="214"/>
    </row>
    <row r="23" spans="1:24" ht="13.5" thickBot="1" x14ac:dyDescent="0.25">
      <c r="A23" s="182" t="s">
        <v>209</v>
      </c>
      <c r="B23" s="222">
        <f t="shared" ref="B23:K23" si="4">B21+B17+B10</f>
        <v>147965</v>
      </c>
      <c r="C23" s="222">
        <f t="shared" si="4"/>
        <v>824963155.19999993</v>
      </c>
      <c r="D23" s="222">
        <f t="shared" si="4"/>
        <v>136653240.42000002</v>
      </c>
      <c r="E23" s="222">
        <f t="shared" si="4"/>
        <v>79112982.00999999</v>
      </c>
      <c r="F23" s="222">
        <f t="shared" si="4"/>
        <v>78446196.839999989</v>
      </c>
      <c r="G23" s="222">
        <f t="shared" si="4"/>
        <v>155917180.75</v>
      </c>
      <c r="H23" s="222">
        <f t="shared" si="4"/>
        <v>83204865.680000007</v>
      </c>
      <c r="I23" s="222">
        <f t="shared" si="4"/>
        <v>99614654.999999985</v>
      </c>
      <c r="J23" s="222">
        <f t="shared" si="4"/>
        <v>94006548.599999994</v>
      </c>
      <c r="K23" s="222">
        <f t="shared" si="4"/>
        <v>1551918824.5</v>
      </c>
    </row>
    <row r="24" spans="1:24" ht="13.5" thickTop="1" x14ac:dyDescent="0.2">
      <c r="A24" s="33"/>
      <c r="B24" s="182"/>
      <c r="C24" s="182"/>
      <c r="D24" s="182"/>
      <c r="E24" s="182"/>
      <c r="F24" s="182"/>
      <c r="G24" s="182"/>
      <c r="H24" s="182"/>
      <c r="I24" s="182"/>
      <c r="J24" s="182"/>
      <c r="K24" s="182"/>
    </row>
    <row r="25" spans="1:24" x14ac:dyDescent="0.2">
      <c r="A25" s="36" t="s">
        <v>247</v>
      </c>
      <c r="B25" s="22"/>
      <c r="C25" s="22"/>
      <c r="D25" s="22"/>
      <c r="E25" s="22"/>
      <c r="F25" s="22"/>
      <c r="G25" s="22"/>
      <c r="H25" s="22"/>
      <c r="I25" s="22"/>
      <c r="J25" s="22"/>
      <c r="K25" s="22"/>
    </row>
    <row r="26" spans="1:24" x14ac:dyDescent="0.2">
      <c r="A26" s="36" t="s">
        <v>1081</v>
      </c>
      <c r="B26" s="22"/>
      <c r="C26" s="22"/>
      <c r="D26" s="22"/>
      <c r="E26" s="22"/>
      <c r="F26" s="22"/>
      <c r="G26" s="22"/>
      <c r="H26" s="22"/>
      <c r="I26" s="22"/>
      <c r="J26" s="22"/>
      <c r="K26" s="22"/>
    </row>
    <row r="27" spans="1:24" ht="39" customHeight="1" x14ac:dyDescent="0.2">
      <c r="A27" s="21" t="s">
        <v>245</v>
      </c>
      <c r="B27" s="21" t="str">
        <f>B3</f>
        <v>ANB11</v>
      </c>
      <c r="C27" s="21" t="str">
        <f t="shared" ref="C27:K27" si="5">C3</f>
        <v>11/Pupil Instruction</v>
      </c>
      <c r="D27" s="21" t="str">
        <f t="shared" si="5"/>
        <v>11/Pupil Student Services</v>
      </c>
      <c r="E27" s="21" t="str">
        <f t="shared" si="5"/>
        <v>11/Pupil General Admin</v>
      </c>
      <c r="F27" s="21" t="str">
        <f t="shared" si="5"/>
        <v>11/Pupil Bldg Admin</v>
      </c>
      <c r="G27" s="21" t="str">
        <f t="shared" si="5"/>
        <v>11/Pupil Bldg OM</v>
      </c>
      <c r="H27" s="21" t="str">
        <f t="shared" si="5"/>
        <v>11/Pupil Transport</v>
      </c>
      <c r="I27" s="21" t="str">
        <f t="shared" si="5"/>
        <v>11/Pupil Other</v>
      </c>
      <c r="J27" s="21" t="str">
        <f t="shared" si="5"/>
        <v>11/Pupil Bonds/ Facilities</v>
      </c>
      <c r="K27" s="21" t="str">
        <f t="shared" si="5"/>
        <v>11/Pupil Total</v>
      </c>
    </row>
    <row r="28" spans="1:24" x14ac:dyDescent="0.2">
      <c r="A28" s="182" t="s">
        <v>102</v>
      </c>
      <c r="B28" s="214">
        <f t="shared" ref="B28:B33" si="6">B4</f>
        <v>37842</v>
      </c>
      <c r="C28" s="182">
        <f t="shared" ref="C28:K34" si="7">C4/$B28</f>
        <v>5283.1983867131758</v>
      </c>
      <c r="D28" s="182">
        <f t="shared" si="7"/>
        <v>1092.0771589767983</v>
      </c>
      <c r="E28" s="182">
        <f t="shared" si="7"/>
        <v>279.15531235135563</v>
      </c>
      <c r="F28" s="182">
        <f t="shared" si="7"/>
        <v>511.86903757729499</v>
      </c>
      <c r="G28" s="182">
        <f t="shared" si="7"/>
        <v>738.69728661275826</v>
      </c>
      <c r="H28" s="182">
        <f t="shared" si="7"/>
        <v>392.60610855663026</v>
      </c>
      <c r="I28" s="182">
        <f t="shared" si="7"/>
        <v>307.97595872311189</v>
      </c>
      <c r="J28" s="182">
        <f t="shared" si="7"/>
        <v>351.8966333703292</v>
      </c>
      <c r="K28" s="182">
        <f t="shared" si="7"/>
        <v>8957.4758828814556</v>
      </c>
    </row>
    <row r="29" spans="1:24" ht="15" x14ac:dyDescent="0.25">
      <c r="A29" s="182" t="s">
        <v>76</v>
      </c>
      <c r="B29" s="214">
        <f t="shared" si="6"/>
        <v>18223</v>
      </c>
      <c r="C29" s="182">
        <f t="shared" si="7"/>
        <v>5478.4442473796844</v>
      </c>
      <c r="D29" s="182">
        <f t="shared" si="7"/>
        <v>1170.8179103330956</v>
      </c>
      <c r="E29" s="182">
        <f t="shared" si="7"/>
        <v>355.08984360423642</v>
      </c>
      <c r="F29" s="182">
        <f t="shared" si="7"/>
        <v>567.92144377983857</v>
      </c>
      <c r="G29" s="182">
        <f t="shared" si="7"/>
        <v>912.13506557646929</v>
      </c>
      <c r="H29" s="182">
        <f t="shared" si="7"/>
        <v>451.70534379630141</v>
      </c>
      <c r="I29" s="182">
        <f t="shared" si="7"/>
        <v>494.74766229490194</v>
      </c>
      <c r="J29" s="182">
        <f t="shared" si="7"/>
        <v>678.53937551445972</v>
      </c>
      <c r="K29" s="182">
        <f t="shared" si="7"/>
        <v>10109.400892278989</v>
      </c>
      <c r="O29" s="247"/>
      <c r="P29" s="273"/>
      <c r="Q29" s="273"/>
      <c r="R29" s="273"/>
      <c r="S29" s="273"/>
      <c r="T29" s="273"/>
      <c r="U29" s="273"/>
    </row>
    <row r="30" spans="1:24" ht="15" x14ac:dyDescent="0.25">
      <c r="A30" s="182" t="s">
        <v>77</v>
      </c>
      <c r="B30" s="214">
        <f t="shared" si="6"/>
        <v>13498</v>
      </c>
      <c r="C30" s="182">
        <f t="shared" si="7"/>
        <v>5655.8488257519621</v>
      </c>
      <c r="D30" s="182">
        <f t="shared" si="7"/>
        <v>983.94423025633409</v>
      </c>
      <c r="E30" s="182">
        <f t="shared" si="7"/>
        <v>582.1737479626612</v>
      </c>
      <c r="F30" s="182">
        <f t="shared" si="7"/>
        <v>533.24943843532378</v>
      </c>
      <c r="G30" s="182">
        <f t="shared" si="7"/>
        <v>1064.7391391317231</v>
      </c>
      <c r="H30" s="182">
        <f t="shared" si="7"/>
        <v>483.6691583938362</v>
      </c>
      <c r="I30" s="182">
        <f t="shared" si="7"/>
        <v>563.27939472514436</v>
      </c>
      <c r="J30" s="182">
        <f t="shared" si="7"/>
        <v>522.36674988887239</v>
      </c>
      <c r="K30" s="182">
        <f t="shared" si="7"/>
        <v>10389.270684545856</v>
      </c>
      <c r="O30" s="247"/>
      <c r="P30" s="273"/>
      <c r="Q30" s="273"/>
      <c r="R30" s="273"/>
      <c r="S30" s="273"/>
      <c r="T30" s="273"/>
      <c r="U30" s="273"/>
    </row>
    <row r="31" spans="1:24" ht="15" x14ac:dyDescent="0.25">
      <c r="A31" s="182" t="s">
        <v>78</v>
      </c>
      <c r="B31" s="214">
        <f t="shared" si="6"/>
        <v>13549</v>
      </c>
      <c r="C31" s="182">
        <f t="shared" si="7"/>
        <v>5601.6935567200517</v>
      </c>
      <c r="D31" s="182">
        <f t="shared" si="7"/>
        <v>635.97807144438696</v>
      </c>
      <c r="E31" s="182">
        <f t="shared" si="7"/>
        <v>698.45963613550794</v>
      </c>
      <c r="F31" s="182">
        <f t="shared" si="7"/>
        <v>410.1535891947745</v>
      </c>
      <c r="G31" s="182">
        <f t="shared" si="7"/>
        <v>969.01234998892903</v>
      </c>
      <c r="H31" s="182">
        <f t="shared" si="7"/>
        <v>547.81487194626914</v>
      </c>
      <c r="I31" s="182">
        <f t="shared" si="7"/>
        <v>655.9040194848327</v>
      </c>
      <c r="J31" s="182">
        <f t="shared" si="7"/>
        <v>758.80131005978285</v>
      </c>
      <c r="K31" s="182">
        <f t="shared" si="7"/>
        <v>10277.817404974536</v>
      </c>
      <c r="O31" s="247"/>
      <c r="P31" s="273"/>
      <c r="Q31" s="273"/>
      <c r="R31" s="273"/>
      <c r="S31" s="273"/>
      <c r="T31" s="273"/>
      <c r="U31" s="273"/>
    </row>
    <row r="32" spans="1:24" ht="15" x14ac:dyDescent="0.25">
      <c r="A32" s="182" t="s">
        <v>79</v>
      </c>
      <c r="B32" s="214">
        <f t="shared" si="6"/>
        <v>4973</v>
      </c>
      <c r="C32" s="182">
        <f t="shared" si="7"/>
        <v>6816.7309008646698</v>
      </c>
      <c r="D32" s="182">
        <f t="shared" si="7"/>
        <v>630.93041021516194</v>
      </c>
      <c r="E32" s="182">
        <f t="shared" si="7"/>
        <v>1088.6251156243716</v>
      </c>
      <c r="F32" s="182">
        <f t="shared" si="7"/>
        <v>486.44380052282315</v>
      </c>
      <c r="G32" s="182">
        <f t="shared" si="7"/>
        <v>1265.6451297003819</v>
      </c>
      <c r="H32" s="182">
        <f t="shared" si="7"/>
        <v>1007.6040941081844</v>
      </c>
      <c r="I32" s="182">
        <f t="shared" si="7"/>
        <v>854.93264025738995</v>
      </c>
      <c r="J32" s="182">
        <f t="shared" si="7"/>
        <v>519.30011864065955</v>
      </c>
      <c r="K32" s="182">
        <f t="shared" si="7"/>
        <v>12670.212209933643</v>
      </c>
      <c r="O32" s="247"/>
      <c r="P32" s="273"/>
      <c r="Q32" s="273"/>
      <c r="R32" s="273"/>
      <c r="S32" s="273"/>
      <c r="T32" s="273"/>
      <c r="U32" s="273"/>
    </row>
    <row r="33" spans="1:21" ht="15" x14ac:dyDescent="0.25">
      <c r="A33" s="182" t="s">
        <v>80</v>
      </c>
      <c r="B33" s="220">
        <f t="shared" si="6"/>
        <v>1854</v>
      </c>
      <c r="C33" s="183">
        <f t="shared" si="7"/>
        <v>6571.8158198489737</v>
      </c>
      <c r="D33" s="183">
        <f t="shared" si="7"/>
        <v>295.37482740021574</v>
      </c>
      <c r="E33" s="183">
        <f t="shared" si="7"/>
        <v>1194.7677669902907</v>
      </c>
      <c r="F33" s="183">
        <f t="shared" si="7"/>
        <v>128.09618122977346</v>
      </c>
      <c r="G33" s="183">
        <f t="shared" si="7"/>
        <v>1337.1382470334415</v>
      </c>
      <c r="H33" s="183">
        <f t="shared" si="7"/>
        <v>965.78025350593305</v>
      </c>
      <c r="I33" s="183">
        <f t="shared" si="7"/>
        <v>453.88339805825251</v>
      </c>
      <c r="J33" s="183">
        <f t="shared" si="7"/>
        <v>238.1237378640777</v>
      </c>
      <c r="K33" s="183">
        <f t="shared" si="7"/>
        <v>11184.980231930958</v>
      </c>
      <c r="O33" s="247"/>
      <c r="P33" s="273"/>
      <c r="Q33" s="273"/>
      <c r="R33" s="273"/>
      <c r="S33" s="273"/>
      <c r="T33" s="273"/>
      <c r="U33" s="273"/>
    </row>
    <row r="34" spans="1:21" ht="15" x14ac:dyDescent="0.25">
      <c r="A34" s="182" t="s">
        <v>219</v>
      </c>
      <c r="B34" s="214">
        <f>SUM(B28:B33)</f>
        <v>89939</v>
      </c>
      <c r="C34" s="182">
        <f t="shared" si="7"/>
        <v>5538.022722289551</v>
      </c>
      <c r="D34" s="182">
        <f t="shared" si="7"/>
        <v>981.17153403973816</v>
      </c>
      <c r="E34" s="182">
        <f t="shared" si="7"/>
        <v>466.81684864185723</v>
      </c>
      <c r="F34" s="182">
        <f t="shared" si="7"/>
        <v>501.7948590711481</v>
      </c>
      <c r="G34" s="182">
        <f t="shared" si="7"/>
        <v>898.93955669954084</v>
      </c>
      <c r="H34" s="182">
        <f t="shared" si="7"/>
        <v>487.44936668186222</v>
      </c>
      <c r="I34" s="182">
        <f t="shared" si="7"/>
        <v>469.79932565405437</v>
      </c>
      <c r="J34" s="182">
        <f t="shared" si="7"/>
        <v>511.8731771534039</v>
      </c>
      <c r="K34" s="182">
        <f t="shared" si="7"/>
        <v>9855.8673902311566</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21890</v>
      </c>
      <c r="C36" s="182">
        <f t="shared" ref="C36:K41" si="8">C12/$B36</f>
        <v>5278.4888885335758</v>
      </c>
      <c r="D36" s="182">
        <f t="shared" si="8"/>
        <v>990.95393924166285</v>
      </c>
      <c r="E36" s="182">
        <f t="shared" si="8"/>
        <v>379.88412928277751</v>
      </c>
      <c r="F36" s="182">
        <f t="shared" si="8"/>
        <v>548.8486761078118</v>
      </c>
      <c r="G36" s="182">
        <f t="shared" si="8"/>
        <v>1008.1162279579717</v>
      </c>
      <c r="H36" s="182">
        <f t="shared" si="8"/>
        <v>385.77038921882138</v>
      </c>
      <c r="I36" s="182">
        <f t="shared" si="8"/>
        <v>854.673012334399</v>
      </c>
      <c r="J36" s="182">
        <f t="shared" si="8"/>
        <v>611.15510415714937</v>
      </c>
      <c r="K36" s="182">
        <f t="shared" si="8"/>
        <v>10057.89036683417</v>
      </c>
      <c r="O36" s="247"/>
      <c r="P36" s="273"/>
      <c r="Q36" s="273"/>
      <c r="R36" s="273"/>
      <c r="S36" s="273"/>
      <c r="T36" s="273"/>
      <c r="U36" s="273"/>
    </row>
    <row r="37" spans="1:21" ht="15" x14ac:dyDescent="0.25">
      <c r="A37" s="182" t="s">
        <v>82</v>
      </c>
      <c r="B37" s="214">
        <f>B13</f>
        <v>6282</v>
      </c>
      <c r="C37" s="182">
        <f t="shared" si="8"/>
        <v>4780.0060920089145</v>
      </c>
      <c r="D37" s="182">
        <f t="shared" si="8"/>
        <v>825.11072269977706</v>
      </c>
      <c r="E37" s="182">
        <f t="shared" si="8"/>
        <v>447.81264883794972</v>
      </c>
      <c r="F37" s="182">
        <f t="shared" si="8"/>
        <v>637.96599808978033</v>
      </c>
      <c r="G37" s="182">
        <f t="shared" si="8"/>
        <v>1237.2949092645654</v>
      </c>
      <c r="H37" s="182">
        <f t="shared" si="8"/>
        <v>625.01098535498249</v>
      </c>
      <c r="I37" s="182">
        <f t="shared" si="8"/>
        <v>1163.0886612543775</v>
      </c>
      <c r="J37" s="182">
        <f t="shared" si="8"/>
        <v>647.73093919134033</v>
      </c>
      <c r="K37" s="182">
        <f t="shared" si="8"/>
        <v>10364.020956701686</v>
      </c>
      <c r="O37" s="247"/>
      <c r="P37" s="273"/>
      <c r="Q37" s="273"/>
      <c r="R37" s="273"/>
      <c r="S37" s="273"/>
      <c r="T37" s="273"/>
      <c r="U37" s="273"/>
    </row>
    <row r="38" spans="1:21" ht="15" x14ac:dyDescent="0.25">
      <c r="A38" s="182" t="s">
        <v>83</v>
      </c>
      <c r="B38" s="214">
        <f>B14</f>
        <v>5828</v>
      </c>
      <c r="C38" s="182">
        <f t="shared" si="8"/>
        <v>5457.7002041866845</v>
      </c>
      <c r="D38" s="182">
        <f t="shared" si="8"/>
        <v>957.93622512010984</v>
      </c>
      <c r="E38" s="182">
        <f t="shared" si="8"/>
        <v>653.19303534660264</v>
      </c>
      <c r="F38" s="182">
        <f t="shared" si="8"/>
        <v>693.7102796842828</v>
      </c>
      <c r="G38" s="182">
        <f t="shared" si="8"/>
        <v>1578.4527865477007</v>
      </c>
      <c r="H38" s="182">
        <f t="shared" si="8"/>
        <v>747.37494680851057</v>
      </c>
      <c r="I38" s="182">
        <f t="shared" si="8"/>
        <v>1078.0430301990393</v>
      </c>
      <c r="J38" s="182">
        <f t="shared" si="8"/>
        <v>951.14883321894297</v>
      </c>
      <c r="K38" s="182">
        <f t="shared" si="8"/>
        <v>12117.559341111873</v>
      </c>
      <c r="O38" s="247"/>
      <c r="P38" s="273"/>
      <c r="Q38" s="273"/>
      <c r="R38" s="273"/>
      <c r="S38" s="273"/>
      <c r="T38" s="273"/>
      <c r="U38" s="273"/>
    </row>
    <row r="39" spans="1:21" ht="15" x14ac:dyDescent="0.25">
      <c r="A39" s="182" t="s">
        <v>84</v>
      </c>
      <c r="B39" s="214">
        <f>B15</f>
        <v>5163</v>
      </c>
      <c r="C39" s="182">
        <f t="shared" si="8"/>
        <v>5961.3374336625993</v>
      </c>
      <c r="D39" s="182">
        <f t="shared" si="8"/>
        <v>719.83807669959333</v>
      </c>
      <c r="E39" s="182">
        <f t="shared" si="8"/>
        <v>1093.6856536897153</v>
      </c>
      <c r="F39" s="182">
        <f t="shared" si="8"/>
        <v>663.43340499709473</v>
      </c>
      <c r="G39" s="182">
        <f t="shared" si="8"/>
        <v>1684.896213441797</v>
      </c>
      <c r="H39" s="182">
        <f t="shared" si="8"/>
        <v>1317.9473716831301</v>
      </c>
      <c r="I39" s="182">
        <f t="shared" si="8"/>
        <v>1248.065479372458</v>
      </c>
      <c r="J39" s="182">
        <f t="shared" si="8"/>
        <v>1076.6519814061589</v>
      </c>
      <c r="K39" s="182">
        <f t="shared" si="8"/>
        <v>13765.855614952548</v>
      </c>
      <c r="O39" s="247"/>
      <c r="P39" s="273"/>
      <c r="Q39" s="273"/>
      <c r="R39" s="273"/>
      <c r="S39" s="273"/>
      <c r="T39" s="273"/>
      <c r="U39" s="273"/>
    </row>
    <row r="40" spans="1:21" ht="15" x14ac:dyDescent="0.25">
      <c r="A40" s="182" t="s">
        <v>85</v>
      </c>
      <c r="B40" s="220">
        <f>B16</f>
        <v>1384</v>
      </c>
      <c r="C40" s="183">
        <f t="shared" si="8"/>
        <v>9175.863511560694</v>
      </c>
      <c r="D40" s="183">
        <f t="shared" si="8"/>
        <v>745.0387138728322</v>
      </c>
      <c r="E40" s="183">
        <f t="shared" si="8"/>
        <v>2494.864465317919</v>
      </c>
      <c r="F40" s="183">
        <f t="shared" si="8"/>
        <v>595.96922687861263</v>
      </c>
      <c r="G40" s="183">
        <f t="shared" si="8"/>
        <v>3056.087579479768</v>
      </c>
      <c r="H40" s="183">
        <f t="shared" si="8"/>
        <v>1966.1834826589595</v>
      </c>
      <c r="I40" s="183">
        <f t="shared" si="8"/>
        <v>2172.6118786127163</v>
      </c>
      <c r="J40" s="183">
        <f t="shared" si="8"/>
        <v>1398.8400144508671</v>
      </c>
      <c r="K40" s="183">
        <f t="shared" si="8"/>
        <v>21605.458872832369</v>
      </c>
      <c r="O40" s="247"/>
      <c r="P40" s="273"/>
      <c r="Q40" s="273"/>
      <c r="R40" s="273"/>
      <c r="S40" s="273"/>
      <c r="T40" s="273"/>
      <c r="U40" s="273"/>
    </row>
    <row r="41" spans="1:21" ht="15" x14ac:dyDescent="0.25">
      <c r="A41" s="182" t="s">
        <v>220</v>
      </c>
      <c r="B41" s="214">
        <f>SUM(B36:B40)</f>
        <v>40547</v>
      </c>
      <c r="C41" s="182">
        <f t="shared" si="8"/>
        <v>5446.9967469849789</v>
      </c>
      <c r="D41" s="182">
        <f t="shared" si="8"/>
        <v>917.59777986040888</v>
      </c>
      <c r="E41" s="182">
        <f t="shared" si="8"/>
        <v>592.77438799417962</v>
      </c>
      <c r="F41" s="182">
        <f t="shared" si="8"/>
        <v>599.67621550299657</v>
      </c>
      <c r="G41" s="182">
        <f t="shared" si="8"/>
        <v>1281.6809640663921</v>
      </c>
      <c r="H41" s="182">
        <f t="shared" si="8"/>
        <v>647.4534303400992</v>
      </c>
      <c r="I41" s="182">
        <f t="shared" si="8"/>
        <v>1029.6398475842848</v>
      </c>
      <c r="J41" s="182">
        <f t="shared" si="8"/>
        <v>751.85032554812926</v>
      </c>
      <c r="K41" s="182">
        <f t="shared" si="8"/>
        <v>11267.669697881471</v>
      </c>
      <c r="O41" s="247"/>
      <c r="P41" s="273"/>
      <c r="Q41" s="273"/>
      <c r="R41" s="273"/>
      <c r="S41" s="273"/>
      <c r="T41" s="273"/>
      <c r="U41" s="273"/>
    </row>
    <row r="42" spans="1:21" x14ac:dyDescent="0.2">
      <c r="A42" s="182"/>
      <c r="B42" s="214"/>
      <c r="C42" s="182"/>
      <c r="D42" s="182"/>
      <c r="E42" s="182"/>
      <c r="F42" s="182"/>
      <c r="G42" s="182"/>
      <c r="H42" s="182"/>
      <c r="I42" s="182"/>
      <c r="J42" s="182"/>
      <c r="K42" s="182"/>
    </row>
    <row r="43" spans="1:21" x14ac:dyDescent="0.2">
      <c r="A43" s="182" t="s">
        <v>86</v>
      </c>
      <c r="B43" s="214">
        <f>B19</f>
        <v>10013</v>
      </c>
      <c r="C43" s="182">
        <f t="shared" ref="C43:K45" si="9">C19/$B43</f>
        <v>5161.9641246379715</v>
      </c>
      <c r="D43" s="182">
        <f t="shared" si="9"/>
        <v>589.66669729351827</v>
      </c>
      <c r="E43" s="182">
        <f t="shared" si="9"/>
        <v>407.94558873464496</v>
      </c>
      <c r="F43" s="182">
        <f t="shared" si="9"/>
        <v>535.09410466393683</v>
      </c>
      <c r="G43" s="182">
        <f t="shared" si="9"/>
        <v>928.19560770997714</v>
      </c>
      <c r="H43" s="182">
        <f t="shared" si="9"/>
        <v>505.63959252971131</v>
      </c>
      <c r="I43" s="182">
        <f t="shared" si="9"/>
        <v>659.6481244382303</v>
      </c>
      <c r="J43" s="182">
        <f t="shared" si="9"/>
        <v>847.39858483970829</v>
      </c>
      <c r="K43" s="182">
        <f t="shared" si="9"/>
        <v>9635.5524248476995</v>
      </c>
    </row>
    <row r="44" spans="1:21" x14ac:dyDescent="0.2">
      <c r="A44" s="182" t="s">
        <v>87</v>
      </c>
      <c r="B44" s="220">
        <f>B20</f>
        <v>7466</v>
      </c>
      <c r="C44" s="183">
        <f t="shared" si="9"/>
        <v>7277.3648138226663</v>
      </c>
      <c r="D44" s="183">
        <f t="shared" si="9"/>
        <v>709.54781676935431</v>
      </c>
      <c r="E44" s="183">
        <f t="shared" si="9"/>
        <v>1206.5308290918831</v>
      </c>
      <c r="F44" s="183">
        <f t="shared" si="9"/>
        <v>487.85162469863383</v>
      </c>
      <c r="G44" s="183">
        <f t="shared" si="9"/>
        <v>1849.0644642378782</v>
      </c>
      <c r="H44" s="183">
        <f t="shared" si="9"/>
        <v>1078.0730792927941</v>
      </c>
      <c r="I44" s="183">
        <f t="shared" si="9"/>
        <v>1206.4706509509776</v>
      </c>
      <c r="J44" s="183">
        <f t="shared" si="9"/>
        <v>1205.3187436378248</v>
      </c>
      <c r="K44" s="183">
        <f t="shared" si="9"/>
        <v>15020.22202250201</v>
      </c>
    </row>
    <row r="45" spans="1:21" x14ac:dyDescent="0.2">
      <c r="A45" s="182" t="s">
        <v>221</v>
      </c>
      <c r="B45" s="214">
        <f>SUM(B43:B44)</f>
        <v>17479</v>
      </c>
      <c r="C45" s="182">
        <f t="shared" si="9"/>
        <v>6065.5387882601999</v>
      </c>
      <c r="D45" s="182">
        <f t="shared" si="9"/>
        <v>640.87285542651159</v>
      </c>
      <c r="E45" s="182">
        <f t="shared" si="9"/>
        <v>749.05419932490418</v>
      </c>
      <c r="F45" s="182">
        <f t="shared" si="9"/>
        <v>514.91489787745297</v>
      </c>
      <c r="G45" s="182">
        <f t="shared" si="9"/>
        <v>1321.5365816122203</v>
      </c>
      <c r="H45" s="182">
        <f t="shared" si="9"/>
        <v>750.14948509640135</v>
      </c>
      <c r="I45" s="182">
        <f t="shared" si="9"/>
        <v>893.21852222667189</v>
      </c>
      <c r="J45" s="182">
        <f t="shared" si="9"/>
        <v>1000.2810097831683</v>
      </c>
      <c r="K45" s="182">
        <f t="shared" si="9"/>
        <v>11935.566339607531</v>
      </c>
    </row>
    <row r="46" spans="1:21" x14ac:dyDescent="0.2">
      <c r="A46" s="182"/>
      <c r="B46" s="214"/>
      <c r="C46" s="182"/>
      <c r="D46" s="182"/>
      <c r="E46" s="182"/>
      <c r="F46" s="182"/>
      <c r="G46" s="182"/>
      <c r="H46" s="182"/>
      <c r="I46" s="182"/>
      <c r="J46" s="182"/>
      <c r="K46" s="182"/>
    </row>
    <row r="47" spans="1:21" ht="13.5" thickBot="1" x14ac:dyDescent="0.25">
      <c r="A47" s="182" t="s">
        <v>222</v>
      </c>
      <c r="B47" s="222">
        <f>B45+B41+B34</f>
        <v>147965</v>
      </c>
      <c r="C47" s="192">
        <f t="shared" ref="C47:K47" si="10">C23/$B47</f>
        <v>5575.393878282026</v>
      </c>
      <c r="D47" s="192">
        <f t="shared" si="10"/>
        <v>923.55111289832064</v>
      </c>
      <c r="E47" s="192">
        <f t="shared" si="10"/>
        <v>534.67361882877697</v>
      </c>
      <c r="F47" s="192">
        <f t="shared" si="10"/>
        <v>530.16724793025367</v>
      </c>
      <c r="G47" s="192">
        <f t="shared" si="10"/>
        <v>1053.7436606629947</v>
      </c>
      <c r="H47" s="192">
        <f t="shared" si="10"/>
        <v>562.3280213564019</v>
      </c>
      <c r="I47" s="192">
        <f t="shared" si="10"/>
        <v>673.23120332511053</v>
      </c>
      <c r="J47" s="192">
        <f t="shared" si="10"/>
        <v>635.3296293042273</v>
      </c>
      <c r="K47" s="192">
        <f t="shared" si="10"/>
        <v>10488.418372588112</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1092</v>
      </c>
      <c r="B50" s="182"/>
      <c r="C50" s="182"/>
      <c r="D50" s="182"/>
      <c r="E50" s="182"/>
      <c r="F50" s="182"/>
      <c r="G50" s="182"/>
      <c r="H50" s="182"/>
      <c r="I50" s="182"/>
      <c r="J50" s="182"/>
      <c r="K50" s="182"/>
    </row>
    <row r="51" spans="1:11" ht="40.5" customHeight="1" x14ac:dyDescent="0.2">
      <c r="A51" s="21" t="s">
        <v>245</v>
      </c>
      <c r="B51" s="21" t="str">
        <f>B3</f>
        <v>ANB11</v>
      </c>
      <c r="C51" s="21" t="str">
        <f t="shared" ref="C51:K51" si="11">C3</f>
        <v>11/Pupil Instruction</v>
      </c>
      <c r="D51" s="21" t="str">
        <f t="shared" si="11"/>
        <v>11/Pupil Student Services</v>
      </c>
      <c r="E51" s="21" t="str">
        <f t="shared" si="11"/>
        <v>11/Pupil General Admin</v>
      </c>
      <c r="F51" s="21" t="str">
        <f t="shared" si="11"/>
        <v>11/Pupil Bldg Admin</v>
      </c>
      <c r="G51" s="21" t="str">
        <f t="shared" si="11"/>
        <v>11/Pupil Bldg OM</v>
      </c>
      <c r="H51" s="21" t="str">
        <f t="shared" si="11"/>
        <v>11/Pupil Transport</v>
      </c>
      <c r="I51" s="21" t="str">
        <f t="shared" si="11"/>
        <v>11/Pupil Other</v>
      </c>
      <c r="J51" s="21" t="str">
        <f t="shared" si="11"/>
        <v>11/Pupil Bonds/ Facilities</v>
      </c>
      <c r="K51" s="21" t="str">
        <f t="shared" si="11"/>
        <v>11/Pupil Total</v>
      </c>
    </row>
    <row r="52" spans="1:11" x14ac:dyDescent="0.2">
      <c r="A52" s="182" t="s">
        <v>102</v>
      </c>
      <c r="B52" s="214">
        <f t="shared" ref="B52:B57" si="12">B4</f>
        <v>37842</v>
      </c>
      <c r="C52" s="191">
        <f t="shared" ref="C52:K58" si="13">C28/$K28</f>
        <v>0.58980883183954136</v>
      </c>
      <c r="D52" s="191">
        <f t="shared" si="13"/>
        <v>0.12191795693961691</v>
      </c>
      <c r="E52" s="191">
        <f t="shared" si="13"/>
        <v>3.116450616237177E-2</v>
      </c>
      <c r="F52" s="191">
        <f t="shared" si="13"/>
        <v>5.7144338904168625E-2</v>
      </c>
      <c r="G52" s="191">
        <f t="shared" si="13"/>
        <v>8.2467125367814323E-2</v>
      </c>
      <c r="H52" s="191">
        <f t="shared" si="13"/>
        <v>4.3829993369776853E-2</v>
      </c>
      <c r="I52" s="191">
        <f t="shared" si="13"/>
        <v>3.4382002558520051E-2</v>
      </c>
      <c r="J52" s="191">
        <f t="shared" si="13"/>
        <v>3.9285244858189954E-2</v>
      </c>
      <c r="K52" s="191">
        <f t="shared" si="13"/>
        <v>1</v>
      </c>
    </row>
    <row r="53" spans="1:11" x14ac:dyDescent="0.2">
      <c r="A53" s="182" t="s">
        <v>76</v>
      </c>
      <c r="B53" s="214">
        <f t="shared" si="12"/>
        <v>18223</v>
      </c>
      <c r="C53" s="191">
        <f t="shared" si="13"/>
        <v>0.5419158173422346</v>
      </c>
      <c r="D53" s="191">
        <f t="shared" si="13"/>
        <v>0.11581476714681507</v>
      </c>
      <c r="E53" s="191">
        <f t="shared" si="13"/>
        <v>3.5124716824261541E-2</v>
      </c>
      <c r="F53" s="191">
        <f t="shared" si="13"/>
        <v>5.6177556892969403E-2</v>
      </c>
      <c r="G53" s="191">
        <f t="shared" si="13"/>
        <v>9.0226421456202063E-2</v>
      </c>
      <c r="H53" s="191">
        <f t="shared" si="13"/>
        <v>4.4681712458479059E-2</v>
      </c>
      <c r="I53" s="191">
        <f t="shared" si="13"/>
        <v>4.8939365207364895E-2</v>
      </c>
      <c r="J53" s="191">
        <f t="shared" si="13"/>
        <v>6.7119642671673183E-2</v>
      </c>
      <c r="K53" s="191">
        <f t="shared" si="13"/>
        <v>1</v>
      </c>
    </row>
    <row r="54" spans="1:11" x14ac:dyDescent="0.2">
      <c r="A54" s="182" t="s">
        <v>77</v>
      </c>
      <c r="B54" s="214">
        <f t="shared" si="12"/>
        <v>13498</v>
      </c>
      <c r="C54" s="191">
        <f t="shared" si="13"/>
        <v>0.54439324929372512</v>
      </c>
      <c r="D54" s="191">
        <f t="shared" si="13"/>
        <v>9.4707728784077308E-2</v>
      </c>
      <c r="E54" s="191">
        <f t="shared" si="13"/>
        <v>5.6036055430594416E-2</v>
      </c>
      <c r="F54" s="191">
        <f t="shared" si="13"/>
        <v>5.1326936666356925E-2</v>
      </c>
      <c r="G54" s="191">
        <f t="shared" si="13"/>
        <v>0.10248449303718048</v>
      </c>
      <c r="H54" s="191">
        <f t="shared" si="13"/>
        <v>4.6554678675693656E-2</v>
      </c>
      <c r="I54" s="191">
        <f t="shared" si="13"/>
        <v>5.4217414468084667E-2</v>
      </c>
      <c r="J54" s="191">
        <f t="shared" si="13"/>
        <v>5.0279443644287575E-2</v>
      </c>
      <c r="K54" s="191">
        <f t="shared" si="13"/>
        <v>1</v>
      </c>
    </row>
    <row r="55" spans="1:11" x14ac:dyDescent="0.2">
      <c r="A55" s="182" t="s">
        <v>78</v>
      </c>
      <c r="B55" s="214">
        <f t="shared" si="12"/>
        <v>13549</v>
      </c>
      <c r="C55" s="191">
        <f t="shared" si="13"/>
        <v>0.5450275419379208</v>
      </c>
      <c r="D55" s="191">
        <f t="shared" si="13"/>
        <v>6.187870891115161E-2</v>
      </c>
      <c r="E55" s="191">
        <f t="shared" si="13"/>
        <v>6.7957972847177514E-2</v>
      </c>
      <c r="F55" s="191">
        <f t="shared" si="13"/>
        <v>3.9906681840471039E-2</v>
      </c>
      <c r="G55" s="191">
        <f t="shared" si="13"/>
        <v>9.4281919186452984E-2</v>
      </c>
      <c r="H55" s="191">
        <f t="shared" si="13"/>
        <v>5.3300700952434013E-2</v>
      </c>
      <c r="I55" s="191">
        <f t="shared" si="13"/>
        <v>6.3817442326555687E-2</v>
      </c>
      <c r="J55" s="191">
        <f t="shared" si="13"/>
        <v>7.3829031997836206E-2</v>
      </c>
      <c r="K55" s="191">
        <f t="shared" si="13"/>
        <v>1</v>
      </c>
    </row>
    <row r="56" spans="1:11" x14ac:dyDescent="0.2">
      <c r="A56" s="182" t="s">
        <v>79</v>
      </c>
      <c r="B56" s="214">
        <f t="shared" si="12"/>
        <v>4973</v>
      </c>
      <c r="C56" s="191">
        <f t="shared" si="13"/>
        <v>0.53801237011012704</v>
      </c>
      <c r="D56" s="191">
        <f t="shared" si="13"/>
        <v>4.9796356979759399E-2</v>
      </c>
      <c r="E56" s="191">
        <f t="shared" si="13"/>
        <v>8.5920038085145298E-2</v>
      </c>
      <c r="F56" s="191">
        <f t="shared" si="13"/>
        <v>3.8392711381853864E-2</v>
      </c>
      <c r="G56" s="191">
        <f t="shared" si="13"/>
        <v>9.9891391614427449E-2</v>
      </c>
      <c r="H56" s="191">
        <f t="shared" si="13"/>
        <v>7.9525431572346289E-2</v>
      </c>
      <c r="I56" s="191">
        <f t="shared" si="13"/>
        <v>6.7475794887406029E-2</v>
      </c>
      <c r="J56" s="191">
        <f t="shared" si="13"/>
        <v>4.098590536893456E-2</v>
      </c>
      <c r="K56" s="191">
        <f t="shared" si="13"/>
        <v>1</v>
      </c>
    </row>
    <row r="57" spans="1:11" x14ac:dyDescent="0.2">
      <c r="A57" s="182" t="s">
        <v>80</v>
      </c>
      <c r="B57" s="220">
        <f t="shared" si="12"/>
        <v>1854</v>
      </c>
      <c r="C57" s="193">
        <f t="shared" si="13"/>
        <v>0.58755721365404912</v>
      </c>
      <c r="D57" s="193">
        <f t="shared" si="13"/>
        <v>2.6408167138014034E-2</v>
      </c>
      <c r="E57" s="193">
        <f t="shared" si="13"/>
        <v>0.10681894310188046</v>
      </c>
      <c r="F57" s="193">
        <f t="shared" si="13"/>
        <v>1.1452517445143409E-2</v>
      </c>
      <c r="G57" s="193">
        <f t="shared" si="13"/>
        <v>0.11954766296467562</v>
      </c>
      <c r="H57" s="193">
        <f t="shared" si="13"/>
        <v>8.63461743766714E-2</v>
      </c>
      <c r="I57" s="193">
        <f t="shared" si="13"/>
        <v>4.0579722864641551E-2</v>
      </c>
      <c r="J57" s="193">
        <f t="shared" si="13"/>
        <v>2.1289598454924438E-2</v>
      </c>
      <c r="K57" s="193">
        <f t="shared" si="13"/>
        <v>1</v>
      </c>
    </row>
    <row r="58" spans="1:11" x14ac:dyDescent="0.2">
      <c r="A58" s="182" t="s">
        <v>219</v>
      </c>
      <c r="B58" s="214">
        <f>SUM(B52:B57)</f>
        <v>89939</v>
      </c>
      <c r="C58" s="191">
        <f t="shared" si="13"/>
        <v>0.56190109941806587</v>
      </c>
      <c r="D58" s="191">
        <f t="shared" si="13"/>
        <v>9.9552022687749056E-2</v>
      </c>
      <c r="E58" s="191">
        <f t="shared" si="13"/>
        <v>4.7364359742152397E-2</v>
      </c>
      <c r="F58" s="191">
        <f t="shared" si="13"/>
        <v>5.091331277128508E-2</v>
      </c>
      <c r="G58" s="191">
        <f t="shared" si="13"/>
        <v>9.1208568572111987E-2</v>
      </c>
      <c r="H58" s="191">
        <f t="shared" si="13"/>
        <v>4.9457784625329633E-2</v>
      </c>
      <c r="I58" s="191">
        <f t="shared" si="13"/>
        <v>4.7666969030012066E-2</v>
      </c>
      <c r="J58" s="191">
        <f t="shared" si="13"/>
        <v>5.1935883153293783E-2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21890</v>
      </c>
      <c r="C60" s="191">
        <f t="shared" ref="C60:K65" si="14">C36/$K36</f>
        <v>0.52481074022633611</v>
      </c>
      <c r="D60" s="191">
        <f t="shared" si="14"/>
        <v>9.8525028917527999E-2</v>
      </c>
      <c r="E60" s="191">
        <f t="shared" si="14"/>
        <v>3.7769762388288011E-2</v>
      </c>
      <c r="F60" s="191">
        <f t="shared" si="14"/>
        <v>5.456896586560904E-2</v>
      </c>
      <c r="G60" s="191">
        <f t="shared" si="14"/>
        <v>0.10023137966210376</v>
      </c>
      <c r="H60" s="191">
        <f t="shared" si="14"/>
        <v>3.8355000417472911E-2</v>
      </c>
      <c r="I60" s="191">
        <f t="shared" si="14"/>
        <v>8.4975375666519276E-2</v>
      </c>
      <c r="J60" s="191">
        <f t="shared" si="14"/>
        <v>6.0763746856142858E-2</v>
      </c>
      <c r="K60" s="191">
        <f t="shared" si="14"/>
        <v>1</v>
      </c>
    </row>
    <row r="61" spans="1:11" x14ac:dyDescent="0.2">
      <c r="A61" s="182" t="s">
        <v>82</v>
      </c>
      <c r="B61" s="214">
        <f>B37</f>
        <v>6282</v>
      </c>
      <c r="C61" s="191">
        <f t="shared" si="14"/>
        <v>0.46121154250638785</v>
      </c>
      <c r="D61" s="191">
        <f t="shared" si="14"/>
        <v>7.9612992500390084E-2</v>
      </c>
      <c r="E61" s="191">
        <f t="shared" si="14"/>
        <v>4.3208388974588154E-2</v>
      </c>
      <c r="F61" s="191">
        <f t="shared" si="14"/>
        <v>6.1555838294330388E-2</v>
      </c>
      <c r="G61" s="191">
        <f t="shared" si="14"/>
        <v>0.11938367496878646</v>
      </c>
      <c r="H61" s="191">
        <f t="shared" si="14"/>
        <v>6.0305839593158259E-2</v>
      </c>
      <c r="I61" s="191">
        <f t="shared" si="14"/>
        <v>0.11222368867387224</v>
      </c>
      <c r="J61" s="191">
        <f t="shared" si="14"/>
        <v>6.2498034488486641E-2</v>
      </c>
      <c r="K61" s="191">
        <f t="shared" si="14"/>
        <v>1</v>
      </c>
    </row>
    <row r="62" spans="1:11" x14ac:dyDescent="0.2">
      <c r="A62" s="182" t="s">
        <v>83</v>
      </c>
      <c r="B62" s="214">
        <f>B38</f>
        <v>5828</v>
      </c>
      <c r="C62" s="191">
        <f t="shared" si="14"/>
        <v>0.45039599564163563</v>
      </c>
      <c r="D62" s="191">
        <f t="shared" si="14"/>
        <v>7.9053561707766493E-2</v>
      </c>
      <c r="E62" s="191">
        <f t="shared" si="14"/>
        <v>5.3904669823277095E-2</v>
      </c>
      <c r="F62" s="191">
        <f t="shared" si="14"/>
        <v>5.7248350113763904E-2</v>
      </c>
      <c r="G62" s="191">
        <f t="shared" si="14"/>
        <v>0.13026160979401205</v>
      </c>
      <c r="H62" s="191">
        <f t="shared" si="14"/>
        <v>6.167701975040904E-2</v>
      </c>
      <c r="I62" s="191">
        <f t="shared" si="14"/>
        <v>8.8965360090419096E-2</v>
      </c>
      <c r="J62" s="191">
        <f t="shared" si="14"/>
        <v>7.8493433078716673E-2</v>
      </c>
      <c r="K62" s="191">
        <f t="shared" si="14"/>
        <v>1</v>
      </c>
    </row>
    <row r="63" spans="1:11" x14ac:dyDescent="0.2">
      <c r="A63" s="182" t="s">
        <v>84</v>
      </c>
      <c r="B63" s="214">
        <f>B39</f>
        <v>5163</v>
      </c>
      <c r="C63" s="191">
        <f t="shared" si="14"/>
        <v>0.43305244515185543</v>
      </c>
      <c r="D63" s="191">
        <f t="shared" si="14"/>
        <v>5.22915608614768E-2</v>
      </c>
      <c r="E63" s="191">
        <f t="shared" si="14"/>
        <v>7.9449159157368165E-2</v>
      </c>
      <c r="F63" s="191">
        <f t="shared" si="14"/>
        <v>4.8194127815525664E-2</v>
      </c>
      <c r="G63" s="191">
        <f t="shared" si="14"/>
        <v>0.12239676635948829</v>
      </c>
      <c r="H63" s="191">
        <f t="shared" si="14"/>
        <v>9.5740316370278383E-2</v>
      </c>
      <c r="I63" s="191">
        <f t="shared" si="14"/>
        <v>9.0663850782860336E-2</v>
      </c>
      <c r="J63" s="191">
        <f t="shared" si="14"/>
        <v>7.8211773501146817E-2</v>
      </c>
      <c r="K63" s="191">
        <f t="shared" si="14"/>
        <v>1</v>
      </c>
    </row>
    <row r="64" spans="1:11" x14ac:dyDescent="0.2">
      <c r="A64" s="182" t="s">
        <v>85</v>
      </c>
      <c r="B64" s="220">
        <f>B40</f>
        <v>1384</v>
      </c>
      <c r="C64" s="193">
        <f t="shared" si="14"/>
        <v>0.42470116305184419</v>
      </c>
      <c r="D64" s="193">
        <f t="shared" si="14"/>
        <v>3.4483818106250723E-2</v>
      </c>
      <c r="E64" s="193">
        <f t="shared" si="14"/>
        <v>0.11547380132041854</v>
      </c>
      <c r="F64" s="193">
        <f t="shared" si="14"/>
        <v>2.7584196678553767E-2</v>
      </c>
      <c r="G64" s="193">
        <f t="shared" si="14"/>
        <v>0.14144978810529332</v>
      </c>
      <c r="H64" s="193">
        <f t="shared" si="14"/>
        <v>9.1004014042549361E-2</v>
      </c>
      <c r="I64" s="193">
        <f t="shared" si="14"/>
        <v>0.10055846957014422</v>
      </c>
      <c r="J64" s="193">
        <f t="shared" si="14"/>
        <v>6.474474912494585E-2</v>
      </c>
      <c r="K64" s="193">
        <f t="shared" si="14"/>
        <v>1</v>
      </c>
    </row>
    <row r="65" spans="1:11" x14ac:dyDescent="0.2">
      <c r="A65" s="182" t="s">
        <v>220</v>
      </c>
      <c r="B65" s="214">
        <f>SUM(B60:B64)</f>
        <v>40547</v>
      </c>
      <c r="C65" s="191">
        <f t="shared" si="14"/>
        <v>0.48341821273027863</v>
      </c>
      <c r="D65" s="191">
        <f t="shared" si="14"/>
        <v>8.1436339941073549E-2</v>
      </c>
      <c r="E65" s="191">
        <f t="shared" si="14"/>
        <v>5.2608427819430321E-2</v>
      </c>
      <c r="F65" s="191">
        <f t="shared" si="14"/>
        <v>5.3220961528162893E-2</v>
      </c>
      <c r="G65" s="191">
        <f t="shared" si="14"/>
        <v>0.11374853882230607</v>
      </c>
      <c r="H65" s="191">
        <f t="shared" si="14"/>
        <v>5.7461165236484736E-2</v>
      </c>
      <c r="I65" s="191">
        <f t="shared" si="14"/>
        <v>9.1380016914932818E-2</v>
      </c>
      <c r="J65" s="191">
        <f t="shared" si="14"/>
        <v>6.6726337007330896E-2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10013</v>
      </c>
      <c r="C67" s="191">
        <f t="shared" ref="C67:K69" si="15">C43/$K43</f>
        <v>0.53572062057662062</v>
      </c>
      <c r="D67" s="191">
        <f t="shared" si="15"/>
        <v>6.1196978781716149E-2</v>
      </c>
      <c r="E67" s="191">
        <f t="shared" si="15"/>
        <v>4.2337540262108321E-2</v>
      </c>
      <c r="F67" s="191">
        <f t="shared" si="15"/>
        <v>5.553330842599765E-2</v>
      </c>
      <c r="G67" s="191">
        <f t="shared" si="15"/>
        <v>9.6330295014159323E-2</v>
      </c>
      <c r="H67" s="191">
        <f t="shared" si="15"/>
        <v>5.2476450776791195E-2</v>
      </c>
      <c r="I67" s="191">
        <f t="shared" si="15"/>
        <v>6.8459813755686841E-2</v>
      </c>
      <c r="J67" s="191">
        <f t="shared" si="15"/>
        <v>8.7944992406919761E-2</v>
      </c>
      <c r="K67" s="191">
        <f t="shared" si="15"/>
        <v>1</v>
      </c>
    </row>
    <row r="68" spans="1:11" x14ac:dyDescent="0.2">
      <c r="A68" s="182" t="s">
        <v>87</v>
      </c>
      <c r="B68" s="220">
        <f>B44</f>
        <v>7466</v>
      </c>
      <c r="C68" s="193">
        <f t="shared" si="15"/>
        <v>0.48450447689257464</v>
      </c>
      <c r="D68" s="193">
        <f t="shared" si="15"/>
        <v>4.7239502565699129E-2</v>
      </c>
      <c r="E68" s="193">
        <f t="shared" si="15"/>
        <v>8.0327096848792384E-2</v>
      </c>
      <c r="F68" s="193">
        <f t="shared" si="15"/>
        <v>3.2479654692705362E-2</v>
      </c>
      <c r="G68" s="193">
        <f t="shared" si="15"/>
        <v>0.1231050021409649</v>
      </c>
      <c r="H68" s="193">
        <f t="shared" si="15"/>
        <v>7.1774776543097524E-2</v>
      </c>
      <c r="I68" s="193">
        <f t="shared" si="15"/>
        <v>8.0323090374000247E-2</v>
      </c>
      <c r="J68" s="193">
        <f t="shared" si="15"/>
        <v>8.0246399942165939E-2</v>
      </c>
      <c r="K68" s="193">
        <f t="shared" si="15"/>
        <v>1</v>
      </c>
    </row>
    <row r="69" spans="1:11" x14ac:dyDescent="0.2">
      <c r="A69" s="182" t="s">
        <v>221</v>
      </c>
      <c r="B69" s="214">
        <f>SUM(B67:B68)</f>
        <v>17479</v>
      </c>
      <c r="C69" s="191">
        <f t="shared" si="15"/>
        <v>0.50819027900938707</v>
      </c>
      <c r="D69" s="191">
        <f t="shared" si="15"/>
        <v>5.3694381748757888E-2</v>
      </c>
      <c r="E69" s="191">
        <f t="shared" si="15"/>
        <v>6.275816144887976E-2</v>
      </c>
      <c r="F69" s="191">
        <f t="shared" si="15"/>
        <v>4.3141220385055024E-2</v>
      </c>
      <c r="G69" s="191">
        <f t="shared" si="15"/>
        <v>0.11072257017471997</v>
      </c>
      <c r="H69" s="191">
        <f t="shared" si="15"/>
        <v>6.2849928001076152E-2</v>
      </c>
      <c r="I69" s="191">
        <f t="shared" si="15"/>
        <v>7.483671045106377E-2</v>
      </c>
      <c r="J69" s="191">
        <f t="shared" si="15"/>
        <v>8.3806748781060342E-2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147965</v>
      </c>
      <c r="C71" s="195">
        <f t="shared" ref="C71:K71" si="16">C47/$K47</f>
        <v>0.53157622819981454</v>
      </c>
      <c r="D71" s="195">
        <f t="shared" si="16"/>
        <v>8.8054373890352935E-2</v>
      </c>
      <c r="E71" s="195">
        <f t="shared" si="16"/>
        <v>5.0977525860921719E-2</v>
      </c>
      <c r="F71" s="195">
        <f t="shared" si="16"/>
        <v>5.054787376863859E-2</v>
      </c>
      <c r="G71" s="195">
        <f t="shared" si="16"/>
        <v>0.10046735582335221</v>
      </c>
      <c r="H71" s="195">
        <f t="shared" si="16"/>
        <v>5.3614186751557123E-2</v>
      </c>
      <c r="I71" s="195">
        <f t="shared" si="16"/>
        <v>6.418805766602774E-2</v>
      </c>
      <c r="J71" s="195">
        <f t="shared" si="16"/>
        <v>6.0574398039335071E-2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37"/>
  <dimension ref="A1:W75"/>
  <sheetViews>
    <sheetView topLeftCell="A22" zoomScaleNormal="100" workbookViewId="0">
      <selection activeCell="I47" sqref="I47"/>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4" max="14" width="4" bestFit="1" customWidth="1"/>
    <col min="15" max="15" width="6.85546875" bestFit="1" customWidth="1"/>
    <col min="16" max="16" width="10.7109375" bestFit="1" customWidth="1"/>
    <col min="17" max="23" width="9.85546875" bestFit="1" customWidth="1"/>
  </cols>
  <sheetData>
    <row r="1" spans="1:23" x14ac:dyDescent="0.2">
      <c r="A1" s="36" t="s">
        <v>247</v>
      </c>
      <c r="B1" s="22"/>
      <c r="C1" s="22"/>
      <c r="D1" s="22"/>
      <c r="E1" s="22"/>
      <c r="F1" s="22"/>
      <c r="G1" s="22"/>
      <c r="H1" s="22"/>
      <c r="I1" s="22"/>
      <c r="J1" s="22"/>
      <c r="K1" s="22"/>
    </row>
    <row r="2" spans="1:23" x14ac:dyDescent="0.2">
      <c r="A2" s="22" t="s">
        <v>1053</v>
      </c>
      <c r="B2" s="22"/>
      <c r="C2" s="22"/>
      <c r="D2" s="22"/>
      <c r="E2" s="22"/>
      <c r="F2" s="22"/>
      <c r="G2" s="22"/>
      <c r="H2" s="22"/>
      <c r="I2" s="22"/>
      <c r="J2" s="22"/>
      <c r="K2" s="22"/>
    </row>
    <row r="3" spans="1:23" ht="33.75" x14ac:dyDescent="0.2">
      <c r="A3" s="21" t="s">
        <v>245</v>
      </c>
      <c r="B3" s="21" t="s">
        <v>1026</v>
      </c>
      <c r="C3" s="12" t="s">
        <v>1054</v>
      </c>
      <c r="D3" s="12" t="s">
        <v>1055</v>
      </c>
      <c r="E3" s="12" t="s">
        <v>1056</v>
      </c>
      <c r="F3" s="12" t="s">
        <v>1057</v>
      </c>
      <c r="G3" s="12" t="s">
        <v>1058</v>
      </c>
      <c r="H3" s="12" t="s">
        <v>1059</v>
      </c>
      <c r="I3" s="12" t="s">
        <v>1048</v>
      </c>
      <c r="J3" s="12" t="s">
        <v>1060</v>
      </c>
      <c r="K3" s="12" t="s">
        <v>1061</v>
      </c>
    </row>
    <row r="4" spans="1:23" x14ac:dyDescent="0.2">
      <c r="A4" s="33" t="s">
        <v>102</v>
      </c>
      <c r="B4" s="214">
        <v>37450</v>
      </c>
      <c r="C4" s="214">
        <v>176937469.38</v>
      </c>
      <c r="D4" s="214">
        <v>35274380.280000001</v>
      </c>
      <c r="E4" s="214">
        <v>10689280.73</v>
      </c>
      <c r="F4" s="214">
        <v>18254753.710000001</v>
      </c>
      <c r="G4" s="214">
        <v>28698263.420000002</v>
      </c>
      <c r="H4" s="214">
        <v>13435036.630000001</v>
      </c>
      <c r="I4" s="214">
        <v>8026925.0399999991</v>
      </c>
      <c r="J4" s="214">
        <v>10798433.210000001</v>
      </c>
      <c r="K4" s="214">
        <f t="shared" ref="K4:K9" si="0">SUM(C4:J4)</f>
        <v>302114542.39999998</v>
      </c>
      <c r="N4" s="214"/>
      <c r="O4" s="214"/>
      <c r="P4" s="214"/>
      <c r="Q4" s="214"/>
      <c r="R4" s="214"/>
      <c r="S4" s="214"/>
      <c r="T4" s="214"/>
      <c r="U4" s="214"/>
      <c r="V4" s="214"/>
      <c r="W4" s="214"/>
    </row>
    <row r="5" spans="1:23" x14ac:dyDescent="0.2">
      <c r="A5" s="33" t="s">
        <v>76</v>
      </c>
      <c r="B5" s="214">
        <v>18051</v>
      </c>
      <c r="C5" s="214">
        <v>91384100.290000021</v>
      </c>
      <c r="D5" s="214">
        <v>19557305.330000002</v>
      </c>
      <c r="E5" s="214">
        <v>6088731.459999999</v>
      </c>
      <c r="F5" s="214">
        <v>9936213.3900000006</v>
      </c>
      <c r="G5" s="214">
        <v>16543577.039999999</v>
      </c>
      <c r="H5" s="214">
        <v>8588090.8100000005</v>
      </c>
      <c r="I5" s="214">
        <v>14631746.409999998</v>
      </c>
      <c r="J5" s="214">
        <v>8065102.3600000003</v>
      </c>
      <c r="K5" s="214">
        <f t="shared" si="0"/>
        <v>174794867.09000003</v>
      </c>
      <c r="N5" s="214"/>
      <c r="O5" s="214"/>
      <c r="P5" s="214"/>
      <c r="Q5" s="214"/>
      <c r="R5" s="214"/>
      <c r="S5" s="214"/>
      <c r="T5" s="214"/>
      <c r="U5" s="214"/>
      <c r="V5" s="214"/>
      <c r="W5" s="214"/>
    </row>
    <row r="6" spans="1:23" x14ac:dyDescent="0.2">
      <c r="A6" s="33" t="s">
        <v>77</v>
      </c>
      <c r="B6" s="214">
        <v>13477</v>
      </c>
      <c r="C6" s="214">
        <v>70349592</v>
      </c>
      <c r="D6" s="214">
        <v>12403199.899999999</v>
      </c>
      <c r="E6" s="214">
        <v>7614471.8300000001</v>
      </c>
      <c r="F6" s="214">
        <v>7415984.7300000023</v>
      </c>
      <c r="G6" s="214">
        <v>13688647.469999999</v>
      </c>
      <c r="H6" s="214">
        <v>5887914.8399999999</v>
      </c>
      <c r="I6" s="214">
        <v>6045499.7400000002</v>
      </c>
      <c r="J6" s="214">
        <v>7138663.9599999981</v>
      </c>
      <c r="K6" s="214">
        <f t="shared" si="0"/>
        <v>130543974.47</v>
      </c>
      <c r="N6" s="214"/>
      <c r="O6" s="214"/>
      <c r="P6" s="214"/>
      <c r="Q6" s="214"/>
      <c r="R6" s="214"/>
      <c r="S6" s="214"/>
      <c r="T6" s="214"/>
      <c r="U6" s="214"/>
      <c r="V6" s="214"/>
      <c r="W6" s="214"/>
    </row>
    <row r="7" spans="1:23" x14ac:dyDescent="0.2">
      <c r="A7" s="33" t="s">
        <v>78</v>
      </c>
      <c r="B7" s="214">
        <v>13204</v>
      </c>
      <c r="C7" s="214">
        <v>68882118.160000026</v>
      </c>
      <c r="D7" s="214">
        <v>7737172.1399999997</v>
      </c>
      <c r="E7" s="214">
        <v>8582346.0599999987</v>
      </c>
      <c r="F7" s="214">
        <v>5328126.79</v>
      </c>
      <c r="G7" s="214">
        <v>13196222.960000001</v>
      </c>
      <c r="H7" s="214">
        <v>7019544.7599999988</v>
      </c>
      <c r="I7" s="214">
        <v>8447715.879999999</v>
      </c>
      <c r="J7" s="214">
        <v>8676029.5700000003</v>
      </c>
      <c r="K7" s="214">
        <f t="shared" si="0"/>
        <v>127869276.32000005</v>
      </c>
      <c r="N7" s="214"/>
      <c r="O7" s="214"/>
      <c r="P7" s="214"/>
      <c r="Q7" s="214"/>
      <c r="R7" s="214"/>
      <c r="S7" s="214"/>
      <c r="T7" s="214"/>
      <c r="U7" s="214"/>
      <c r="V7" s="214"/>
      <c r="W7" s="214"/>
    </row>
    <row r="8" spans="1:23" x14ac:dyDescent="0.2">
      <c r="A8" s="33" t="s">
        <v>79</v>
      </c>
      <c r="B8" s="214">
        <v>5654</v>
      </c>
      <c r="C8" s="214">
        <v>34558215.510000013</v>
      </c>
      <c r="D8" s="214">
        <v>2506774.91</v>
      </c>
      <c r="E8" s="214">
        <v>5695611.9099999992</v>
      </c>
      <c r="F8" s="214">
        <v>2427030.3200000003</v>
      </c>
      <c r="G8" s="214">
        <v>8621807.6100000013</v>
      </c>
      <c r="H8" s="214">
        <v>5153669.3600000013</v>
      </c>
      <c r="I8" s="214">
        <v>6355162.1199999992</v>
      </c>
      <c r="J8" s="214">
        <v>4555167.3</v>
      </c>
      <c r="K8" s="214">
        <f t="shared" si="0"/>
        <v>69873439.040000007</v>
      </c>
      <c r="N8" s="214"/>
      <c r="O8" s="214"/>
      <c r="P8" s="214"/>
      <c r="Q8" s="214"/>
      <c r="R8" s="214"/>
      <c r="S8" s="214"/>
      <c r="T8" s="214"/>
      <c r="U8" s="214"/>
      <c r="V8" s="214"/>
      <c r="W8" s="214"/>
    </row>
    <row r="9" spans="1:23" x14ac:dyDescent="0.2">
      <c r="A9" s="33" t="s">
        <v>80</v>
      </c>
      <c r="B9" s="233">
        <v>1790</v>
      </c>
      <c r="C9" s="234">
        <v>11026651.430000003</v>
      </c>
      <c r="D9" s="220">
        <v>644585.14999999991</v>
      </c>
      <c r="E9" s="220">
        <v>1875603.39</v>
      </c>
      <c r="F9" s="220">
        <v>288626.91000000003</v>
      </c>
      <c r="G9" s="220">
        <v>2605195.1400000006</v>
      </c>
      <c r="H9" s="220">
        <v>1833624.6199999996</v>
      </c>
      <c r="I9" s="220">
        <v>454622.71</v>
      </c>
      <c r="J9" s="220">
        <v>791530.76</v>
      </c>
      <c r="K9" s="220">
        <f t="shared" si="0"/>
        <v>19520440.110000007</v>
      </c>
      <c r="N9" s="214"/>
      <c r="O9" s="214"/>
      <c r="P9" s="214"/>
      <c r="Q9" s="214"/>
      <c r="R9" s="214"/>
      <c r="S9" s="214"/>
      <c r="T9" s="214"/>
      <c r="U9" s="214"/>
      <c r="V9" s="214"/>
      <c r="W9" s="214"/>
    </row>
    <row r="10" spans="1:23" x14ac:dyDescent="0.2">
      <c r="A10" s="182" t="s">
        <v>103</v>
      </c>
      <c r="B10" s="214">
        <f t="shared" ref="B10:K10" si="1">SUM(B4:B9)</f>
        <v>89626</v>
      </c>
      <c r="C10" s="214">
        <f t="shared" si="1"/>
        <v>453138146.77000004</v>
      </c>
      <c r="D10" s="214">
        <f t="shared" si="1"/>
        <v>78123417.709999993</v>
      </c>
      <c r="E10" s="214">
        <f t="shared" si="1"/>
        <v>40546045.379999995</v>
      </c>
      <c r="F10" s="214">
        <f t="shared" si="1"/>
        <v>43650735.850000001</v>
      </c>
      <c r="G10" s="214">
        <f t="shared" si="1"/>
        <v>83353713.640000001</v>
      </c>
      <c r="H10" s="214">
        <f t="shared" si="1"/>
        <v>41917881.019999996</v>
      </c>
      <c r="I10" s="214">
        <f t="shared" si="1"/>
        <v>43961671.899999991</v>
      </c>
      <c r="J10" s="214">
        <f t="shared" si="1"/>
        <v>40024927.159999989</v>
      </c>
      <c r="K10" s="214">
        <f t="shared" si="1"/>
        <v>824716539.43000007</v>
      </c>
      <c r="N10" s="214"/>
      <c r="O10" s="214"/>
      <c r="P10" s="214"/>
      <c r="Q10" s="214"/>
      <c r="R10" s="214"/>
      <c r="S10" s="214"/>
      <c r="T10" s="214"/>
      <c r="U10" s="214"/>
      <c r="V10" s="214"/>
      <c r="W10" s="214"/>
    </row>
    <row r="11" spans="1:23" x14ac:dyDescent="0.2">
      <c r="A11" s="33"/>
      <c r="B11" s="214"/>
      <c r="C11" s="214"/>
      <c r="D11" s="214"/>
      <c r="E11" s="214"/>
      <c r="F11" s="214"/>
      <c r="G11" s="214"/>
      <c r="H11" s="214"/>
      <c r="I11" s="214"/>
      <c r="J11" s="214"/>
      <c r="K11" s="182"/>
      <c r="N11" s="214"/>
      <c r="O11" s="214"/>
      <c r="P11" s="214"/>
      <c r="Q11" s="214"/>
      <c r="R11" s="214"/>
      <c r="S11" s="214"/>
      <c r="T11" s="214"/>
      <c r="U11" s="214"/>
      <c r="V11" s="214"/>
      <c r="W11" s="214"/>
    </row>
    <row r="12" spans="1:23" x14ac:dyDescent="0.2">
      <c r="A12" s="33" t="s">
        <v>81</v>
      </c>
      <c r="B12" s="214">
        <v>22224</v>
      </c>
      <c r="C12" s="214">
        <v>114446599.67999999</v>
      </c>
      <c r="D12" s="214">
        <v>20075808.279999997</v>
      </c>
      <c r="E12" s="214">
        <v>8502294.2599999998</v>
      </c>
      <c r="F12" s="214">
        <v>11975350.119999999</v>
      </c>
      <c r="G12" s="214">
        <v>22140128.979999997</v>
      </c>
      <c r="H12" s="214">
        <v>7800784.6899999995</v>
      </c>
      <c r="I12" s="214">
        <v>13106269.01</v>
      </c>
      <c r="J12" s="214">
        <v>17362749.079999998</v>
      </c>
      <c r="K12" s="214">
        <f>SUM(C12:J12)</f>
        <v>215409984.09999996</v>
      </c>
      <c r="N12" s="214"/>
      <c r="O12" s="214"/>
      <c r="P12" s="214"/>
      <c r="Q12" s="214"/>
      <c r="R12" s="214"/>
      <c r="S12" s="214"/>
      <c r="T12" s="214"/>
      <c r="U12" s="214"/>
      <c r="V12" s="214"/>
      <c r="W12" s="214"/>
    </row>
    <row r="13" spans="1:23" x14ac:dyDescent="0.2">
      <c r="A13" s="33" t="s">
        <v>82</v>
      </c>
      <c r="B13" s="214">
        <v>6925</v>
      </c>
      <c r="C13" s="214">
        <v>31299864.530000001</v>
      </c>
      <c r="D13" s="214">
        <v>5810902.6799999997</v>
      </c>
      <c r="E13" s="214">
        <v>3143816.64</v>
      </c>
      <c r="F13" s="214">
        <v>4406392.4000000004</v>
      </c>
      <c r="G13" s="214">
        <v>8122215.9799999986</v>
      </c>
      <c r="H13" s="214">
        <v>4816902.9399999995</v>
      </c>
      <c r="I13" s="214">
        <v>3674073.56</v>
      </c>
      <c r="J13" s="214">
        <v>6916786.1100000003</v>
      </c>
      <c r="K13" s="214">
        <f>SUM(C13:J13)</f>
        <v>68190954.840000004</v>
      </c>
      <c r="N13" s="214"/>
      <c r="O13" s="214"/>
      <c r="P13" s="214"/>
      <c r="Q13" s="214"/>
      <c r="R13" s="214"/>
      <c r="S13" s="214"/>
      <c r="T13" s="214"/>
      <c r="U13" s="214"/>
      <c r="V13" s="214"/>
      <c r="W13" s="214"/>
    </row>
    <row r="14" spans="1:23" x14ac:dyDescent="0.2">
      <c r="A14" s="33" t="s">
        <v>83</v>
      </c>
      <c r="B14" s="214">
        <v>5426</v>
      </c>
      <c r="C14" s="214">
        <v>28129149.199999996</v>
      </c>
      <c r="D14" s="214">
        <v>4394820.7600000007</v>
      </c>
      <c r="E14" s="214">
        <v>3187960.5899999994</v>
      </c>
      <c r="F14" s="214">
        <v>3349846.1300000004</v>
      </c>
      <c r="G14" s="214">
        <v>8830710.9399999995</v>
      </c>
      <c r="H14" s="214">
        <v>4011796.8600000003</v>
      </c>
      <c r="I14" s="214">
        <v>7269567.7599999988</v>
      </c>
      <c r="J14" s="214">
        <v>5720875.3899999997</v>
      </c>
      <c r="K14" s="214">
        <f>SUM(C14:J14)</f>
        <v>64894727.629999995</v>
      </c>
      <c r="N14" s="214"/>
      <c r="O14" s="214"/>
      <c r="P14" s="214"/>
      <c r="Q14" s="214"/>
      <c r="R14" s="214"/>
      <c r="S14" s="214"/>
      <c r="T14" s="214"/>
      <c r="U14" s="214"/>
      <c r="V14" s="214"/>
      <c r="W14" s="214"/>
    </row>
    <row r="15" spans="1:23" x14ac:dyDescent="0.2">
      <c r="A15" s="33" t="s">
        <v>84</v>
      </c>
      <c r="B15" s="214">
        <v>5335</v>
      </c>
      <c r="C15" s="214">
        <v>29364854.52</v>
      </c>
      <c r="D15" s="214">
        <v>4092399.3499999996</v>
      </c>
      <c r="E15" s="214">
        <v>5094949.2699999986</v>
      </c>
      <c r="F15" s="214">
        <v>3439523.02</v>
      </c>
      <c r="G15" s="214">
        <v>9239325.8400000054</v>
      </c>
      <c r="H15" s="214">
        <v>6535678.6799999997</v>
      </c>
      <c r="I15" s="214">
        <v>4825581.0699999994</v>
      </c>
      <c r="J15" s="214">
        <v>6548052.8600000013</v>
      </c>
      <c r="K15" s="214">
        <f>SUM(C15:J15)</f>
        <v>69140364.609999999</v>
      </c>
      <c r="N15" s="214"/>
      <c r="O15" s="214"/>
      <c r="P15" s="214"/>
      <c r="Q15" s="214"/>
      <c r="R15" s="214"/>
      <c r="S15" s="214"/>
      <c r="T15" s="214"/>
      <c r="U15" s="214"/>
      <c r="V15" s="214"/>
      <c r="W15" s="214"/>
    </row>
    <row r="16" spans="1:23" x14ac:dyDescent="0.2">
      <c r="A16" s="33" t="s">
        <v>85</v>
      </c>
      <c r="B16" s="233">
        <v>1736</v>
      </c>
      <c r="C16" s="234">
        <v>13808131.850000001</v>
      </c>
      <c r="D16" s="220">
        <v>1098198.1100000001</v>
      </c>
      <c r="E16" s="220">
        <v>3740272.2100000009</v>
      </c>
      <c r="F16" s="220">
        <v>955439.65000000014</v>
      </c>
      <c r="G16" s="220">
        <v>5216559.0100000016</v>
      </c>
      <c r="H16" s="220">
        <v>3185062.5900000003</v>
      </c>
      <c r="I16" s="220">
        <v>5008643.04</v>
      </c>
      <c r="J16" s="220">
        <v>3286712.17</v>
      </c>
      <c r="K16" s="220">
        <f>SUM(C16:J16)</f>
        <v>36299018.630000003</v>
      </c>
      <c r="N16" s="214"/>
      <c r="O16" s="214"/>
      <c r="P16" s="214"/>
      <c r="Q16" s="214"/>
      <c r="R16" s="214"/>
      <c r="S16" s="214"/>
      <c r="T16" s="214"/>
      <c r="U16" s="214"/>
      <c r="V16" s="214"/>
      <c r="W16" s="214"/>
    </row>
    <row r="17" spans="1:11" x14ac:dyDescent="0.2">
      <c r="A17" s="182" t="s">
        <v>104</v>
      </c>
      <c r="B17" s="214">
        <f t="shared" ref="B17:K17" si="2">SUM(B12:B16)</f>
        <v>41646</v>
      </c>
      <c r="C17" s="214">
        <f t="shared" si="2"/>
        <v>217048599.77999997</v>
      </c>
      <c r="D17" s="214">
        <f t="shared" si="2"/>
        <v>35472129.18</v>
      </c>
      <c r="E17" s="214">
        <f t="shared" si="2"/>
        <v>23669292.969999999</v>
      </c>
      <c r="F17" s="214">
        <f t="shared" si="2"/>
        <v>24126551.319999997</v>
      </c>
      <c r="G17" s="214">
        <f t="shared" si="2"/>
        <v>53548940.75</v>
      </c>
      <c r="H17" s="214">
        <f t="shared" si="2"/>
        <v>26350225.759999998</v>
      </c>
      <c r="I17" s="214">
        <f t="shared" si="2"/>
        <v>33884134.439999998</v>
      </c>
      <c r="J17" s="214">
        <f t="shared" si="2"/>
        <v>39835175.609999999</v>
      </c>
      <c r="K17" s="214">
        <f t="shared" si="2"/>
        <v>453935049.80999994</v>
      </c>
    </row>
    <row r="18" spans="1:11" x14ac:dyDescent="0.2">
      <c r="A18" s="33"/>
      <c r="B18" s="214"/>
      <c r="C18" s="214"/>
      <c r="D18" s="214"/>
      <c r="E18" s="214"/>
      <c r="F18" s="214"/>
      <c r="G18" s="214"/>
      <c r="H18" s="214"/>
      <c r="I18" s="214"/>
      <c r="J18" s="214"/>
      <c r="K18" s="182"/>
    </row>
    <row r="19" spans="1:11" x14ac:dyDescent="0.2">
      <c r="A19" s="33" t="s">
        <v>86</v>
      </c>
      <c r="B19" s="214">
        <v>10113</v>
      </c>
      <c r="C19" s="214">
        <v>47586118.379999995</v>
      </c>
      <c r="D19" s="214">
        <v>5478339.580000001</v>
      </c>
      <c r="E19" s="214">
        <v>4128498.4600000004</v>
      </c>
      <c r="F19" s="214">
        <v>5088679.66</v>
      </c>
      <c r="G19" s="214">
        <v>10051727.309999999</v>
      </c>
      <c r="H19" s="214">
        <v>4775724.5500000007</v>
      </c>
      <c r="I19" s="214">
        <v>6461281.2800000003</v>
      </c>
      <c r="J19" s="214">
        <v>6585555.2300000004</v>
      </c>
      <c r="K19" s="214">
        <f>SUM(C19:J19)</f>
        <v>90155924.450000003</v>
      </c>
    </row>
    <row r="20" spans="1:11" x14ac:dyDescent="0.2">
      <c r="A20" s="33" t="s">
        <v>87</v>
      </c>
      <c r="B20" s="233">
        <v>7480</v>
      </c>
      <c r="C20" s="234">
        <v>48834145.489999995</v>
      </c>
      <c r="D20" s="234">
        <v>4277701.49</v>
      </c>
      <c r="E20" s="234">
        <v>8821653.0399999991</v>
      </c>
      <c r="F20" s="234">
        <v>3530665.6200000006</v>
      </c>
      <c r="G20" s="234">
        <v>12843776.879999999</v>
      </c>
      <c r="H20" s="234">
        <v>7186266.04</v>
      </c>
      <c r="I20" s="234">
        <v>6477194.040000001</v>
      </c>
      <c r="J20" s="220">
        <v>8413164.7200000007</v>
      </c>
      <c r="K20" s="220">
        <f>SUM(C20:J20)</f>
        <v>100384567.32000001</v>
      </c>
    </row>
    <row r="21" spans="1:11" x14ac:dyDescent="0.2">
      <c r="A21" s="182" t="s">
        <v>105</v>
      </c>
      <c r="B21" s="214">
        <f t="shared" ref="B21:K21" si="3">SUM(B19:B20)</f>
        <v>17593</v>
      </c>
      <c r="C21" s="214">
        <f t="shared" si="3"/>
        <v>96420263.86999999</v>
      </c>
      <c r="D21" s="214">
        <f t="shared" si="3"/>
        <v>9756041.0700000003</v>
      </c>
      <c r="E21" s="214">
        <f t="shared" si="3"/>
        <v>12950151.5</v>
      </c>
      <c r="F21" s="214">
        <f t="shared" si="3"/>
        <v>8619345.2800000012</v>
      </c>
      <c r="G21" s="214">
        <f t="shared" si="3"/>
        <v>22895504.189999998</v>
      </c>
      <c r="H21" s="214">
        <f t="shared" si="3"/>
        <v>11961990.59</v>
      </c>
      <c r="I21" s="214">
        <f t="shared" si="3"/>
        <v>12938475.32</v>
      </c>
      <c r="J21" s="214">
        <f t="shared" si="3"/>
        <v>14998719.950000001</v>
      </c>
      <c r="K21" s="214">
        <f t="shared" si="3"/>
        <v>190540491.77000001</v>
      </c>
    </row>
    <row r="22" spans="1:11" x14ac:dyDescent="0.2">
      <c r="A22" s="33"/>
      <c r="B22" s="214"/>
      <c r="C22" s="214"/>
      <c r="D22" s="214"/>
      <c r="E22" s="214"/>
      <c r="F22" s="214"/>
      <c r="G22" s="214"/>
      <c r="H22" s="214"/>
      <c r="I22" s="214"/>
      <c r="J22" s="214"/>
      <c r="K22" s="214"/>
    </row>
    <row r="23" spans="1:11" ht="13.5" thickBot="1" x14ac:dyDescent="0.25">
      <c r="A23" s="182" t="s">
        <v>209</v>
      </c>
      <c r="B23" s="222">
        <f t="shared" ref="B23:K23" si="4">B21+B17+B10</f>
        <v>148865</v>
      </c>
      <c r="C23" s="222">
        <f t="shared" si="4"/>
        <v>766607010.42000008</v>
      </c>
      <c r="D23" s="222">
        <f t="shared" si="4"/>
        <v>123351587.95999999</v>
      </c>
      <c r="E23" s="222">
        <f t="shared" si="4"/>
        <v>77165489.849999994</v>
      </c>
      <c r="F23" s="222">
        <f t="shared" si="4"/>
        <v>76396632.450000003</v>
      </c>
      <c r="G23" s="222">
        <f t="shared" si="4"/>
        <v>159798158.57999998</v>
      </c>
      <c r="H23" s="222">
        <f t="shared" si="4"/>
        <v>80230097.36999999</v>
      </c>
      <c r="I23" s="222">
        <f t="shared" si="4"/>
        <v>90784281.659999996</v>
      </c>
      <c r="J23" s="222">
        <f t="shared" si="4"/>
        <v>94858822.719999999</v>
      </c>
      <c r="K23" s="222">
        <f t="shared" si="4"/>
        <v>1469192081.01</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1051</v>
      </c>
      <c r="B26" s="22"/>
      <c r="C26" s="22"/>
      <c r="D26" s="22"/>
      <c r="E26" s="22"/>
      <c r="F26" s="22"/>
      <c r="G26" s="22"/>
      <c r="H26" s="22"/>
      <c r="I26" s="22"/>
      <c r="J26" s="22"/>
      <c r="K26" s="22"/>
    </row>
    <row r="27" spans="1:11" ht="33.75" customHeight="1" x14ac:dyDescent="0.2">
      <c r="A27" s="21" t="s">
        <v>245</v>
      </c>
      <c r="B27" s="21" t="str">
        <f>B3</f>
        <v>ANB10</v>
      </c>
      <c r="C27" s="21" t="str">
        <f t="shared" ref="C27:K27" si="5">C3</f>
        <v>10/Pupil Instruction</v>
      </c>
      <c r="D27" s="21" t="str">
        <f t="shared" si="5"/>
        <v>10/Pupil Student Services</v>
      </c>
      <c r="E27" s="21" t="str">
        <f t="shared" si="5"/>
        <v>10/Pupil General Admin</v>
      </c>
      <c r="F27" s="21" t="str">
        <f t="shared" si="5"/>
        <v>10/Pupil Bldg Admin</v>
      </c>
      <c r="G27" s="21" t="str">
        <f t="shared" si="5"/>
        <v>10/Pupil Bldg OM</v>
      </c>
      <c r="H27" s="21" t="str">
        <f t="shared" si="5"/>
        <v>10/Pupil Transport</v>
      </c>
      <c r="I27" s="21" t="str">
        <f t="shared" si="5"/>
        <v>10/Pupil Other</v>
      </c>
      <c r="J27" s="21" t="str">
        <f t="shared" si="5"/>
        <v>10/Pupil Bonds/ Facilities</v>
      </c>
      <c r="K27" s="21" t="str">
        <f t="shared" si="5"/>
        <v>10/Pupil Total</v>
      </c>
    </row>
    <row r="28" spans="1:11" x14ac:dyDescent="0.2">
      <c r="A28" s="182" t="s">
        <v>102</v>
      </c>
      <c r="B28" s="214">
        <f t="shared" ref="B28:B33" si="6">B4</f>
        <v>37450</v>
      </c>
      <c r="C28" s="182">
        <f t="shared" ref="C28:K34" si="7">C4/$B28</f>
        <v>4724.632026168224</v>
      </c>
      <c r="D28" s="182">
        <f t="shared" si="7"/>
        <v>941.90601548731649</v>
      </c>
      <c r="E28" s="182">
        <f t="shared" si="7"/>
        <v>285.42805687583444</v>
      </c>
      <c r="F28" s="182">
        <f t="shared" si="7"/>
        <v>487.44335674232315</v>
      </c>
      <c r="G28" s="182">
        <f t="shared" si="7"/>
        <v>766.30876955941255</v>
      </c>
      <c r="H28" s="182">
        <f t="shared" si="7"/>
        <v>358.74597142857147</v>
      </c>
      <c r="I28" s="182">
        <f t="shared" si="7"/>
        <v>214.33711722296394</v>
      </c>
      <c r="J28" s="182">
        <f t="shared" si="7"/>
        <v>288.34267583444597</v>
      </c>
      <c r="K28" s="182">
        <f t="shared" si="7"/>
        <v>8067.1439893190918</v>
      </c>
    </row>
    <row r="29" spans="1:11" x14ac:dyDescent="0.2">
      <c r="A29" s="182" t="s">
        <v>76</v>
      </c>
      <c r="B29" s="214">
        <f t="shared" si="6"/>
        <v>18051</v>
      </c>
      <c r="C29" s="182">
        <f t="shared" si="7"/>
        <v>5062.5505672815925</v>
      </c>
      <c r="D29" s="182">
        <f t="shared" si="7"/>
        <v>1083.4471957232288</v>
      </c>
      <c r="E29" s="182">
        <f t="shared" si="7"/>
        <v>337.30715528225579</v>
      </c>
      <c r="F29" s="182">
        <f t="shared" si="7"/>
        <v>550.45224031909595</v>
      </c>
      <c r="G29" s="182">
        <f t="shared" si="7"/>
        <v>916.4908891474156</v>
      </c>
      <c r="H29" s="182">
        <f t="shared" si="7"/>
        <v>475.76814636308239</v>
      </c>
      <c r="I29" s="182">
        <f t="shared" si="7"/>
        <v>810.5781624286742</v>
      </c>
      <c r="J29" s="182">
        <f t="shared" si="7"/>
        <v>446.79532214281761</v>
      </c>
      <c r="K29" s="182">
        <f t="shared" si="7"/>
        <v>9683.3896786881633</v>
      </c>
    </row>
    <row r="30" spans="1:11" x14ac:dyDescent="0.2">
      <c r="A30" s="182" t="s">
        <v>77</v>
      </c>
      <c r="B30" s="214">
        <f t="shared" si="6"/>
        <v>13477</v>
      </c>
      <c r="C30" s="182">
        <f t="shared" si="7"/>
        <v>5219.974178229576</v>
      </c>
      <c r="D30" s="182">
        <f t="shared" si="7"/>
        <v>920.32350671514416</v>
      </c>
      <c r="E30" s="182">
        <f t="shared" si="7"/>
        <v>564.99753876975592</v>
      </c>
      <c r="F30" s="182">
        <f t="shared" si="7"/>
        <v>550.26969874601184</v>
      </c>
      <c r="G30" s="182">
        <f t="shared" si="7"/>
        <v>1015.704345922683</v>
      </c>
      <c r="H30" s="182">
        <f t="shared" si="7"/>
        <v>436.88616457668621</v>
      </c>
      <c r="I30" s="182">
        <f t="shared" si="7"/>
        <v>448.5790413296728</v>
      </c>
      <c r="J30" s="182">
        <f t="shared" si="7"/>
        <v>529.69236180158771</v>
      </c>
      <c r="K30" s="182">
        <f t="shared" si="7"/>
        <v>9686.4268360911174</v>
      </c>
    </row>
    <row r="31" spans="1:11" x14ac:dyDescent="0.2">
      <c r="A31" s="182" t="s">
        <v>78</v>
      </c>
      <c r="B31" s="214">
        <f t="shared" si="6"/>
        <v>13204</v>
      </c>
      <c r="C31" s="182">
        <f t="shared" si="7"/>
        <v>5216.7614480460488</v>
      </c>
      <c r="D31" s="182">
        <f t="shared" si="7"/>
        <v>585.97183732202359</v>
      </c>
      <c r="E31" s="182">
        <f t="shared" si="7"/>
        <v>649.98076794910628</v>
      </c>
      <c r="F31" s="182">
        <f t="shared" si="7"/>
        <v>403.52368903362617</v>
      </c>
      <c r="G31" s="182">
        <f t="shared" si="7"/>
        <v>999.41100878521672</v>
      </c>
      <c r="H31" s="182">
        <f t="shared" si="7"/>
        <v>531.6225961829748</v>
      </c>
      <c r="I31" s="182">
        <f t="shared" si="7"/>
        <v>639.78460163586783</v>
      </c>
      <c r="J31" s="182">
        <f t="shared" si="7"/>
        <v>657.07585352923354</v>
      </c>
      <c r="K31" s="182">
        <f t="shared" si="7"/>
        <v>9684.1318024841003</v>
      </c>
    </row>
    <row r="32" spans="1:11" x14ac:dyDescent="0.2">
      <c r="A32" s="182" t="s">
        <v>79</v>
      </c>
      <c r="B32" s="214">
        <f t="shared" si="6"/>
        <v>5654</v>
      </c>
      <c r="C32" s="182">
        <f t="shared" si="7"/>
        <v>6112.1711195613743</v>
      </c>
      <c r="D32" s="182">
        <f t="shared" si="7"/>
        <v>443.36308984789531</v>
      </c>
      <c r="E32" s="182">
        <f t="shared" si="7"/>
        <v>1007.3597293951184</v>
      </c>
      <c r="F32" s="182">
        <f t="shared" si="7"/>
        <v>429.25898832684828</v>
      </c>
      <c r="G32" s="182">
        <f t="shared" si="7"/>
        <v>1524.9040696851789</v>
      </c>
      <c r="H32" s="182">
        <f t="shared" si="7"/>
        <v>911.50855323664689</v>
      </c>
      <c r="I32" s="182">
        <f t="shared" si="7"/>
        <v>1124.0116943756632</v>
      </c>
      <c r="J32" s="182">
        <f t="shared" si="7"/>
        <v>805.65392642377071</v>
      </c>
      <c r="K32" s="182">
        <f t="shared" si="7"/>
        <v>12358.231170852496</v>
      </c>
    </row>
    <row r="33" spans="1:11" x14ac:dyDescent="0.2">
      <c r="A33" s="182" t="s">
        <v>80</v>
      </c>
      <c r="B33" s="220">
        <f t="shared" si="6"/>
        <v>1790</v>
      </c>
      <c r="C33" s="183">
        <f t="shared" si="7"/>
        <v>6160.140463687153</v>
      </c>
      <c r="D33" s="183">
        <f t="shared" si="7"/>
        <v>360.10343575418989</v>
      </c>
      <c r="E33" s="183">
        <f t="shared" si="7"/>
        <v>1047.823122905028</v>
      </c>
      <c r="F33" s="183">
        <f t="shared" si="7"/>
        <v>161.24408379888271</v>
      </c>
      <c r="G33" s="183">
        <f t="shared" si="7"/>
        <v>1455.4162793296093</v>
      </c>
      <c r="H33" s="183">
        <f t="shared" si="7"/>
        <v>1024.3712960893852</v>
      </c>
      <c r="I33" s="183">
        <f t="shared" si="7"/>
        <v>253.97916759776538</v>
      </c>
      <c r="J33" s="183">
        <f t="shared" si="7"/>
        <v>442.19595530726258</v>
      </c>
      <c r="K33" s="183">
        <f t="shared" si="7"/>
        <v>10905.273804469278</v>
      </c>
    </row>
    <row r="34" spans="1:11" x14ac:dyDescent="0.2">
      <c r="A34" s="182" t="s">
        <v>219</v>
      </c>
      <c r="B34" s="214">
        <f>SUM(B28:B33)</f>
        <v>89626</v>
      </c>
      <c r="C34" s="182">
        <f t="shared" si="7"/>
        <v>5055.8782805212777</v>
      </c>
      <c r="D34" s="182">
        <f t="shared" si="7"/>
        <v>871.66020697119131</v>
      </c>
      <c r="E34" s="182">
        <f t="shared" si="7"/>
        <v>452.39155356704521</v>
      </c>
      <c r="F34" s="182">
        <f t="shared" si="7"/>
        <v>487.032064914199</v>
      </c>
      <c r="G34" s="182">
        <f t="shared" si="7"/>
        <v>930.0171115524513</v>
      </c>
      <c r="H34" s="182">
        <f t="shared" si="7"/>
        <v>467.69777765380576</v>
      </c>
      <c r="I34" s="182">
        <f t="shared" si="7"/>
        <v>490.50132662397061</v>
      </c>
      <c r="J34" s="182">
        <f t="shared" si="7"/>
        <v>446.57718920848851</v>
      </c>
      <c r="K34" s="182">
        <f t="shared" si="7"/>
        <v>9201.7555110124304</v>
      </c>
    </row>
    <row r="35" spans="1:11" x14ac:dyDescent="0.2">
      <c r="A35" s="182"/>
      <c r="B35" s="214"/>
      <c r="C35" s="182"/>
      <c r="D35" s="182"/>
      <c r="E35" s="182"/>
      <c r="F35" s="182"/>
      <c r="G35" s="182"/>
      <c r="H35" s="182"/>
      <c r="I35" s="182"/>
      <c r="J35" s="182"/>
      <c r="K35" s="182"/>
    </row>
    <row r="36" spans="1:11" x14ac:dyDescent="0.2">
      <c r="A36" s="182" t="s">
        <v>81</v>
      </c>
      <c r="B36" s="214">
        <f>B12</f>
        <v>22224</v>
      </c>
      <c r="C36" s="182">
        <f t="shared" ref="C36:K41" si="8">C12/$B36</f>
        <v>5149.6850107991359</v>
      </c>
      <c r="D36" s="182">
        <f t="shared" si="8"/>
        <v>903.33910547156211</v>
      </c>
      <c r="E36" s="182">
        <f t="shared" si="8"/>
        <v>382.57263588912883</v>
      </c>
      <c r="F36" s="182">
        <f t="shared" si="8"/>
        <v>538.8476475881929</v>
      </c>
      <c r="G36" s="182">
        <f t="shared" si="8"/>
        <v>996.22610601151894</v>
      </c>
      <c r="H36" s="182">
        <f t="shared" si="8"/>
        <v>351.00723047156225</v>
      </c>
      <c r="I36" s="182">
        <f t="shared" si="8"/>
        <v>589.73492665586753</v>
      </c>
      <c r="J36" s="182">
        <f t="shared" si="8"/>
        <v>781.26120770338366</v>
      </c>
      <c r="K36" s="182">
        <f t="shared" si="8"/>
        <v>9692.6738705903517</v>
      </c>
    </row>
    <row r="37" spans="1:11" x14ac:dyDescent="0.2">
      <c r="A37" s="182" t="s">
        <v>82</v>
      </c>
      <c r="B37" s="214">
        <f>B13</f>
        <v>6925</v>
      </c>
      <c r="C37" s="182">
        <f t="shared" si="8"/>
        <v>4519.8360332129969</v>
      </c>
      <c r="D37" s="182">
        <f t="shared" si="8"/>
        <v>839.11952057761732</v>
      </c>
      <c r="E37" s="182">
        <f t="shared" si="8"/>
        <v>453.98074223826717</v>
      </c>
      <c r="F37" s="182">
        <f t="shared" si="8"/>
        <v>636.30215162454874</v>
      </c>
      <c r="G37" s="182">
        <f t="shared" si="8"/>
        <v>1172.8831740072201</v>
      </c>
      <c r="H37" s="182">
        <f t="shared" si="8"/>
        <v>695.58165198555946</v>
      </c>
      <c r="I37" s="182">
        <f t="shared" si="8"/>
        <v>530.5521386281589</v>
      </c>
      <c r="J37" s="182">
        <f t="shared" si="8"/>
        <v>998.8138787003611</v>
      </c>
      <c r="K37" s="182">
        <f t="shared" si="8"/>
        <v>9847.0692909747304</v>
      </c>
    </row>
    <row r="38" spans="1:11" x14ac:dyDescent="0.2">
      <c r="A38" s="182" t="s">
        <v>83</v>
      </c>
      <c r="B38" s="214">
        <f>B14</f>
        <v>5426</v>
      </c>
      <c r="C38" s="182">
        <f t="shared" si="8"/>
        <v>5184.1410246959076</v>
      </c>
      <c r="D38" s="182">
        <f t="shared" si="8"/>
        <v>809.95590858827882</v>
      </c>
      <c r="E38" s="182">
        <f t="shared" si="8"/>
        <v>587.5342038333946</v>
      </c>
      <c r="F38" s="182">
        <f t="shared" si="8"/>
        <v>617.3693568005898</v>
      </c>
      <c r="G38" s="182">
        <f t="shared" si="8"/>
        <v>1627.4808219683007</v>
      </c>
      <c r="H38" s="182">
        <f t="shared" si="8"/>
        <v>739.36543678584599</v>
      </c>
      <c r="I38" s="182">
        <f t="shared" si="8"/>
        <v>1339.7655289347583</v>
      </c>
      <c r="J38" s="182">
        <f t="shared" si="8"/>
        <v>1054.3448931072612</v>
      </c>
      <c r="K38" s="182">
        <f t="shared" si="8"/>
        <v>11959.957174714338</v>
      </c>
    </row>
    <row r="39" spans="1:11" x14ac:dyDescent="0.2">
      <c r="A39" s="182" t="s">
        <v>84</v>
      </c>
      <c r="B39" s="214">
        <f>B15</f>
        <v>5335</v>
      </c>
      <c r="C39" s="182">
        <f t="shared" si="8"/>
        <v>5504.1901630740394</v>
      </c>
      <c r="D39" s="182">
        <f t="shared" si="8"/>
        <v>767.08516401124643</v>
      </c>
      <c r="E39" s="182">
        <f t="shared" si="8"/>
        <v>955.0045492033737</v>
      </c>
      <c r="F39" s="182">
        <f t="shared" si="8"/>
        <v>644.70909465791942</v>
      </c>
      <c r="G39" s="182">
        <f t="shared" si="8"/>
        <v>1731.8323973758211</v>
      </c>
      <c r="H39" s="182">
        <f t="shared" si="8"/>
        <v>1225.0569222118088</v>
      </c>
      <c r="I39" s="182">
        <f t="shared" si="8"/>
        <v>904.51379006560433</v>
      </c>
      <c r="J39" s="182">
        <f t="shared" si="8"/>
        <v>1227.3763561387068</v>
      </c>
      <c r="K39" s="182">
        <f t="shared" si="8"/>
        <v>12959.768436738519</v>
      </c>
    </row>
    <row r="40" spans="1:11" x14ac:dyDescent="0.2">
      <c r="A40" s="182" t="s">
        <v>85</v>
      </c>
      <c r="B40" s="220">
        <f>B16</f>
        <v>1736</v>
      </c>
      <c r="C40" s="183">
        <f t="shared" si="8"/>
        <v>7953.9930011520746</v>
      </c>
      <c r="D40" s="183">
        <f t="shared" si="8"/>
        <v>632.60259792626732</v>
      </c>
      <c r="E40" s="183">
        <f t="shared" si="8"/>
        <v>2154.5346831797242</v>
      </c>
      <c r="F40" s="183">
        <f t="shared" si="8"/>
        <v>550.36846198156695</v>
      </c>
      <c r="G40" s="183">
        <f t="shared" si="8"/>
        <v>3004.9303052995401</v>
      </c>
      <c r="H40" s="183">
        <f t="shared" si="8"/>
        <v>1834.7134735023044</v>
      </c>
      <c r="I40" s="183">
        <f t="shared" si="8"/>
        <v>2885.1630414746546</v>
      </c>
      <c r="J40" s="183">
        <f t="shared" si="8"/>
        <v>1893.2673790322581</v>
      </c>
      <c r="K40" s="183">
        <f t="shared" si="8"/>
        <v>20909.572943548388</v>
      </c>
    </row>
    <row r="41" spans="1:11" x14ac:dyDescent="0.2">
      <c r="A41" s="182" t="s">
        <v>220</v>
      </c>
      <c r="B41" s="214">
        <f>SUM(B36:B40)</f>
        <v>41646</v>
      </c>
      <c r="C41" s="182">
        <f t="shared" si="8"/>
        <v>5211.7514234260188</v>
      </c>
      <c r="D41" s="182">
        <f t="shared" si="8"/>
        <v>851.75357009076504</v>
      </c>
      <c r="E41" s="182">
        <f t="shared" si="8"/>
        <v>568.34493036546121</v>
      </c>
      <c r="F41" s="182">
        <f t="shared" si="8"/>
        <v>579.32457667002825</v>
      </c>
      <c r="G41" s="182">
        <f t="shared" si="8"/>
        <v>1285.8123409210968</v>
      </c>
      <c r="H41" s="182">
        <f t="shared" si="8"/>
        <v>632.71924698650525</v>
      </c>
      <c r="I41" s="182">
        <f t="shared" si="8"/>
        <v>813.62278346059645</v>
      </c>
      <c r="J41" s="182">
        <f t="shared" si="8"/>
        <v>956.51864788935313</v>
      </c>
      <c r="K41" s="182">
        <f t="shared" si="8"/>
        <v>10899.847519809824</v>
      </c>
    </row>
    <row r="42" spans="1:11" x14ac:dyDescent="0.2">
      <c r="A42" s="182"/>
      <c r="B42" s="214"/>
      <c r="C42" s="182"/>
      <c r="D42" s="182"/>
      <c r="E42" s="182"/>
      <c r="F42" s="182"/>
      <c r="G42" s="182"/>
      <c r="H42" s="182"/>
      <c r="I42" s="182"/>
      <c r="J42" s="182"/>
      <c r="K42" s="182"/>
    </row>
    <row r="43" spans="1:11" x14ac:dyDescent="0.2">
      <c r="A43" s="182" t="s">
        <v>86</v>
      </c>
      <c r="B43" s="214">
        <f>B19</f>
        <v>10113</v>
      </c>
      <c r="C43" s="182">
        <f t="shared" ref="C43:K45" si="9">C19/$B43</f>
        <v>4705.4403619104123</v>
      </c>
      <c r="D43" s="182">
        <f t="shared" si="9"/>
        <v>541.71260555720369</v>
      </c>
      <c r="E43" s="182">
        <f t="shared" si="9"/>
        <v>408.23677049342433</v>
      </c>
      <c r="F43" s="182">
        <f t="shared" si="9"/>
        <v>503.18200929496692</v>
      </c>
      <c r="G43" s="182">
        <f t="shared" si="9"/>
        <v>993.94119549095205</v>
      </c>
      <c r="H43" s="182">
        <f t="shared" si="9"/>
        <v>472.2361860971028</v>
      </c>
      <c r="I43" s="182">
        <f t="shared" si="9"/>
        <v>638.90846237516075</v>
      </c>
      <c r="J43" s="182">
        <f t="shared" si="9"/>
        <v>651.19699693463861</v>
      </c>
      <c r="K43" s="182">
        <f t="shared" si="9"/>
        <v>8914.8545881538612</v>
      </c>
    </row>
    <row r="44" spans="1:11" x14ac:dyDescent="0.2">
      <c r="A44" s="182" t="s">
        <v>87</v>
      </c>
      <c r="B44" s="220">
        <f>B20</f>
        <v>7480</v>
      </c>
      <c r="C44" s="183">
        <f t="shared" si="9"/>
        <v>6528.6290762032077</v>
      </c>
      <c r="D44" s="183">
        <f t="shared" si="9"/>
        <v>571.88522593582888</v>
      </c>
      <c r="E44" s="183">
        <f t="shared" si="9"/>
        <v>1179.3653796791443</v>
      </c>
      <c r="F44" s="183">
        <f t="shared" si="9"/>
        <v>472.01412032085568</v>
      </c>
      <c r="G44" s="183">
        <f t="shared" si="9"/>
        <v>1717.0824705882351</v>
      </c>
      <c r="H44" s="183">
        <f t="shared" si="9"/>
        <v>960.73075401069514</v>
      </c>
      <c r="I44" s="183">
        <f t="shared" si="9"/>
        <v>865.9350320855616</v>
      </c>
      <c r="J44" s="183">
        <f t="shared" si="9"/>
        <v>1124.7546417112301</v>
      </c>
      <c r="K44" s="183">
        <f t="shared" si="9"/>
        <v>13420.39670053476</v>
      </c>
    </row>
    <row r="45" spans="1:11" x14ac:dyDescent="0.2">
      <c r="A45" s="182" t="s">
        <v>221</v>
      </c>
      <c r="B45" s="214">
        <f>SUM(B43:B44)</f>
        <v>17593</v>
      </c>
      <c r="C45" s="182">
        <f t="shared" si="9"/>
        <v>5480.6038691525036</v>
      </c>
      <c r="D45" s="182">
        <f t="shared" si="9"/>
        <v>554.54107144887178</v>
      </c>
      <c r="E45" s="182">
        <f t="shared" si="9"/>
        <v>736.09682828397661</v>
      </c>
      <c r="F45" s="182">
        <f t="shared" si="9"/>
        <v>489.93038594895705</v>
      </c>
      <c r="G45" s="182">
        <f t="shared" si="9"/>
        <v>1301.3985215710793</v>
      </c>
      <c r="H45" s="182">
        <f t="shared" si="9"/>
        <v>679.92898254987779</v>
      </c>
      <c r="I45" s="182">
        <f t="shared" si="9"/>
        <v>735.43314500085262</v>
      </c>
      <c r="J45" s="182">
        <f t="shared" si="9"/>
        <v>852.53907520036387</v>
      </c>
      <c r="K45" s="182">
        <f t="shared" si="9"/>
        <v>10830.471879156483</v>
      </c>
    </row>
    <row r="46" spans="1:11" x14ac:dyDescent="0.2">
      <c r="A46" s="182"/>
      <c r="B46" s="214"/>
      <c r="C46" s="182"/>
      <c r="D46" s="182"/>
      <c r="E46" s="182"/>
      <c r="F46" s="182"/>
      <c r="G46" s="182"/>
      <c r="H46" s="182"/>
      <c r="I46" s="182"/>
      <c r="J46" s="182"/>
      <c r="K46" s="182"/>
    </row>
    <row r="47" spans="1:11" ht="13.5" thickBot="1" x14ac:dyDescent="0.25">
      <c r="A47" s="182" t="s">
        <v>222</v>
      </c>
      <c r="B47" s="222">
        <f>B45+B41+B34</f>
        <v>148865</v>
      </c>
      <c r="C47" s="192">
        <f t="shared" ref="C47:K47" si="10">C23/$B47</f>
        <v>5149.6793095757903</v>
      </c>
      <c r="D47" s="192">
        <f t="shared" si="10"/>
        <v>828.61376388002543</v>
      </c>
      <c r="E47" s="192">
        <f t="shared" si="10"/>
        <v>518.35884761360956</v>
      </c>
      <c r="F47" s="192">
        <f t="shared" si="10"/>
        <v>513.1940513216673</v>
      </c>
      <c r="G47" s="192">
        <f t="shared" si="10"/>
        <v>1073.4434459409531</v>
      </c>
      <c r="H47" s="192">
        <f t="shared" si="10"/>
        <v>538.94533550532356</v>
      </c>
      <c r="I47" s="192">
        <f t="shared" si="10"/>
        <v>609.84302327612261</v>
      </c>
      <c r="J47" s="192">
        <f t="shared" si="10"/>
        <v>637.21373539784372</v>
      </c>
      <c r="K47" s="192">
        <f t="shared" si="10"/>
        <v>9869.2915125113359</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1062</v>
      </c>
      <c r="B50" s="182"/>
      <c r="C50" s="182"/>
      <c r="D50" s="182"/>
      <c r="E50" s="182"/>
      <c r="F50" s="182"/>
      <c r="G50" s="182"/>
      <c r="H50" s="182"/>
      <c r="I50" s="182"/>
      <c r="J50" s="182"/>
      <c r="K50" s="182"/>
    </row>
    <row r="51" spans="1:11" ht="38.25" customHeight="1" x14ac:dyDescent="0.2">
      <c r="A51" s="21" t="s">
        <v>245</v>
      </c>
      <c r="B51" s="21" t="str">
        <f>B3</f>
        <v>ANB10</v>
      </c>
      <c r="C51" s="21" t="str">
        <f t="shared" ref="C51:K51" si="11">C3</f>
        <v>10/Pupil Instruction</v>
      </c>
      <c r="D51" s="21" t="str">
        <f t="shared" si="11"/>
        <v>10/Pupil Student Services</v>
      </c>
      <c r="E51" s="21" t="str">
        <f t="shared" si="11"/>
        <v>10/Pupil General Admin</v>
      </c>
      <c r="F51" s="21" t="str">
        <f t="shared" si="11"/>
        <v>10/Pupil Bldg Admin</v>
      </c>
      <c r="G51" s="21" t="str">
        <f t="shared" si="11"/>
        <v>10/Pupil Bldg OM</v>
      </c>
      <c r="H51" s="21" t="str">
        <f t="shared" si="11"/>
        <v>10/Pupil Transport</v>
      </c>
      <c r="I51" s="21" t="str">
        <f t="shared" si="11"/>
        <v>10/Pupil Other</v>
      </c>
      <c r="J51" s="21" t="str">
        <f t="shared" si="11"/>
        <v>10/Pupil Bonds/ Facilities</v>
      </c>
      <c r="K51" s="21" t="str">
        <f t="shared" si="11"/>
        <v>10/Pupil Total</v>
      </c>
    </row>
    <row r="52" spans="1:11" x14ac:dyDescent="0.2">
      <c r="A52" s="182" t="s">
        <v>102</v>
      </c>
      <c r="B52" s="214">
        <f t="shared" ref="B52:B57" si="12">B4</f>
        <v>37450</v>
      </c>
      <c r="C52" s="191">
        <f t="shared" ref="C52:K58" si="13">C28/$K28</f>
        <v>0.58566353004528526</v>
      </c>
      <c r="D52" s="191">
        <f t="shared" si="13"/>
        <v>0.11675829968256439</v>
      </c>
      <c r="E52" s="191">
        <f t="shared" si="13"/>
        <v>3.5381549809169334E-2</v>
      </c>
      <c r="F52" s="191">
        <f t="shared" si="13"/>
        <v>6.0423287025457677E-2</v>
      </c>
      <c r="G52" s="191">
        <f t="shared" si="13"/>
        <v>9.4991334055026938E-2</v>
      </c>
      <c r="H52" s="191">
        <f t="shared" si="13"/>
        <v>4.447000969656071E-2</v>
      </c>
      <c r="I52" s="191">
        <f t="shared" si="13"/>
        <v>2.6569144855570513E-2</v>
      </c>
      <c r="J52" s="191">
        <f t="shared" si="13"/>
        <v>3.5742844830365245E-2</v>
      </c>
      <c r="K52" s="191">
        <f t="shared" si="13"/>
        <v>1</v>
      </c>
    </row>
    <row r="53" spans="1:11" x14ac:dyDescent="0.2">
      <c r="A53" s="182" t="s">
        <v>76</v>
      </c>
      <c r="B53" s="214">
        <f t="shared" si="12"/>
        <v>18051</v>
      </c>
      <c r="C53" s="191">
        <f t="shared" si="13"/>
        <v>0.522807687727737</v>
      </c>
      <c r="D53" s="191">
        <f t="shared" si="13"/>
        <v>0.11188718327712766</v>
      </c>
      <c r="E53" s="191">
        <f t="shared" si="13"/>
        <v>3.4833582709639724E-2</v>
      </c>
      <c r="F53" s="191">
        <f t="shared" si="13"/>
        <v>5.6844995253115468E-2</v>
      </c>
      <c r="G53" s="191">
        <f t="shared" si="13"/>
        <v>9.4645668465092203E-2</v>
      </c>
      <c r="H53" s="191">
        <f t="shared" si="13"/>
        <v>4.913239703759769E-2</v>
      </c>
      <c r="I53" s="191">
        <f t="shared" si="13"/>
        <v>8.3708101122135725E-2</v>
      </c>
      <c r="J53" s="191">
        <f t="shared" si="13"/>
        <v>4.6140384407554511E-2</v>
      </c>
      <c r="K53" s="191">
        <f t="shared" si="13"/>
        <v>1</v>
      </c>
    </row>
    <row r="54" spans="1:11" x14ac:dyDescent="0.2">
      <c r="A54" s="182" t="s">
        <v>77</v>
      </c>
      <c r="B54" s="214">
        <f t="shared" si="12"/>
        <v>13477</v>
      </c>
      <c r="C54" s="191">
        <f t="shared" si="13"/>
        <v>0.53889574211000346</v>
      </c>
      <c r="D54" s="191">
        <f t="shared" si="13"/>
        <v>9.5011661398821196E-2</v>
      </c>
      <c r="E54" s="191">
        <f t="shared" si="13"/>
        <v>5.8328788141423296E-2</v>
      </c>
      <c r="F54" s="191">
        <f t="shared" si="13"/>
        <v>5.6808326543667874E-2</v>
      </c>
      <c r="G54" s="191">
        <f t="shared" si="13"/>
        <v>0.1048585162630065</v>
      </c>
      <c r="H54" s="191">
        <f t="shared" si="13"/>
        <v>4.5102923087063575E-2</v>
      </c>
      <c r="I54" s="191">
        <f t="shared" si="13"/>
        <v>4.6310063444477884E-2</v>
      </c>
      <c r="J54" s="191">
        <f t="shared" si="13"/>
        <v>5.4683979011536203E-2</v>
      </c>
      <c r="K54" s="191">
        <f t="shared" si="13"/>
        <v>1</v>
      </c>
    </row>
    <row r="55" spans="1:11" x14ac:dyDescent="0.2">
      <c r="A55" s="182" t="s">
        <v>78</v>
      </c>
      <c r="B55" s="214">
        <f t="shared" si="12"/>
        <v>13204</v>
      </c>
      <c r="C55" s="191">
        <f t="shared" si="13"/>
        <v>0.53869170251357845</v>
      </c>
      <c r="D55" s="191">
        <f t="shared" si="13"/>
        <v>6.0508453341342847E-2</v>
      </c>
      <c r="E55" s="191">
        <f t="shared" si="13"/>
        <v>6.7118124908458823E-2</v>
      </c>
      <c r="F55" s="191">
        <f t="shared" si="13"/>
        <v>4.1668545747189985E-2</v>
      </c>
      <c r="G55" s="191">
        <f t="shared" si="13"/>
        <v>0.1032008887496611</v>
      </c>
      <c r="H55" s="191">
        <f t="shared" si="13"/>
        <v>5.4896257819065104E-2</v>
      </c>
      <c r="I55" s="191">
        <f t="shared" si="13"/>
        <v>6.6065251349816931E-2</v>
      </c>
      <c r="J55" s="191">
        <f t="shared" si="13"/>
        <v>6.7850775570886535E-2</v>
      </c>
      <c r="K55" s="191">
        <f t="shared" si="13"/>
        <v>1</v>
      </c>
    </row>
    <row r="56" spans="1:11" x14ac:dyDescent="0.2">
      <c r="A56" s="182" t="s">
        <v>79</v>
      </c>
      <c r="B56" s="214">
        <f t="shared" si="12"/>
        <v>5654</v>
      </c>
      <c r="C56" s="191">
        <f t="shared" si="13"/>
        <v>0.49458300585744297</v>
      </c>
      <c r="D56" s="191">
        <f t="shared" si="13"/>
        <v>3.5875934324127973E-2</v>
      </c>
      <c r="E56" s="191">
        <f t="shared" si="13"/>
        <v>8.1513261523301697E-2</v>
      </c>
      <c r="F56" s="191">
        <f t="shared" si="13"/>
        <v>3.4734662460375154E-2</v>
      </c>
      <c r="G56" s="191">
        <f t="shared" si="13"/>
        <v>0.12339177416277348</v>
      </c>
      <c r="H56" s="191">
        <f t="shared" si="13"/>
        <v>7.3757202032802657E-2</v>
      </c>
      <c r="I56" s="191">
        <f t="shared" si="13"/>
        <v>9.0952473605340936E-2</v>
      </c>
      <c r="J56" s="191">
        <f t="shared" si="13"/>
        <v>6.5191686033835142E-2</v>
      </c>
      <c r="K56" s="191">
        <f t="shared" si="13"/>
        <v>1</v>
      </c>
    </row>
    <row r="57" spans="1:11" x14ac:dyDescent="0.2">
      <c r="A57" s="182" t="s">
        <v>80</v>
      </c>
      <c r="B57" s="220">
        <f t="shared" si="12"/>
        <v>1790</v>
      </c>
      <c r="C57" s="193">
        <f t="shared" si="13"/>
        <v>0.56487719374478795</v>
      </c>
      <c r="D57" s="193">
        <f t="shared" si="13"/>
        <v>3.3021035712703491E-2</v>
      </c>
      <c r="E57" s="193">
        <f t="shared" si="13"/>
        <v>9.6084072870834439E-2</v>
      </c>
      <c r="F57" s="193">
        <f t="shared" si="13"/>
        <v>1.4785881280009723E-2</v>
      </c>
      <c r="G57" s="193">
        <f t="shared" si="13"/>
        <v>0.13345985671016716</v>
      </c>
      <c r="H57" s="193">
        <f t="shared" si="13"/>
        <v>9.3933569615608364E-2</v>
      </c>
      <c r="I57" s="193">
        <f t="shared" si="13"/>
        <v>2.328957274724068E-2</v>
      </c>
      <c r="J57" s="193">
        <f t="shared" si="13"/>
        <v>4.0548817318648032E-2</v>
      </c>
      <c r="K57" s="193">
        <f t="shared" si="13"/>
        <v>1</v>
      </c>
    </row>
    <row r="58" spans="1:11" x14ac:dyDescent="0.2">
      <c r="A58" s="182" t="s">
        <v>219</v>
      </c>
      <c r="B58" s="214">
        <f>SUM(B52:B57)</f>
        <v>89626</v>
      </c>
      <c r="C58" s="191">
        <f t="shared" si="13"/>
        <v>0.5494471434793643</v>
      </c>
      <c r="D58" s="191">
        <f t="shared" si="13"/>
        <v>9.4727599089979103E-2</v>
      </c>
      <c r="E58" s="191">
        <f t="shared" si="13"/>
        <v>4.9163613728449351E-2</v>
      </c>
      <c r="F58" s="191">
        <f t="shared" si="13"/>
        <v>5.2928168362149072E-2</v>
      </c>
      <c r="G58" s="191">
        <f t="shared" si="13"/>
        <v>0.10106953074763073</v>
      </c>
      <c r="H58" s="191">
        <f t="shared" si="13"/>
        <v>5.0827016333359086E-2</v>
      </c>
      <c r="I58" s="191">
        <f t="shared" si="13"/>
        <v>5.330519008432151E-2</v>
      </c>
      <c r="J58" s="191">
        <f t="shared" si="13"/>
        <v>4.8531738174746777E-2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22224</v>
      </c>
      <c r="C60" s="191">
        <f t="shared" ref="C60:K65" si="14">C36/$K36</f>
        <v>0.53129663491767565</v>
      </c>
      <c r="D60" s="191">
        <f t="shared" si="14"/>
        <v>9.3198132685809884E-2</v>
      </c>
      <c r="E60" s="191">
        <f t="shared" si="14"/>
        <v>3.9470288694014158E-2</v>
      </c>
      <c r="F60" s="191">
        <f t="shared" si="14"/>
        <v>5.5593291880290337E-2</v>
      </c>
      <c r="G60" s="191">
        <f t="shared" si="14"/>
        <v>0.10278135004978164</v>
      </c>
      <c r="H60" s="191">
        <f t="shared" si="14"/>
        <v>3.6213663552282858E-2</v>
      </c>
      <c r="I60" s="191">
        <f t="shared" si="14"/>
        <v>6.0843368355273937E-2</v>
      </c>
      <c r="J60" s="191">
        <f t="shared" si="14"/>
        <v>8.0603269864871596E-2</v>
      </c>
      <c r="K60" s="191">
        <f t="shared" si="14"/>
        <v>1</v>
      </c>
    </row>
    <row r="61" spans="1:11" x14ac:dyDescent="0.2">
      <c r="A61" s="182" t="s">
        <v>82</v>
      </c>
      <c r="B61" s="214">
        <f>B37</f>
        <v>6925</v>
      </c>
      <c r="C61" s="191">
        <f t="shared" si="14"/>
        <v>0.45900317136547664</v>
      </c>
      <c r="D61" s="191">
        <f t="shared" si="14"/>
        <v>8.5215153441309394E-2</v>
      </c>
      <c r="E61" s="191">
        <f t="shared" si="14"/>
        <v>4.610313270105252E-2</v>
      </c>
      <c r="F61" s="191">
        <f t="shared" si="14"/>
        <v>6.4618429384644169E-2</v>
      </c>
      <c r="G61" s="191">
        <f t="shared" si="14"/>
        <v>0.11910987313577846</v>
      </c>
      <c r="H61" s="191">
        <f t="shared" si="14"/>
        <v>7.0638443930021944E-2</v>
      </c>
      <c r="I61" s="191">
        <f t="shared" si="14"/>
        <v>5.3879192168824599E-2</v>
      </c>
      <c r="J61" s="191">
        <f t="shared" si="14"/>
        <v>0.10143260387289219</v>
      </c>
      <c r="K61" s="191">
        <f t="shared" si="14"/>
        <v>1</v>
      </c>
    </row>
    <row r="62" spans="1:11" x14ac:dyDescent="0.2">
      <c r="A62" s="182" t="s">
        <v>83</v>
      </c>
      <c r="B62" s="214">
        <f>B38</f>
        <v>5426</v>
      </c>
      <c r="C62" s="191">
        <f t="shared" si="14"/>
        <v>0.4334581595037969</v>
      </c>
      <c r="D62" s="191">
        <f t="shared" si="14"/>
        <v>6.7722308429388214E-2</v>
      </c>
      <c r="E62" s="191">
        <f t="shared" si="14"/>
        <v>4.9125109333631685E-2</v>
      </c>
      <c r="F62" s="191">
        <f t="shared" si="14"/>
        <v>5.161969627331342E-2</v>
      </c>
      <c r="G62" s="191">
        <f t="shared" si="14"/>
        <v>0.13607747905729209</v>
      </c>
      <c r="H62" s="191">
        <f t="shared" si="14"/>
        <v>6.1820073933793629E-2</v>
      </c>
      <c r="I62" s="191">
        <f t="shared" si="14"/>
        <v>0.11202093028955669</v>
      </c>
      <c r="J62" s="191">
        <f t="shared" si="14"/>
        <v>8.8156243179227281E-2</v>
      </c>
      <c r="K62" s="191">
        <f t="shared" si="14"/>
        <v>1</v>
      </c>
    </row>
    <row r="63" spans="1:11" x14ac:dyDescent="0.2">
      <c r="A63" s="182" t="s">
        <v>84</v>
      </c>
      <c r="B63" s="214">
        <f>B39</f>
        <v>5335</v>
      </c>
      <c r="C63" s="191">
        <f t="shared" si="14"/>
        <v>0.42471361968711496</v>
      </c>
      <c r="D63" s="191">
        <f t="shared" si="14"/>
        <v>5.9189727637162369E-2</v>
      </c>
      <c r="E63" s="191">
        <f t="shared" si="14"/>
        <v>7.3689939281331177E-2</v>
      </c>
      <c r="F63" s="191">
        <f t="shared" si="14"/>
        <v>4.9746960974263225E-2</v>
      </c>
      <c r="G63" s="191">
        <f t="shared" si="14"/>
        <v>0.13363143067173949</v>
      </c>
      <c r="H63" s="191">
        <f t="shared" si="14"/>
        <v>9.4527686061041158E-2</v>
      </c>
      <c r="I63" s="191">
        <f t="shared" si="14"/>
        <v>6.9793977761321485E-2</v>
      </c>
      <c r="J63" s="191">
        <f t="shared" si="14"/>
        <v>9.4706657926026241E-2</v>
      </c>
      <c r="K63" s="191">
        <f t="shared" si="14"/>
        <v>1</v>
      </c>
    </row>
    <row r="64" spans="1:11" x14ac:dyDescent="0.2">
      <c r="A64" s="182" t="s">
        <v>85</v>
      </c>
      <c r="B64" s="220">
        <f>B40</f>
        <v>1736</v>
      </c>
      <c r="C64" s="193">
        <f t="shared" si="14"/>
        <v>0.38039959126024453</v>
      </c>
      <c r="D64" s="193">
        <f t="shared" si="14"/>
        <v>3.0254209382189021E-2</v>
      </c>
      <c r="E64" s="193">
        <f t="shared" si="14"/>
        <v>0.10304058762924195</v>
      </c>
      <c r="F64" s="193">
        <f t="shared" si="14"/>
        <v>2.6321363112840723E-2</v>
      </c>
      <c r="G64" s="193">
        <f t="shared" si="14"/>
        <v>0.1437107449976259</v>
      </c>
      <c r="H64" s="193">
        <f t="shared" si="14"/>
        <v>8.7745143263119676E-2</v>
      </c>
      <c r="I64" s="193">
        <f t="shared" si="14"/>
        <v>0.13798287747262991</v>
      </c>
      <c r="J64" s="193">
        <f t="shared" si="14"/>
        <v>9.0545482882108425E-2</v>
      </c>
      <c r="K64" s="193">
        <f t="shared" si="14"/>
        <v>1</v>
      </c>
    </row>
    <row r="65" spans="1:11" x14ac:dyDescent="0.2">
      <c r="A65" s="182" t="s">
        <v>220</v>
      </c>
      <c r="B65" s="214">
        <f>SUM(B60:B64)</f>
        <v>41646</v>
      </c>
      <c r="C65" s="191">
        <f t="shared" si="14"/>
        <v>0.47814902125501946</v>
      </c>
      <c r="D65" s="191">
        <f t="shared" si="14"/>
        <v>7.8143622517907116E-2</v>
      </c>
      <c r="E65" s="191">
        <f t="shared" si="14"/>
        <v>5.2142466152166639E-2</v>
      </c>
      <c r="F65" s="191">
        <f t="shared" si="14"/>
        <v>5.314978724400872E-2</v>
      </c>
      <c r="G65" s="191">
        <f t="shared" si="14"/>
        <v>0.11796608517543107</v>
      </c>
      <c r="H65" s="191">
        <f t="shared" si="14"/>
        <v>5.8048449378450086E-2</v>
      </c>
      <c r="I65" s="191">
        <f t="shared" si="14"/>
        <v>7.4645336274831872E-2</v>
      </c>
      <c r="J65" s="191">
        <f t="shared" si="14"/>
        <v>8.7755232002185116E-2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10113</v>
      </c>
      <c r="C67" s="191">
        <f t="shared" ref="C67:K69" si="15">C43/$K43</f>
        <v>0.52782020338986169</v>
      </c>
      <c r="D67" s="191">
        <f t="shared" si="15"/>
        <v>6.0765164501621401E-2</v>
      </c>
      <c r="E67" s="191">
        <f t="shared" si="15"/>
        <v>4.579286924498948E-2</v>
      </c>
      <c r="F67" s="191">
        <f t="shared" si="15"/>
        <v>5.6443097789121509E-2</v>
      </c>
      <c r="G67" s="191">
        <f t="shared" si="15"/>
        <v>0.11149269858105258</v>
      </c>
      <c r="H67" s="191">
        <f t="shared" si="15"/>
        <v>5.2971832734615157E-2</v>
      </c>
      <c r="I67" s="191">
        <f t="shared" si="15"/>
        <v>7.1667850109877071E-2</v>
      </c>
      <c r="J67" s="191">
        <f t="shared" si="15"/>
        <v>7.3046283648861191E-2</v>
      </c>
      <c r="K67" s="191">
        <f t="shared" si="15"/>
        <v>1</v>
      </c>
    </row>
    <row r="68" spans="1:11" x14ac:dyDescent="0.2">
      <c r="A68" s="182" t="s">
        <v>87</v>
      </c>
      <c r="B68" s="220">
        <f>B44</f>
        <v>7480</v>
      </c>
      <c r="C68" s="193">
        <f t="shared" si="15"/>
        <v>0.4864706477672946</v>
      </c>
      <c r="D68" s="193">
        <f t="shared" si="15"/>
        <v>4.2613138694554464E-2</v>
      </c>
      <c r="E68" s="193">
        <f t="shared" si="15"/>
        <v>8.787857810731857E-2</v>
      </c>
      <c r="F68" s="193">
        <f t="shared" si="15"/>
        <v>3.5171398495399721E-2</v>
      </c>
      <c r="G68" s="193">
        <f t="shared" si="15"/>
        <v>0.12794573132996992</v>
      </c>
      <c r="H68" s="193">
        <f t="shared" si="15"/>
        <v>7.1587358812754992E-2</v>
      </c>
      <c r="I68" s="193">
        <f t="shared" si="15"/>
        <v>6.4523802940270519E-2</v>
      </c>
      <c r="J68" s="193">
        <f t="shared" si="15"/>
        <v>8.3809343852437101E-2</v>
      </c>
      <c r="K68" s="193">
        <f t="shared" si="15"/>
        <v>1</v>
      </c>
    </row>
    <row r="69" spans="1:11" x14ac:dyDescent="0.2">
      <c r="A69" s="182" t="s">
        <v>221</v>
      </c>
      <c r="B69" s="214">
        <f>SUM(B67:B68)</f>
        <v>17593</v>
      </c>
      <c r="C69" s="191">
        <f t="shared" si="15"/>
        <v>0.50603555692712376</v>
      </c>
      <c r="D69" s="191">
        <f t="shared" si="15"/>
        <v>5.1201930777928534E-2</v>
      </c>
      <c r="E69" s="191">
        <f t="shared" si="15"/>
        <v>6.7965351509809424E-2</v>
      </c>
      <c r="F69" s="191">
        <f t="shared" si="15"/>
        <v>4.5236291771537721E-2</v>
      </c>
      <c r="G69" s="191">
        <f t="shared" si="15"/>
        <v>0.12016083288814532</v>
      </c>
      <c r="H69" s="191">
        <f t="shared" si="15"/>
        <v>6.2779257463233748E-2</v>
      </c>
      <c r="I69" s="191">
        <f t="shared" si="15"/>
        <v>6.790407225157126E-2</v>
      </c>
      <c r="J69" s="191">
        <f t="shared" si="15"/>
        <v>7.8716706410650206E-2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148865</v>
      </c>
      <c r="C71" s="195">
        <f t="shared" ref="C71:K71" si="16">C47/$K47</f>
        <v>0.52178814487823399</v>
      </c>
      <c r="D71" s="195">
        <f t="shared" si="16"/>
        <v>8.3958789020426527E-2</v>
      </c>
      <c r="E71" s="195">
        <f t="shared" si="16"/>
        <v>5.2522397069382762E-2</v>
      </c>
      <c r="F71" s="195">
        <f t="shared" si="16"/>
        <v>5.1999077205399126E-2</v>
      </c>
      <c r="G71" s="195">
        <f t="shared" si="16"/>
        <v>0.10876600864207375</v>
      </c>
      <c r="H71" s="195">
        <f t="shared" si="16"/>
        <v>5.4608310517740878E-2</v>
      </c>
      <c r="I71" s="195">
        <f t="shared" si="16"/>
        <v>6.1791975898474821E-2</v>
      </c>
      <c r="J71" s="195">
        <f t="shared" si="16"/>
        <v>6.4565296768268082E-2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38"/>
  <dimension ref="A1:W75"/>
  <sheetViews>
    <sheetView topLeftCell="A19" zoomScaleNormal="100" workbookViewId="0">
      <selection activeCell="Q51" sqref="Q51"/>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4" max="14" width="4" bestFit="1" customWidth="1"/>
    <col min="15" max="15" width="6.85546875" bestFit="1" customWidth="1"/>
    <col min="16" max="16" width="10.7109375" bestFit="1" customWidth="1"/>
    <col min="17" max="23" width="9.85546875" bestFit="1" customWidth="1"/>
  </cols>
  <sheetData>
    <row r="1" spans="1:23" x14ac:dyDescent="0.2">
      <c r="A1" s="36" t="s">
        <v>247</v>
      </c>
      <c r="B1" s="22"/>
      <c r="C1" s="22"/>
      <c r="D1" s="22"/>
      <c r="E1" s="22"/>
      <c r="F1" s="22"/>
      <c r="G1" s="22"/>
      <c r="H1" s="22"/>
      <c r="I1" s="22"/>
      <c r="J1" s="22"/>
      <c r="K1" s="22"/>
    </row>
    <row r="2" spans="1:23" x14ac:dyDescent="0.2">
      <c r="A2" s="22" t="s">
        <v>1053</v>
      </c>
      <c r="B2" s="22"/>
      <c r="C2" s="22"/>
      <c r="D2" s="22"/>
      <c r="E2" s="22"/>
      <c r="F2" s="22"/>
      <c r="G2" s="22"/>
      <c r="H2" s="22"/>
      <c r="I2" s="22"/>
      <c r="J2" s="22"/>
      <c r="K2" s="22"/>
    </row>
    <row r="3" spans="1:23" ht="33.75" x14ac:dyDescent="0.2">
      <c r="A3" s="21" t="s">
        <v>245</v>
      </c>
      <c r="B3" s="21" t="s">
        <v>1026</v>
      </c>
      <c r="C3" s="12" t="s">
        <v>1054</v>
      </c>
      <c r="D3" s="12" t="s">
        <v>1055</v>
      </c>
      <c r="E3" s="12" t="s">
        <v>1056</v>
      </c>
      <c r="F3" s="12" t="s">
        <v>1057</v>
      </c>
      <c r="G3" s="12" t="s">
        <v>1058</v>
      </c>
      <c r="H3" s="12" t="s">
        <v>1059</v>
      </c>
      <c r="I3" s="12" t="s">
        <v>1048</v>
      </c>
      <c r="J3" s="12" t="s">
        <v>1060</v>
      </c>
      <c r="K3" s="12" t="s">
        <v>1061</v>
      </c>
    </row>
    <row r="4" spans="1:23" x14ac:dyDescent="0.2">
      <c r="A4" s="33" t="s">
        <v>102</v>
      </c>
      <c r="B4" s="214">
        <v>37450</v>
      </c>
      <c r="C4" s="214">
        <v>180739034.75999999</v>
      </c>
      <c r="D4" s="214">
        <v>37179179.280000001</v>
      </c>
      <c r="E4" s="214">
        <v>10884281.210000001</v>
      </c>
      <c r="F4" s="214">
        <v>18310166.630000003</v>
      </c>
      <c r="G4" s="214">
        <v>28698263.420000002</v>
      </c>
      <c r="H4" s="214">
        <v>13435036.630000001</v>
      </c>
      <c r="I4" s="214">
        <v>8026925.0399999991</v>
      </c>
      <c r="J4" s="214">
        <v>10798433.210000001</v>
      </c>
      <c r="K4" s="214">
        <f t="shared" ref="K4:K9" si="0">SUM(C4:J4)</f>
        <v>308071320.18000001</v>
      </c>
      <c r="N4" s="214"/>
      <c r="O4" s="214"/>
      <c r="P4" s="214"/>
      <c r="Q4" s="214"/>
      <c r="R4" s="214"/>
      <c r="S4" s="214"/>
      <c r="T4" s="214"/>
      <c r="U4" s="214"/>
      <c r="V4" s="214"/>
      <c r="W4" s="214"/>
    </row>
    <row r="5" spans="1:23" x14ac:dyDescent="0.2">
      <c r="A5" s="33" t="s">
        <v>76</v>
      </c>
      <c r="B5" s="214">
        <v>18051</v>
      </c>
      <c r="C5" s="214">
        <v>93784105.550000012</v>
      </c>
      <c r="D5" s="214">
        <v>19795424.690000001</v>
      </c>
      <c r="E5" s="214">
        <v>6131195.4999999991</v>
      </c>
      <c r="F5" s="214">
        <v>9993694.5500000007</v>
      </c>
      <c r="G5" s="214">
        <v>16543577.039999999</v>
      </c>
      <c r="H5" s="214">
        <v>8588534.3400000017</v>
      </c>
      <c r="I5" s="214">
        <v>14631746.409999998</v>
      </c>
      <c r="J5" s="214">
        <v>8073720.5699999994</v>
      </c>
      <c r="K5" s="214">
        <f t="shared" si="0"/>
        <v>177541998.65000001</v>
      </c>
      <c r="N5" s="214"/>
      <c r="O5" s="214"/>
      <c r="P5" s="214"/>
      <c r="Q5" s="214"/>
      <c r="R5" s="214"/>
      <c r="S5" s="214"/>
      <c r="T5" s="214"/>
      <c r="U5" s="214"/>
      <c r="V5" s="214"/>
      <c r="W5" s="214"/>
    </row>
    <row r="6" spans="1:23" x14ac:dyDescent="0.2">
      <c r="A6" s="33" t="s">
        <v>77</v>
      </c>
      <c r="B6" s="214">
        <v>13477</v>
      </c>
      <c r="C6" s="214">
        <v>72312867.649999991</v>
      </c>
      <c r="D6" s="214">
        <v>12432486.049999997</v>
      </c>
      <c r="E6" s="214">
        <v>7622162.3300000001</v>
      </c>
      <c r="F6" s="214">
        <v>7520664.7500000019</v>
      </c>
      <c r="G6" s="214">
        <v>13688647.469999999</v>
      </c>
      <c r="H6" s="214">
        <v>5895184.7699999996</v>
      </c>
      <c r="I6" s="214">
        <v>6045499.7400000002</v>
      </c>
      <c r="J6" s="214">
        <v>7176095.2499999991</v>
      </c>
      <c r="K6" s="214">
        <f t="shared" si="0"/>
        <v>132693608.00999998</v>
      </c>
      <c r="N6" s="214"/>
      <c r="O6" s="214"/>
      <c r="P6" s="214"/>
      <c r="Q6" s="214"/>
      <c r="R6" s="214"/>
      <c r="S6" s="214"/>
      <c r="T6" s="214"/>
      <c r="U6" s="214"/>
      <c r="V6" s="214"/>
      <c r="W6" s="214"/>
    </row>
    <row r="7" spans="1:23" x14ac:dyDescent="0.2">
      <c r="A7" s="33" t="s">
        <v>78</v>
      </c>
      <c r="B7" s="214">
        <v>13204</v>
      </c>
      <c r="C7" s="214">
        <v>71028970.610000014</v>
      </c>
      <c r="D7" s="214">
        <v>7744629.9699999997</v>
      </c>
      <c r="E7" s="214">
        <v>8592943.709999999</v>
      </c>
      <c r="F7" s="214">
        <v>5346910.49</v>
      </c>
      <c r="G7" s="214">
        <v>13196222.960000001</v>
      </c>
      <c r="H7" s="214">
        <v>7019544.7599999988</v>
      </c>
      <c r="I7" s="214">
        <v>8447715.879999999</v>
      </c>
      <c r="J7" s="214">
        <v>8676029.5700000003</v>
      </c>
      <c r="K7" s="214">
        <f t="shared" si="0"/>
        <v>130052967.95000002</v>
      </c>
      <c r="N7" s="214"/>
      <c r="O7" s="214"/>
      <c r="P7" s="214"/>
      <c r="Q7" s="214"/>
      <c r="R7" s="214"/>
      <c r="S7" s="214"/>
      <c r="T7" s="214"/>
      <c r="U7" s="214"/>
      <c r="V7" s="214"/>
      <c r="W7" s="214"/>
    </row>
    <row r="8" spans="1:23" x14ac:dyDescent="0.2">
      <c r="A8" s="33" t="s">
        <v>79</v>
      </c>
      <c r="B8" s="214">
        <v>5654</v>
      </c>
      <c r="C8" s="214">
        <v>35521074.349999994</v>
      </c>
      <c r="D8" s="214">
        <v>2526888.9600000004</v>
      </c>
      <c r="E8" s="214">
        <v>5718770.75</v>
      </c>
      <c r="F8" s="214">
        <v>2430053.3400000003</v>
      </c>
      <c r="G8" s="214">
        <v>8621807.6100000013</v>
      </c>
      <c r="H8" s="214">
        <v>5153669.3600000013</v>
      </c>
      <c r="I8" s="214">
        <v>6355162.1199999992</v>
      </c>
      <c r="J8" s="214">
        <v>4563254.76</v>
      </c>
      <c r="K8" s="214">
        <f t="shared" si="0"/>
        <v>70890681.25</v>
      </c>
      <c r="N8" s="214"/>
      <c r="O8" s="214"/>
      <c r="P8" s="214"/>
      <c r="Q8" s="214"/>
      <c r="R8" s="214"/>
      <c r="S8" s="214"/>
      <c r="T8" s="214"/>
      <c r="U8" s="214"/>
      <c r="V8" s="214"/>
      <c r="W8" s="214"/>
    </row>
    <row r="9" spans="1:23" x14ac:dyDescent="0.2">
      <c r="A9" s="33" t="s">
        <v>80</v>
      </c>
      <c r="B9" s="233">
        <v>1790</v>
      </c>
      <c r="C9" s="234">
        <v>11352399.98</v>
      </c>
      <c r="D9" s="220">
        <v>652763.97999999986</v>
      </c>
      <c r="E9" s="220">
        <v>1880106.14</v>
      </c>
      <c r="F9" s="220">
        <v>288626.91000000003</v>
      </c>
      <c r="G9" s="220">
        <v>2605195.14</v>
      </c>
      <c r="H9" s="220">
        <v>1837569.2999999993</v>
      </c>
      <c r="I9" s="220">
        <v>454622.71</v>
      </c>
      <c r="J9" s="220">
        <v>791530.76</v>
      </c>
      <c r="K9" s="220">
        <f t="shared" si="0"/>
        <v>19862814.920000006</v>
      </c>
      <c r="N9" s="214"/>
      <c r="O9" s="214"/>
      <c r="P9" s="214"/>
      <c r="Q9" s="214"/>
      <c r="R9" s="214"/>
      <c r="S9" s="214"/>
      <c r="T9" s="214"/>
      <c r="U9" s="214"/>
      <c r="V9" s="214"/>
      <c r="W9" s="214"/>
    </row>
    <row r="10" spans="1:23" x14ac:dyDescent="0.2">
      <c r="A10" s="182" t="s">
        <v>103</v>
      </c>
      <c r="B10" s="214">
        <f t="shared" ref="B10:K10" si="1">SUM(B4:B9)</f>
        <v>89626</v>
      </c>
      <c r="C10" s="214">
        <f t="shared" si="1"/>
        <v>464738452.89999998</v>
      </c>
      <c r="D10" s="214">
        <f t="shared" si="1"/>
        <v>80331372.929999992</v>
      </c>
      <c r="E10" s="214">
        <f t="shared" si="1"/>
        <v>40829459.640000001</v>
      </c>
      <c r="F10" s="214">
        <f t="shared" si="1"/>
        <v>43890116.670000009</v>
      </c>
      <c r="G10" s="214">
        <f t="shared" si="1"/>
        <v>83353713.640000001</v>
      </c>
      <c r="H10" s="214">
        <f t="shared" si="1"/>
        <v>41929539.159999996</v>
      </c>
      <c r="I10" s="214">
        <f t="shared" si="1"/>
        <v>43961671.899999991</v>
      </c>
      <c r="J10" s="214">
        <f t="shared" si="1"/>
        <v>40079064.119999997</v>
      </c>
      <c r="K10" s="214">
        <f t="shared" si="1"/>
        <v>839113390.96000004</v>
      </c>
      <c r="N10" s="214"/>
      <c r="O10" s="214"/>
      <c r="P10" s="214"/>
      <c r="Q10" s="214"/>
      <c r="R10" s="214"/>
      <c r="S10" s="214"/>
      <c r="T10" s="214"/>
      <c r="U10" s="214"/>
      <c r="V10" s="214"/>
      <c r="W10" s="214"/>
    </row>
    <row r="11" spans="1:23" x14ac:dyDescent="0.2">
      <c r="A11" s="33"/>
      <c r="B11" s="214"/>
      <c r="C11" s="214"/>
      <c r="D11" s="214"/>
      <c r="E11" s="214"/>
      <c r="F11" s="214"/>
      <c r="G11" s="214"/>
      <c r="H11" s="214"/>
      <c r="I11" s="214"/>
      <c r="J11" s="214"/>
      <c r="K11" s="182"/>
      <c r="N11" s="214"/>
      <c r="O11" s="214"/>
      <c r="P11" s="214"/>
      <c r="Q11" s="214"/>
      <c r="R11" s="214"/>
      <c r="S11" s="214"/>
      <c r="T11" s="214"/>
      <c r="U11" s="214"/>
      <c r="V11" s="214"/>
      <c r="W11" s="214"/>
    </row>
    <row r="12" spans="1:23" x14ac:dyDescent="0.2">
      <c r="A12" s="33" t="s">
        <v>81</v>
      </c>
      <c r="B12" s="214">
        <v>22224</v>
      </c>
      <c r="C12" s="214">
        <v>117309579.83999997</v>
      </c>
      <c r="D12" s="214">
        <v>21247643.559999999</v>
      </c>
      <c r="E12" s="214">
        <v>8628675.3800000008</v>
      </c>
      <c r="F12" s="214">
        <v>12021526.710000001</v>
      </c>
      <c r="G12" s="214">
        <v>22140128.979999997</v>
      </c>
      <c r="H12" s="214">
        <v>7800784.6899999995</v>
      </c>
      <c r="I12" s="214">
        <v>13106269.01</v>
      </c>
      <c r="J12" s="214">
        <v>17362749.079999998</v>
      </c>
      <c r="K12" s="214">
        <f>SUM(C12:J12)</f>
        <v>219617357.24999994</v>
      </c>
      <c r="N12" s="214"/>
      <c r="O12" s="214"/>
      <c r="P12" s="214"/>
      <c r="Q12" s="214"/>
      <c r="R12" s="214"/>
      <c r="S12" s="214"/>
      <c r="T12" s="214"/>
      <c r="U12" s="214"/>
      <c r="V12" s="214"/>
      <c r="W12" s="214"/>
    </row>
    <row r="13" spans="1:23" x14ac:dyDescent="0.2">
      <c r="A13" s="33" t="s">
        <v>82</v>
      </c>
      <c r="B13" s="214">
        <v>6925</v>
      </c>
      <c r="C13" s="214">
        <v>32399226.940000001</v>
      </c>
      <c r="D13" s="214">
        <v>5919503.6900000004</v>
      </c>
      <c r="E13" s="214">
        <v>3169141.75</v>
      </c>
      <c r="F13" s="214">
        <v>4433301.0500000007</v>
      </c>
      <c r="G13" s="214">
        <v>8122215.9799999986</v>
      </c>
      <c r="H13" s="214">
        <v>4816902.9399999995</v>
      </c>
      <c r="I13" s="214">
        <v>3702312.78</v>
      </c>
      <c r="J13" s="214">
        <v>6943831.5899999999</v>
      </c>
      <c r="K13" s="214">
        <f>SUM(C13:J13)</f>
        <v>69506436.719999999</v>
      </c>
      <c r="N13" s="214"/>
      <c r="O13" s="214"/>
      <c r="P13" s="214"/>
      <c r="Q13" s="214"/>
      <c r="R13" s="214"/>
      <c r="S13" s="214"/>
      <c r="T13" s="214"/>
      <c r="U13" s="214"/>
      <c r="V13" s="214"/>
      <c r="W13" s="214"/>
    </row>
    <row r="14" spans="1:23" x14ac:dyDescent="0.2">
      <c r="A14" s="33" t="s">
        <v>83</v>
      </c>
      <c r="B14" s="214">
        <v>5426</v>
      </c>
      <c r="C14" s="214">
        <v>29154335.559999991</v>
      </c>
      <c r="D14" s="214">
        <v>4413694.7299999995</v>
      </c>
      <c r="E14" s="214">
        <v>3203765.6799999992</v>
      </c>
      <c r="F14" s="214">
        <v>3417712.56</v>
      </c>
      <c r="G14" s="214">
        <v>8830710.9399999995</v>
      </c>
      <c r="H14" s="214">
        <v>4011796.8600000003</v>
      </c>
      <c r="I14" s="214">
        <v>7269567.7599999988</v>
      </c>
      <c r="J14" s="214">
        <v>5720875.3899999997</v>
      </c>
      <c r="K14" s="214">
        <f>SUM(C14:J14)</f>
        <v>66022459.479999989</v>
      </c>
      <c r="N14" s="214"/>
      <c r="O14" s="214"/>
      <c r="P14" s="214"/>
      <c r="Q14" s="214"/>
      <c r="R14" s="214"/>
      <c r="S14" s="214"/>
      <c r="T14" s="214"/>
      <c r="U14" s="214"/>
      <c r="V14" s="214"/>
      <c r="W14" s="214"/>
    </row>
    <row r="15" spans="1:23" x14ac:dyDescent="0.2">
      <c r="A15" s="33" t="s">
        <v>84</v>
      </c>
      <c r="B15" s="214">
        <v>5335</v>
      </c>
      <c r="C15" s="214">
        <v>30585842.899999995</v>
      </c>
      <c r="D15" s="214">
        <v>4122983.8799999994</v>
      </c>
      <c r="E15" s="214">
        <v>5116808.6699999981</v>
      </c>
      <c r="F15" s="214">
        <v>3449314.01</v>
      </c>
      <c r="G15" s="214">
        <v>9239325.8400000054</v>
      </c>
      <c r="H15" s="214">
        <v>6535678.6799999997</v>
      </c>
      <c r="I15" s="214">
        <v>4825581.0699999994</v>
      </c>
      <c r="J15" s="214">
        <v>6553365.3600000013</v>
      </c>
      <c r="K15" s="214">
        <f>SUM(C15:J15)</f>
        <v>70428900.409999996</v>
      </c>
      <c r="N15" s="214"/>
      <c r="O15" s="214"/>
      <c r="P15" s="214"/>
      <c r="Q15" s="214"/>
      <c r="R15" s="214"/>
      <c r="S15" s="214"/>
      <c r="T15" s="214"/>
      <c r="U15" s="214"/>
      <c r="V15" s="214"/>
      <c r="W15" s="214"/>
    </row>
    <row r="16" spans="1:23" x14ac:dyDescent="0.2">
      <c r="A16" s="33" t="s">
        <v>85</v>
      </c>
      <c r="B16" s="233">
        <v>1736</v>
      </c>
      <c r="C16" s="234">
        <v>14396611.630000001</v>
      </c>
      <c r="D16" s="220">
        <v>1102958.49</v>
      </c>
      <c r="E16" s="220">
        <v>3743694.290000001</v>
      </c>
      <c r="F16" s="220">
        <v>955439.65000000014</v>
      </c>
      <c r="G16" s="220">
        <v>5216559.0100000016</v>
      </c>
      <c r="H16" s="220">
        <v>3185062.5900000003</v>
      </c>
      <c r="I16" s="220">
        <v>5008643.04</v>
      </c>
      <c r="J16" s="220">
        <v>3286712.17</v>
      </c>
      <c r="K16" s="220">
        <f>SUM(C16:J16)</f>
        <v>36895680.870000005</v>
      </c>
      <c r="N16" s="214"/>
      <c r="O16" s="214"/>
      <c r="P16" s="214"/>
      <c r="Q16" s="214"/>
      <c r="R16" s="214"/>
      <c r="S16" s="214"/>
      <c r="T16" s="214"/>
      <c r="U16" s="214"/>
      <c r="V16" s="214"/>
      <c r="W16" s="214"/>
    </row>
    <row r="17" spans="1:11" x14ac:dyDescent="0.2">
      <c r="A17" s="182" t="s">
        <v>104</v>
      </c>
      <c r="B17" s="214">
        <f t="shared" ref="B17:K17" si="2">SUM(B12:B16)</f>
        <v>41646</v>
      </c>
      <c r="C17" s="214">
        <f t="shared" si="2"/>
        <v>223845596.86999997</v>
      </c>
      <c r="D17" s="214">
        <f t="shared" si="2"/>
        <v>36806784.350000001</v>
      </c>
      <c r="E17" s="214">
        <f t="shared" si="2"/>
        <v>23862085.769999996</v>
      </c>
      <c r="F17" s="214">
        <f t="shared" si="2"/>
        <v>24277293.979999997</v>
      </c>
      <c r="G17" s="214">
        <f t="shared" si="2"/>
        <v>53548940.75</v>
      </c>
      <c r="H17" s="214">
        <f t="shared" si="2"/>
        <v>26350225.759999998</v>
      </c>
      <c r="I17" s="214">
        <f t="shared" si="2"/>
        <v>33912373.659999996</v>
      </c>
      <c r="J17" s="214">
        <f t="shared" si="2"/>
        <v>39867533.590000004</v>
      </c>
      <c r="K17" s="214">
        <f t="shared" si="2"/>
        <v>462470834.7299999</v>
      </c>
    </row>
    <row r="18" spans="1:11" x14ac:dyDescent="0.2">
      <c r="A18" s="33"/>
      <c r="B18" s="214"/>
      <c r="C18" s="214"/>
      <c r="D18" s="214"/>
      <c r="E18" s="214"/>
      <c r="F18" s="214"/>
      <c r="G18" s="214"/>
      <c r="H18" s="214"/>
      <c r="I18" s="214"/>
      <c r="J18" s="214"/>
      <c r="K18" s="182"/>
    </row>
    <row r="19" spans="1:11" x14ac:dyDescent="0.2">
      <c r="A19" s="33" t="s">
        <v>86</v>
      </c>
      <c r="B19" s="214">
        <v>10113</v>
      </c>
      <c r="C19" s="214">
        <v>49099012.82</v>
      </c>
      <c r="D19" s="214">
        <v>5478339.580000001</v>
      </c>
      <c r="E19" s="214">
        <v>4128498.4600000004</v>
      </c>
      <c r="F19" s="214">
        <v>5306290.5500000007</v>
      </c>
      <c r="G19" s="214">
        <v>10051727.309999999</v>
      </c>
      <c r="H19" s="214">
        <v>4775724.5500000007</v>
      </c>
      <c r="I19" s="214">
        <v>6461281.2800000003</v>
      </c>
      <c r="J19" s="214">
        <v>6585555.2300000004</v>
      </c>
      <c r="K19" s="214">
        <f>SUM(C19:J19)</f>
        <v>91886429.780000001</v>
      </c>
    </row>
    <row r="20" spans="1:11" x14ac:dyDescent="0.2">
      <c r="A20" s="33" t="s">
        <v>87</v>
      </c>
      <c r="B20" s="233">
        <v>7480</v>
      </c>
      <c r="C20" s="234">
        <v>50481301.469999984</v>
      </c>
      <c r="D20" s="234">
        <v>4277776.0900000008</v>
      </c>
      <c r="E20" s="234">
        <v>8845637.0199999996</v>
      </c>
      <c r="F20" s="234">
        <v>3559001.5900000008</v>
      </c>
      <c r="G20" s="234">
        <v>12843776.879999999</v>
      </c>
      <c r="H20" s="234">
        <v>7186266.04</v>
      </c>
      <c r="I20" s="234">
        <v>6477194.040000001</v>
      </c>
      <c r="J20" s="220">
        <v>8413164.7200000007</v>
      </c>
      <c r="K20" s="220">
        <f>SUM(C20:J20)</f>
        <v>102084117.84999999</v>
      </c>
    </row>
    <row r="21" spans="1:11" x14ac:dyDescent="0.2">
      <c r="A21" s="182" t="s">
        <v>105</v>
      </c>
      <c r="B21" s="214">
        <f t="shared" ref="B21:K21" si="3">SUM(B19:B20)</f>
        <v>17593</v>
      </c>
      <c r="C21" s="214">
        <f t="shared" si="3"/>
        <v>99580314.289999992</v>
      </c>
      <c r="D21" s="214">
        <f t="shared" si="3"/>
        <v>9756115.6700000018</v>
      </c>
      <c r="E21" s="214">
        <f t="shared" si="3"/>
        <v>12974135.48</v>
      </c>
      <c r="F21" s="214">
        <f t="shared" si="3"/>
        <v>8865292.1400000006</v>
      </c>
      <c r="G21" s="214">
        <f t="shared" si="3"/>
        <v>22895504.189999998</v>
      </c>
      <c r="H21" s="214">
        <f t="shared" si="3"/>
        <v>11961990.59</v>
      </c>
      <c r="I21" s="214">
        <f t="shared" si="3"/>
        <v>12938475.32</v>
      </c>
      <c r="J21" s="214">
        <f t="shared" si="3"/>
        <v>14998719.950000001</v>
      </c>
      <c r="K21" s="214">
        <f t="shared" si="3"/>
        <v>193970547.63</v>
      </c>
    </row>
    <row r="22" spans="1:11" x14ac:dyDescent="0.2">
      <c r="A22" s="33"/>
      <c r="B22" s="214"/>
      <c r="C22" s="214"/>
      <c r="D22" s="214"/>
      <c r="E22" s="214"/>
      <c r="F22" s="214"/>
      <c r="G22" s="214"/>
      <c r="H22" s="214"/>
      <c r="I22" s="214"/>
      <c r="J22" s="214"/>
      <c r="K22" s="214"/>
    </row>
    <row r="23" spans="1:11" ht="13.5" thickBot="1" x14ac:dyDescent="0.25">
      <c r="A23" s="182" t="s">
        <v>209</v>
      </c>
      <c r="B23" s="222">
        <f t="shared" ref="B23:K23" si="4">B21+B17+B10</f>
        <v>148865</v>
      </c>
      <c r="C23" s="222">
        <f t="shared" si="4"/>
        <v>788164364.05999994</v>
      </c>
      <c r="D23" s="222">
        <f t="shared" si="4"/>
        <v>126894272.94999999</v>
      </c>
      <c r="E23" s="222">
        <f t="shared" si="4"/>
        <v>77665680.890000001</v>
      </c>
      <c r="F23" s="222">
        <f t="shared" si="4"/>
        <v>77032702.790000007</v>
      </c>
      <c r="G23" s="222">
        <f t="shared" si="4"/>
        <v>159798158.57999998</v>
      </c>
      <c r="H23" s="222">
        <f t="shared" si="4"/>
        <v>80241755.50999999</v>
      </c>
      <c r="I23" s="222">
        <f t="shared" si="4"/>
        <v>90812520.879999995</v>
      </c>
      <c r="J23" s="222">
        <f t="shared" si="4"/>
        <v>94945317.659999996</v>
      </c>
      <c r="K23" s="222">
        <f t="shared" si="4"/>
        <v>1495554773.3199999</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1051</v>
      </c>
      <c r="B26" s="22"/>
      <c r="C26" s="22"/>
      <c r="D26" s="22"/>
      <c r="E26" s="22"/>
      <c r="F26" s="22"/>
      <c r="G26" s="22"/>
      <c r="H26" s="22"/>
      <c r="I26" s="22"/>
      <c r="J26" s="22"/>
      <c r="K26" s="22"/>
    </row>
    <row r="27" spans="1:11" ht="39.75" customHeight="1" x14ac:dyDescent="0.2">
      <c r="A27" s="21" t="s">
        <v>245</v>
      </c>
      <c r="B27" s="21" t="str">
        <f>B3</f>
        <v>ANB10</v>
      </c>
      <c r="C27" s="21" t="str">
        <f t="shared" ref="C27:K27" si="5">C3</f>
        <v>10/Pupil Instruction</v>
      </c>
      <c r="D27" s="21" t="str">
        <f t="shared" si="5"/>
        <v>10/Pupil Student Services</v>
      </c>
      <c r="E27" s="21" t="str">
        <f t="shared" si="5"/>
        <v>10/Pupil General Admin</v>
      </c>
      <c r="F27" s="21" t="str">
        <f t="shared" si="5"/>
        <v>10/Pupil Bldg Admin</v>
      </c>
      <c r="G27" s="21" t="str">
        <f t="shared" si="5"/>
        <v>10/Pupil Bldg OM</v>
      </c>
      <c r="H27" s="21" t="str">
        <f t="shared" si="5"/>
        <v>10/Pupil Transport</v>
      </c>
      <c r="I27" s="21" t="str">
        <f t="shared" si="5"/>
        <v>10/Pupil Other</v>
      </c>
      <c r="J27" s="21" t="str">
        <f t="shared" si="5"/>
        <v>10/Pupil Bonds/ Facilities</v>
      </c>
      <c r="K27" s="21" t="str">
        <f t="shared" si="5"/>
        <v>10/Pupil Total</v>
      </c>
    </row>
    <row r="28" spans="1:11" x14ac:dyDescent="0.2">
      <c r="A28" s="182" t="s">
        <v>102</v>
      </c>
      <c r="B28" s="214">
        <f t="shared" ref="B28:B33" si="6">B4</f>
        <v>37450</v>
      </c>
      <c r="C28" s="182">
        <f t="shared" ref="C28:K34" si="7">C4/$B28</f>
        <v>4826.1424502002665</v>
      </c>
      <c r="D28" s="182">
        <f t="shared" si="7"/>
        <v>992.76847209612822</v>
      </c>
      <c r="E28" s="182">
        <f t="shared" si="7"/>
        <v>290.63501228304409</v>
      </c>
      <c r="F28" s="182">
        <f t="shared" si="7"/>
        <v>488.92300747663558</v>
      </c>
      <c r="G28" s="182">
        <f t="shared" si="7"/>
        <v>766.30876955941255</v>
      </c>
      <c r="H28" s="182">
        <f t="shared" si="7"/>
        <v>358.74597142857147</v>
      </c>
      <c r="I28" s="182">
        <f t="shared" si="7"/>
        <v>214.33711722296394</v>
      </c>
      <c r="J28" s="182">
        <f t="shared" si="7"/>
        <v>288.34267583444597</v>
      </c>
      <c r="K28" s="182">
        <f t="shared" si="7"/>
        <v>8226.2034761014693</v>
      </c>
    </row>
    <row r="29" spans="1:11" x14ac:dyDescent="0.2">
      <c r="A29" s="182" t="s">
        <v>76</v>
      </c>
      <c r="B29" s="214">
        <f t="shared" si="6"/>
        <v>18051</v>
      </c>
      <c r="C29" s="182">
        <f t="shared" si="7"/>
        <v>5195.507481579969</v>
      </c>
      <c r="D29" s="182">
        <f t="shared" si="7"/>
        <v>1096.6386732037006</v>
      </c>
      <c r="E29" s="182">
        <f t="shared" si="7"/>
        <v>339.65960334607496</v>
      </c>
      <c r="F29" s="182">
        <f t="shared" si="7"/>
        <v>553.63661569996123</v>
      </c>
      <c r="G29" s="182">
        <f t="shared" si="7"/>
        <v>916.4908891474156</v>
      </c>
      <c r="H29" s="182">
        <f t="shared" si="7"/>
        <v>475.79271730098066</v>
      </c>
      <c r="I29" s="182">
        <f t="shared" si="7"/>
        <v>810.5781624286742</v>
      </c>
      <c r="J29" s="182">
        <f t="shared" si="7"/>
        <v>447.2727588499252</v>
      </c>
      <c r="K29" s="182">
        <f t="shared" si="7"/>
        <v>9835.5769015567002</v>
      </c>
    </row>
    <row r="30" spans="1:11" x14ac:dyDescent="0.2">
      <c r="A30" s="182" t="s">
        <v>77</v>
      </c>
      <c r="B30" s="214">
        <f t="shared" si="6"/>
        <v>13477</v>
      </c>
      <c r="C30" s="182">
        <f t="shared" si="7"/>
        <v>5365.6501929212727</v>
      </c>
      <c r="D30" s="182">
        <f t="shared" si="7"/>
        <v>922.49655338725211</v>
      </c>
      <c r="E30" s="182">
        <f t="shared" si="7"/>
        <v>565.56817763597235</v>
      </c>
      <c r="F30" s="182">
        <f t="shared" si="7"/>
        <v>558.03700749424956</v>
      </c>
      <c r="G30" s="182">
        <f t="shared" si="7"/>
        <v>1015.704345922683</v>
      </c>
      <c r="H30" s="182">
        <f t="shared" si="7"/>
        <v>437.42559694293976</v>
      </c>
      <c r="I30" s="182">
        <f t="shared" si="7"/>
        <v>448.5790413296728</v>
      </c>
      <c r="J30" s="182">
        <f t="shared" si="7"/>
        <v>532.46978185056014</v>
      </c>
      <c r="K30" s="182">
        <f t="shared" si="7"/>
        <v>9845.9306974846022</v>
      </c>
    </row>
    <row r="31" spans="1:11" x14ac:dyDescent="0.2">
      <c r="A31" s="182" t="s">
        <v>78</v>
      </c>
      <c r="B31" s="214">
        <f t="shared" si="6"/>
        <v>13204</v>
      </c>
      <c r="C31" s="182">
        <f t="shared" si="7"/>
        <v>5379.3525151469266</v>
      </c>
      <c r="D31" s="182">
        <f t="shared" si="7"/>
        <v>586.53665328688271</v>
      </c>
      <c r="E31" s="182">
        <f t="shared" si="7"/>
        <v>650.7833770069675</v>
      </c>
      <c r="F31" s="182">
        <f t="shared" si="7"/>
        <v>404.94626552559833</v>
      </c>
      <c r="G31" s="182">
        <f t="shared" si="7"/>
        <v>999.41100878521672</v>
      </c>
      <c r="H31" s="182">
        <f t="shared" si="7"/>
        <v>531.6225961829748</v>
      </c>
      <c r="I31" s="182">
        <f t="shared" si="7"/>
        <v>639.78460163586783</v>
      </c>
      <c r="J31" s="182">
        <f t="shared" si="7"/>
        <v>657.07585352923354</v>
      </c>
      <c r="K31" s="182">
        <f t="shared" si="7"/>
        <v>9849.5128710996687</v>
      </c>
    </row>
    <row r="32" spans="1:11" x14ac:dyDescent="0.2">
      <c r="A32" s="182" t="s">
        <v>79</v>
      </c>
      <c r="B32" s="214">
        <f t="shared" si="6"/>
        <v>5654</v>
      </c>
      <c r="C32" s="182">
        <f t="shared" si="7"/>
        <v>6282.4680491687286</v>
      </c>
      <c r="D32" s="182">
        <f t="shared" si="7"/>
        <v>446.92058012026894</v>
      </c>
      <c r="E32" s="182">
        <f t="shared" si="7"/>
        <v>1011.4557392996109</v>
      </c>
      <c r="F32" s="182">
        <f t="shared" si="7"/>
        <v>429.79365758754869</v>
      </c>
      <c r="G32" s="182">
        <f t="shared" si="7"/>
        <v>1524.9040696851789</v>
      </c>
      <c r="H32" s="182">
        <f t="shared" si="7"/>
        <v>911.50855323664689</v>
      </c>
      <c r="I32" s="182">
        <f t="shared" si="7"/>
        <v>1124.0116943756632</v>
      </c>
      <c r="J32" s="182">
        <f t="shared" si="7"/>
        <v>807.08432260346649</v>
      </c>
      <c r="K32" s="182">
        <f t="shared" si="7"/>
        <v>12538.146666077113</v>
      </c>
    </row>
    <row r="33" spans="1:11" x14ac:dyDescent="0.2">
      <c r="A33" s="182" t="s">
        <v>80</v>
      </c>
      <c r="B33" s="220">
        <f t="shared" si="6"/>
        <v>1790</v>
      </c>
      <c r="C33" s="183">
        <f t="shared" si="7"/>
        <v>6342.1228938547492</v>
      </c>
      <c r="D33" s="183">
        <f t="shared" si="7"/>
        <v>364.67261452513958</v>
      </c>
      <c r="E33" s="183">
        <f t="shared" si="7"/>
        <v>1050.338625698324</v>
      </c>
      <c r="F33" s="183">
        <f t="shared" si="7"/>
        <v>161.24408379888271</v>
      </c>
      <c r="G33" s="183">
        <f t="shared" si="7"/>
        <v>1455.4162793296091</v>
      </c>
      <c r="H33" s="183">
        <f t="shared" si="7"/>
        <v>1026.5750279329604</v>
      </c>
      <c r="I33" s="183">
        <f t="shared" si="7"/>
        <v>253.97916759776538</v>
      </c>
      <c r="J33" s="183">
        <f t="shared" si="7"/>
        <v>442.19595530726258</v>
      </c>
      <c r="K33" s="183">
        <f t="shared" si="7"/>
        <v>11096.544648044695</v>
      </c>
    </row>
    <row r="34" spans="1:11" x14ac:dyDescent="0.2">
      <c r="A34" s="182" t="s">
        <v>219</v>
      </c>
      <c r="B34" s="214">
        <f>SUM(B28:B33)</f>
        <v>89626</v>
      </c>
      <c r="C34" s="182">
        <f t="shared" si="7"/>
        <v>5185.3084250105994</v>
      </c>
      <c r="D34" s="182">
        <f t="shared" si="7"/>
        <v>896.29541572757898</v>
      </c>
      <c r="E34" s="182">
        <f t="shared" si="7"/>
        <v>455.55374154821146</v>
      </c>
      <c r="F34" s="182">
        <f t="shared" si="7"/>
        <v>489.70295081784315</v>
      </c>
      <c r="G34" s="182">
        <f t="shared" si="7"/>
        <v>930.0171115524513</v>
      </c>
      <c r="H34" s="182">
        <f t="shared" si="7"/>
        <v>467.82785307834774</v>
      </c>
      <c r="I34" s="182">
        <f t="shared" si="7"/>
        <v>490.50132662397061</v>
      </c>
      <c r="J34" s="182">
        <f t="shared" si="7"/>
        <v>447.18122107424182</v>
      </c>
      <c r="K34" s="182">
        <f t="shared" si="7"/>
        <v>9362.3880454332448</v>
      </c>
    </row>
    <row r="35" spans="1:11" x14ac:dyDescent="0.2">
      <c r="A35" s="182"/>
      <c r="B35" s="214"/>
      <c r="C35" s="182"/>
      <c r="D35" s="182"/>
      <c r="E35" s="182"/>
      <c r="F35" s="182"/>
      <c r="G35" s="182"/>
      <c r="H35" s="182"/>
      <c r="I35" s="182"/>
      <c r="J35" s="182"/>
      <c r="K35" s="182"/>
    </row>
    <row r="36" spans="1:11" x14ac:dyDescent="0.2">
      <c r="A36" s="182" t="s">
        <v>81</v>
      </c>
      <c r="B36" s="214">
        <f>B12</f>
        <v>22224</v>
      </c>
      <c r="C36" s="182">
        <f t="shared" ref="C36:K41" si="8">C12/$B36</f>
        <v>5278.5088120950313</v>
      </c>
      <c r="D36" s="182">
        <f t="shared" si="8"/>
        <v>956.06747480201579</v>
      </c>
      <c r="E36" s="182">
        <f t="shared" si="8"/>
        <v>388.25933135349175</v>
      </c>
      <c r="F36" s="182">
        <f t="shared" si="8"/>
        <v>540.92542791576682</v>
      </c>
      <c r="G36" s="182">
        <f t="shared" si="8"/>
        <v>996.22610601151894</v>
      </c>
      <c r="H36" s="182">
        <f t="shared" si="8"/>
        <v>351.00723047156225</v>
      </c>
      <c r="I36" s="182">
        <f t="shared" si="8"/>
        <v>589.73492665586753</v>
      </c>
      <c r="J36" s="182">
        <f t="shared" si="8"/>
        <v>781.26120770338366</v>
      </c>
      <c r="K36" s="182">
        <f t="shared" si="8"/>
        <v>9881.9905170086367</v>
      </c>
    </row>
    <row r="37" spans="1:11" x14ac:dyDescent="0.2">
      <c r="A37" s="182" t="s">
        <v>82</v>
      </c>
      <c r="B37" s="214">
        <f>B13</f>
        <v>6925</v>
      </c>
      <c r="C37" s="182">
        <f t="shared" si="8"/>
        <v>4678.5887277978345</v>
      </c>
      <c r="D37" s="182">
        <f t="shared" si="8"/>
        <v>854.80197689530689</v>
      </c>
      <c r="E37" s="182">
        <f t="shared" si="8"/>
        <v>457.637797833935</v>
      </c>
      <c r="F37" s="182">
        <f t="shared" si="8"/>
        <v>640.18787725631785</v>
      </c>
      <c r="G37" s="182">
        <f t="shared" si="8"/>
        <v>1172.8831740072201</v>
      </c>
      <c r="H37" s="182">
        <f t="shared" si="8"/>
        <v>695.58165198555946</v>
      </c>
      <c r="I37" s="182">
        <f t="shared" si="8"/>
        <v>534.63000433212994</v>
      </c>
      <c r="J37" s="182">
        <f t="shared" si="8"/>
        <v>1002.7193631768953</v>
      </c>
      <c r="K37" s="182">
        <f t="shared" si="8"/>
        <v>10037.030573285198</v>
      </c>
    </row>
    <row r="38" spans="1:11" x14ac:dyDescent="0.2">
      <c r="A38" s="182" t="s">
        <v>83</v>
      </c>
      <c r="B38" s="214">
        <f>B14</f>
        <v>5426</v>
      </c>
      <c r="C38" s="182">
        <f t="shared" si="8"/>
        <v>5373.0806413564305</v>
      </c>
      <c r="D38" s="182">
        <f t="shared" si="8"/>
        <v>813.43434021378539</v>
      </c>
      <c r="E38" s="182">
        <f t="shared" si="8"/>
        <v>590.44704754883878</v>
      </c>
      <c r="F38" s="182">
        <f t="shared" si="8"/>
        <v>629.87699225949132</v>
      </c>
      <c r="G38" s="182">
        <f t="shared" si="8"/>
        <v>1627.4808219683007</v>
      </c>
      <c r="H38" s="182">
        <f t="shared" si="8"/>
        <v>739.36543678584599</v>
      </c>
      <c r="I38" s="182">
        <f t="shared" si="8"/>
        <v>1339.7655289347583</v>
      </c>
      <c r="J38" s="182">
        <f t="shared" si="8"/>
        <v>1054.3448931072612</v>
      </c>
      <c r="K38" s="182">
        <f t="shared" si="8"/>
        <v>12167.795702174712</v>
      </c>
    </row>
    <row r="39" spans="1:11" x14ac:dyDescent="0.2">
      <c r="A39" s="182" t="s">
        <v>84</v>
      </c>
      <c r="B39" s="214">
        <f>B15</f>
        <v>5335</v>
      </c>
      <c r="C39" s="182">
        <f t="shared" si="8"/>
        <v>5733.0539643861284</v>
      </c>
      <c r="D39" s="182">
        <f t="shared" si="8"/>
        <v>772.81797188378619</v>
      </c>
      <c r="E39" s="182">
        <f t="shared" si="8"/>
        <v>959.10190627928739</v>
      </c>
      <c r="F39" s="182">
        <f t="shared" si="8"/>
        <v>646.54433177132137</v>
      </c>
      <c r="G39" s="182">
        <f t="shared" si="8"/>
        <v>1731.8323973758211</v>
      </c>
      <c r="H39" s="182">
        <f t="shared" si="8"/>
        <v>1225.0569222118088</v>
      </c>
      <c r="I39" s="182">
        <f t="shared" si="8"/>
        <v>904.51379006560433</v>
      </c>
      <c r="J39" s="182">
        <f t="shared" si="8"/>
        <v>1228.3721387066544</v>
      </c>
      <c r="K39" s="182">
        <f t="shared" si="8"/>
        <v>13201.293422680412</v>
      </c>
    </row>
    <row r="40" spans="1:11" x14ac:dyDescent="0.2">
      <c r="A40" s="182" t="s">
        <v>85</v>
      </c>
      <c r="B40" s="220">
        <f>B16</f>
        <v>1736</v>
      </c>
      <c r="C40" s="183">
        <f t="shared" si="8"/>
        <v>8292.9790495391717</v>
      </c>
      <c r="D40" s="183">
        <f t="shared" si="8"/>
        <v>635.34475230414751</v>
      </c>
      <c r="E40" s="183">
        <f t="shared" si="8"/>
        <v>2156.5059274193554</v>
      </c>
      <c r="F40" s="183">
        <f t="shared" si="8"/>
        <v>550.36846198156695</v>
      </c>
      <c r="G40" s="183">
        <f t="shared" si="8"/>
        <v>3004.9303052995401</v>
      </c>
      <c r="H40" s="183">
        <f t="shared" si="8"/>
        <v>1834.7134735023044</v>
      </c>
      <c r="I40" s="183">
        <f t="shared" si="8"/>
        <v>2885.1630414746546</v>
      </c>
      <c r="J40" s="183">
        <f t="shared" si="8"/>
        <v>1893.2673790322581</v>
      </c>
      <c r="K40" s="183">
        <f t="shared" si="8"/>
        <v>21253.272390552997</v>
      </c>
    </row>
    <row r="41" spans="1:11" x14ac:dyDescent="0.2">
      <c r="A41" s="182" t="s">
        <v>220</v>
      </c>
      <c r="B41" s="214">
        <f>SUM(B36:B40)</f>
        <v>41646</v>
      </c>
      <c r="C41" s="182">
        <f t="shared" si="8"/>
        <v>5374.9603051913746</v>
      </c>
      <c r="D41" s="182">
        <f t="shared" si="8"/>
        <v>883.80118979013594</v>
      </c>
      <c r="E41" s="182">
        <f t="shared" si="8"/>
        <v>572.97425370984001</v>
      </c>
      <c r="F41" s="182">
        <f t="shared" si="8"/>
        <v>582.94419584113712</v>
      </c>
      <c r="G41" s="182">
        <f t="shared" si="8"/>
        <v>1285.8123409210968</v>
      </c>
      <c r="H41" s="182">
        <f t="shared" si="8"/>
        <v>632.71924698650525</v>
      </c>
      <c r="I41" s="182">
        <f t="shared" si="8"/>
        <v>814.30086106708916</v>
      </c>
      <c r="J41" s="182">
        <f t="shared" si="8"/>
        <v>957.2956247898959</v>
      </c>
      <c r="K41" s="182">
        <f t="shared" si="8"/>
        <v>11104.808018297073</v>
      </c>
    </row>
    <row r="42" spans="1:11" x14ac:dyDescent="0.2">
      <c r="A42" s="182"/>
      <c r="B42" s="214"/>
      <c r="C42" s="182"/>
      <c r="D42" s="182"/>
      <c r="E42" s="182"/>
      <c r="F42" s="182"/>
      <c r="G42" s="182"/>
      <c r="H42" s="182"/>
      <c r="I42" s="182"/>
      <c r="J42" s="182"/>
      <c r="K42" s="182"/>
    </row>
    <row r="43" spans="1:11" x14ac:dyDescent="0.2">
      <c r="A43" s="182" t="s">
        <v>86</v>
      </c>
      <c r="B43" s="214">
        <f>B19</f>
        <v>10113</v>
      </c>
      <c r="C43" s="182">
        <f t="shared" ref="C43:K45" si="9">C19/$B43</f>
        <v>4855.0393374864034</v>
      </c>
      <c r="D43" s="182">
        <f t="shared" si="9"/>
        <v>541.71260555720369</v>
      </c>
      <c r="E43" s="182">
        <f t="shared" si="9"/>
        <v>408.23677049342433</v>
      </c>
      <c r="F43" s="182">
        <f t="shared" si="9"/>
        <v>524.69994561455565</v>
      </c>
      <c r="G43" s="182">
        <f t="shared" si="9"/>
        <v>993.94119549095205</v>
      </c>
      <c r="H43" s="182">
        <f t="shared" si="9"/>
        <v>472.2361860971028</v>
      </c>
      <c r="I43" s="182">
        <f t="shared" si="9"/>
        <v>638.90846237516075</v>
      </c>
      <c r="J43" s="182">
        <f t="shared" si="9"/>
        <v>651.19699693463861</v>
      </c>
      <c r="K43" s="182">
        <f t="shared" si="9"/>
        <v>9085.9715000494416</v>
      </c>
    </row>
    <row r="44" spans="1:11" x14ac:dyDescent="0.2">
      <c r="A44" s="182" t="s">
        <v>87</v>
      </c>
      <c r="B44" s="220">
        <f>B20</f>
        <v>7480</v>
      </c>
      <c r="C44" s="183">
        <f t="shared" si="9"/>
        <v>6748.8370949197842</v>
      </c>
      <c r="D44" s="183">
        <f t="shared" si="9"/>
        <v>571.89519919786107</v>
      </c>
      <c r="E44" s="183">
        <f t="shared" si="9"/>
        <v>1182.571794117647</v>
      </c>
      <c r="F44" s="183">
        <f t="shared" si="9"/>
        <v>475.80235160427816</v>
      </c>
      <c r="G44" s="183">
        <f t="shared" si="9"/>
        <v>1717.0824705882351</v>
      </c>
      <c r="H44" s="183">
        <f t="shared" si="9"/>
        <v>960.73075401069514</v>
      </c>
      <c r="I44" s="183">
        <f t="shared" si="9"/>
        <v>865.9350320855616</v>
      </c>
      <c r="J44" s="183">
        <f t="shared" si="9"/>
        <v>1124.7546417112301</v>
      </c>
      <c r="K44" s="183">
        <f t="shared" si="9"/>
        <v>13647.609338235294</v>
      </c>
    </row>
    <row r="45" spans="1:11" x14ac:dyDescent="0.2">
      <c r="A45" s="182" t="s">
        <v>221</v>
      </c>
      <c r="B45" s="214">
        <f>SUM(B43:B44)</f>
        <v>17593</v>
      </c>
      <c r="C45" s="182">
        <f t="shared" si="9"/>
        <v>5660.223628147558</v>
      </c>
      <c r="D45" s="182">
        <f t="shared" si="9"/>
        <v>554.54531177172748</v>
      </c>
      <c r="E45" s="182">
        <f t="shared" si="9"/>
        <v>737.46009662934125</v>
      </c>
      <c r="F45" s="182">
        <f t="shared" si="9"/>
        <v>503.91019951116925</v>
      </c>
      <c r="G45" s="182">
        <f t="shared" si="9"/>
        <v>1301.3985215710793</v>
      </c>
      <c r="H45" s="182">
        <f t="shared" si="9"/>
        <v>679.92898254987779</v>
      </c>
      <c r="I45" s="182">
        <f t="shared" si="9"/>
        <v>735.43314500085262</v>
      </c>
      <c r="J45" s="182">
        <f t="shared" si="9"/>
        <v>852.53907520036387</v>
      </c>
      <c r="K45" s="182">
        <f t="shared" si="9"/>
        <v>11025.438960381969</v>
      </c>
    </row>
    <row r="46" spans="1:11" x14ac:dyDescent="0.2">
      <c r="A46" s="182"/>
      <c r="B46" s="214"/>
      <c r="C46" s="182"/>
      <c r="D46" s="182"/>
      <c r="E46" s="182"/>
      <c r="F46" s="182"/>
      <c r="G46" s="182"/>
      <c r="H46" s="182"/>
      <c r="I46" s="182"/>
      <c r="J46" s="182"/>
      <c r="K46" s="182"/>
    </row>
    <row r="47" spans="1:11" ht="13.5" thickBot="1" x14ac:dyDescent="0.25">
      <c r="A47" s="182" t="s">
        <v>222</v>
      </c>
      <c r="B47" s="222">
        <f>B45+B41+B34</f>
        <v>148865</v>
      </c>
      <c r="C47" s="192">
        <f t="shared" ref="C47:K47" si="10">C23/$B47</f>
        <v>5294.4907403352026</v>
      </c>
      <c r="D47" s="192">
        <f t="shared" si="10"/>
        <v>852.41173512914372</v>
      </c>
      <c r="E47" s="192">
        <f t="shared" si="10"/>
        <v>521.71887878278983</v>
      </c>
      <c r="F47" s="192">
        <f t="shared" si="10"/>
        <v>517.46685110670751</v>
      </c>
      <c r="G47" s="192">
        <f t="shared" si="10"/>
        <v>1073.4434459409531</v>
      </c>
      <c r="H47" s="192">
        <f t="shared" si="10"/>
        <v>539.02364901084866</v>
      </c>
      <c r="I47" s="192">
        <f t="shared" si="10"/>
        <v>610.03272011554088</v>
      </c>
      <c r="J47" s="192">
        <f t="shared" si="10"/>
        <v>637.79476478688741</v>
      </c>
      <c r="K47" s="192">
        <f t="shared" si="10"/>
        <v>10046.382785208074</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1062</v>
      </c>
      <c r="B50" s="182"/>
      <c r="C50" s="182"/>
      <c r="D50" s="182"/>
      <c r="E50" s="182"/>
      <c r="F50" s="182"/>
      <c r="G50" s="182"/>
      <c r="H50" s="182"/>
      <c r="I50" s="182"/>
      <c r="J50" s="182"/>
      <c r="K50" s="182"/>
    </row>
    <row r="51" spans="1:11" ht="45" customHeight="1" x14ac:dyDescent="0.2">
      <c r="A51" s="21" t="s">
        <v>245</v>
      </c>
      <c r="B51" s="21" t="str">
        <f>B3</f>
        <v>ANB10</v>
      </c>
      <c r="C51" s="21" t="str">
        <f t="shared" ref="C51:K51" si="11">C3</f>
        <v>10/Pupil Instruction</v>
      </c>
      <c r="D51" s="21" t="str">
        <f t="shared" si="11"/>
        <v>10/Pupil Student Services</v>
      </c>
      <c r="E51" s="21" t="str">
        <f t="shared" si="11"/>
        <v>10/Pupil General Admin</v>
      </c>
      <c r="F51" s="21" t="str">
        <f t="shared" si="11"/>
        <v>10/Pupil Bldg Admin</v>
      </c>
      <c r="G51" s="21" t="str">
        <f t="shared" si="11"/>
        <v>10/Pupil Bldg OM</v>
      </c>
      <c r="H51" s="21" t="str">
        <f t="shared" si="11"/>
        <v>10/Pupil Transport</v>
      </c>
      <c r="I51" s="21" t="str">
        <f t="shared" si="11"/>
        <v>10/Pupil Other</v>
      </c>
      <c r="J51" s="21" t="str">
        <f t="shared" si="11"/>
        <v>10/Pupil Bonds/ Facilities</v>
      </c>
      <c r="K51" s="21" t="str">
        <f t="shared" si="11"/>
        <v>10/Pupil Total</v>
      </c>
    </row>
    <row r="52" spans="1:11" x14ac:dyDescent="0.2">
      <c r="A52" s="182" t="s">
        <v>102</v>
      </c>
      <c r="B52" s="214">
        <f t="shared" ref="B52:B57" si="12">B4</f>
        <v>37450</v>
      </c>
      <c r="C52" s="191">
        <f t="shared" ref="C52:K58" si="13">C28/$K28</f>
        <v>0.58667919705864768</v>
      </c>
      <c r="D52" s="191">
        <f t="shared" si="13"/>
        <v>0.12068367564457781</v>
      </c>
      <c r="E52" s="191">
        <f t="shared" si="13"/>
        <v>3.5330394285454841E-2</v>
      </c>
      <c r="F52" s="191">
        <f t="shared" si="13"/>
        <v>5.9434830283136161E-2</v>
      </c>
      <c r="G52" s="191">
        <f t="shared" si="13"/>
        <v>9.3154609144506434E-2</v>
      </c>
      <c r="H52" s="191">
        <f t="shared" si="13"/>
        <v>4.3610150474734787E-2</v>
      </c>
      <c r="I52" s="191">
        <f t="shared" si="13"/>
        <v>2.6055411569340582E-2</v>
      </c>
      <c r="J52" s="191">
        <f t="shared" si="13"/>
        <v>3.5051731539601574E-2</v>
      </c>
      <c r="K52" s="191">
        <f t="shared" si="13"/>
        <v>1</v>
      </c>
    </row>
    <row r="53" spans="1:11" x14ac:dyDescent="0.2">
      <c r="A53" s="182" t="s">
        <v>76</v>
      </c>
      <c r="B53" s="214">
        <f t="shared" si="12"/>
        <v>18051</v>
      </c>
      <c r="C53" s="191">
        <f t="shared" si="13"/>
        <v>0.52823617095176834</v>
      </c>
      <c r="D53" s="191">
        <f t="shared" si="13"/>
        <v>0.11149713780694785</v>
      </c>
      <c r="E53" s="191">
        <f t="shared" si="13"/>
        <v>3.4533775369324421E-2</v>
      </c>
      <c r="F53" s="191">
        <f t="shared" si="13"/>
        <v>5.6289185803868387E-2</v>
      </c>
      <c r="G53" s="191">
        <f t="shared" si="13"/>
        <v>9.3181203128243587E-2</v>
      </c>
      <c r="H53" s="191">
        <f t="shared" si="13"/>
        <v>4.8374662926551446E-2</v>
      </c>
      <c r="I53" s="191">
        <f t="shared" si="13"/>
        <v>8.241287425655551E-2</v>
      </c>
      <c r="J53" s="191">
        <f t="shared" si="13"/>
        <v>4.547498975674058E-2</v>
      </c>
      <c r="K53" s="191">
        <f t="shared" si="13"/>
        <v>1</v>
      </c>
    </row>
    <row r="54" spans="1:11" x14ac:dyDescent="0.2">
      <c r="A54" s="182" t="s">
        <v>77</v>
      </c>
      <c r="B54" s="214">
        <f t="shared" si="12"/>
        <v>13477</v>
      </c>
      <c r="C54" s="191">
        <f t="shared" si="13"/>
        <v>0.54496119846669921</v>
      </c>
      <c r="D54" s="191">
        <f t="shared" si="13"/>
        <v>9.3693179622209577E-2</v>
      </c>
      <c r="E54" s="191">
        <f t="shared" si="13"/>
        <v>5.7441819875947465E-2</v>
      </c>
      <c r="F54" s="191">
        <f t="shared" si="13"/>
        <v>5.667691807304865E-2</v>
      </c>
      <c r="G54" s="191">
        <f t="shared" si="13"/>
        <v>0.10315981059892804</v>
      </c>
      <c r="H54" s="191">
        <f t="shared" si="13"/>
        <v>4.4427044063461818E-2</v>
      </c>
      <c r="I54" s="191">
        <f t="shared" si="13"/>
        <v>4.5559841432184153E-2</v>
      </c>
      <c r="J54" s="191">
        <f t="shared" si="13"/>
        <v>5.4080187867521078E-2</v>
      </c>
      <c r="K54" s="191">
        <f t="shared" si="13"/>
        <v>1</v>
      </c>
    </row>
    <row r="55" spans="1:11" x14ac:dyDescent="0.2">
      <c r="A55" s="182" t="s">
        <v>78</v>
      </c>
      <c r="B55" s="214">
        <f t="shared" si="12"/>
        <v>13204</v>
      </c>
      <c r="C55" s="191">
        <f t="shared" si="13"/>
        <v>0.5461541687945769</v>
      </c>
      <c r="D55" s="191">
        <f t="shared" si="13"/>
        <v>5.9549813372790451E-2</v>
      </c>
      <c r="E55" s="191">
        <f t="shared" si="13"/>
        <v>6.6072645979933578E-2</v>
      </c>
      <c r="F55" s="191">
        <f t="shared" si="13"/>
        <v>4.1113329240249755E-2</v>
      </c>
      <c r="G55" s="191">
        <f t="shared" si="13"/>
        <v>0.10146806465096131</v>
      </c>
      <c r="H55" s="191">
        <f t="shared" si="13"/>
        <v>5.3974506469538802E-2</v>
      </c>
      <c r="I55" s="191">
        <f t="shared" si="13"/>
        <v>6.4955963813511708E-2</v>
      </c>
      <c r="J55" s="191">
        <f t="shared" si="13"/>
        <v>6.6711507678437393E-2</v>
      </c>
      <c r="K55" s="191">
        <f t="shared" si="13"/>
        <v>1</v>
      </c>
    </row>
    <row r="56" spans="1:11" x14ac:dyDescent="0.2">
      <c r="A56" s="182" t="s">
        <v>79</v>
      </c>
      <c r="B56" s="214">
        <f t="shared" si="12"/>
        <v>5654</v>
      </c>
      <c r="C56" s="191">
        <f t="shared" si="13"/>
        <v>0.50106831707164601</v>
      </c>
      <c r="D56" s="191">
        <f t="shared" si="13"/>
        <v>3.5644867780135779E-2</v>
      </c>
      <c r="E56" s="191">
        <f t="shared" si="13"/>
        <v>8.0670274980606138E-2</v>
      </c>
      <c r="F56" s="191">
        <f t="shared" si="13"/>
        <v>3.4278882599960911E-2</v>
      </c>
      <c r="G56" s="191">
        <f t="shared" si="13"/>
        <v>0.12162117020140785</v>
      </c>
      <c r="H56" s="191">
        <f t="shared" si="13"/>
        <v>7.2698826829231553E-2</v>
      </c>
      <c r="I56" s="191">
        <f t="shared" si="13"/>
        <v>8.9647355730553088E-2</v>
      </c>
      <c r="J56" s="191">
        <f t="shared" si="13"/>
        <v>6.4370304806458598E-2</v>
      </c>
      <c r="K56" s="191">
        <f t="shared" si="13"/>
        <v>1</v>
      </c>
    </row>
    <row r="57" spans="1:11" x14ac:dyDescent="0.2">
      <c r="A57" s="182" t="s">
        <v>80</v>
      </c>
      <c r="B57" s="220">
        <f t="shared" si="12"/>
        <v>1790</v>
      </c>
      <c r="C57" s="193">
        <f t="shared" si="13"/>
        <v>0.57154033935890891</v>
      </c>
      <c r="D57" s="193">
        <f t="shared" si="13"/>
        <v>3.2863618909459165E-2</v>
      </c>
      <c r="E57" s="193">
        <f t="shared" si="13"/>
        <v>9.4654566715360586E-2</v>
      </c>
      <c r="F57" s="193">
        <f t="shared" si="13"/>
        <v>1.4531017439495931E-2</v>
      </c>
      <c r="G57" s="193">
        <f t="shared" si="13"/>
        <v>0.13115941272638107</v>
      </c>
      <c r="H57" s="193">
        <f t="shared" si="13"/>
        <v>9.2513035408175612E-2</v>
      </c>
      <c r="I57" s="193">
        <f t="shared" si="13"/>
        <v>2.2888131004142685E-2</v>
      </c>
      <c r="J57" s="193">
        <f t="shared" si="13"/>
        <v>3.9849878438075879E-2</v>
      </c>
      <c r="K57" s="193">
        <f t="shared" si="13"/>
        <v>1</v>
      </c>
    </row>
    <row r="58" spans="1:11" x14ac:dyDescent="0.2">
      <c r="A58" s="182" t="s">
        <v>219</v>
      </c>
      <c r="B58" s="214">
        <f>SUM(B52:B57)</f>
        <v>89626</v>
      </c>
      <c r="C58" s="191">
        <f t="shared" si="13"/>
        <v>0.55384463876605416</v>
      </c>
      <c r="D58" s="191">
        <f t="shared" si="13"/>
        <v>9.573363242135334E-2</v>
      </c>
      <c r="E58" s="191">
        <f t="shared" si="13"/>
        <v>4.8657857304944756E-2</v>
      </c>
      <c r="F58" s="191">
        <f t="shared" si="13"/>
        <v>5.23053465036315E-2</v>
      </c>
      <c r="G58" s="191">
        <f t="shared" si="13"/>
        <v>9.9335458756817069E-2</v>
      </c>
      <c r="H58" s="191">
        <f t="shared" si="13"/>
        <v>4.9968859526875013E-2</v>
      </c>
      <c r="I58" s="191">
        <f t="shared" si="13"/>
        <v>5.2390621307693584E-2</v>
      </c>
      <c r="J58" s="191">
        <f t="shared" si="13"/>
        <v>4.7763585412630531E-2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22224</v>
      </c>
      <c r="C60" s="191">
        <f t="shared" ref="C60:K65" si="14">C36/$K36</f>
        <v>0.53415440978310924</v>
      </c>
      <c r="D60" s="191">
        <f t="shared" si="14"/>
        <v>9.6748471186696258E-2</v>
      </c>
      <c r="E60" s="191">
        <f t="shared" si="14"/>
        <v>3.9289587526443119E-2</v>
      </c>
      <c r="F60" s="191">
        <f t="shared" si="14"/>
        <v>5.4738509107526402E-2</v>
      </c>
      <c r="G60" s="191">
        <f t="shared" si="14"/>
        <v>0.10081229123796863</v>
      </c>
      <c r="H60" s="191">
        <f t="shared" si="14"/>
        <v>3.5519891449745607E-2</v>
      </c>
      <c r="I60" s="191">
        <f t="shared" si="14"/>
        <v>5.9677746668632237E-2</v>
      </c>
      <c r="J60" s="191">
        <f t="shared" si="14"/>
        <v>7.9059093039878583E-2</v>
      </c>
      <c r="K60" s="191">
        <f t="shared" si="14"/>
        <v>1</v>
      </c>
    </row>
    <row r="61" spans="1:11" x14ac:dyDescent="0.2">
      <c r="A61" s="182" t="s">
        <v>82</v>
      </c>
      <c r="B61" s="214">
        <f>B37</f>
        <v>6925</v>
      </c>
      <c r="C61" s="191">
        <f t="shared" si="14"/>
        <v>0.46613275645991148</v>
      </c>
      <c r="D61" s="191">
        <f t="shared" si="14"/>
        <v>8.5164827451105748E-2</v>
      </c>
      <c r="E61" s="191">
        <f t="shared" si="14"/>
        <v>4.5594939109978881E-2</v>
      </c>
      <c r="F61" s="191">
        <f t="shared" si="14"/>
        <v>6.3782597111964309E-2</v>
      </c>
      <c r="G61" s="191">
        <f t="shared" si="14"/>
        <v>0.11685559443536958</v>
      </c>
      <c r="H61" s="191">
        <f t="shared" si="14"/>
        <v>6.9301537631751009E-2</v>
      </c>
      <c r="I61" s="191">
        <f t="shared" si="14"/>
        <v>5.3265754291425001E-2</v>
      </c>
      <c r="J61" s="191">
        <f t="shared" si="14"/>
        <v>9.9901993508494172E-2</v>
      </c>
      <c r="K61" s="191">
        <f t="shared" si="14"/>
        <v>1</v>
      </c>
    </row>
    <row r="62" spans="1:11" x14ac:dyDescent="0.2">
      <c r="A62" s="182" t="s">
        <v>83</v>
      </c>
      <c r="B62" s="214">
        <f>B38</f>
        <v>5426</v>
      </c>
      <c r="C62" s="191">
        <f t="shared" si="14"/>
        <v>0.4415820887259076</v>
      </c>
      <c r="D62" s="191">
        <f t="shared" si="14"/>
        <v>6.6851413363917908E-2</v>
      </c>
      <c r="E62" s="191">
        <f t="shared" si="14"/>
        <v>4.8525391287043883E-2</v>
      </c>
      <c r="F62" s="191">
        <f t="shared" si="14"/>
        <v>5.1765907948874867E-2</v>
      </c>
      <c r="G62" s="191">
        <f t="shared" si="14"/>
        <v>0.13375313506269884</v>
      </c>
      <c r="H62" s="191">
        <f t="shared" si="14"/>
        <v>6.0764123172589224E-2</v>
      </c>
      <c r="I62" s="191">
        <f t="shared" si="14"/>
        <v>0.110107497013227</v>
      </c>
      <c r="J62" s="191">
        <f t="shared" si="14"/>
        <v>8.6650443425740742E-2</v>
      </c>
      <c r="K62" s="191">
        <f t="shared" si="14"/>
        <v>1</v>
      </c>
    </row>
    <row r="63" spans="1:11" x14ac:dyDescent="0.2">
      <c r="A63" s="182" t="s">
        <v>84</v>
      </c>
      <c r="B63" s="214">
        <f>B39</f>
        <v>5335</v>
      </c>
      <c r="C63" s="191">
        <f t="shared" si="14"/>
        <v>0.43427971645085062</v>
      </c>
      <c r="D63" s="191">
        <f t="shared" si="14"/>
        <v>5.8541079812380381E-2</v>
      </c>
      <c r="E63" s="191">
        <f t="shared" si="14"/>
        <v>7.2652116392739774E-2</v>
      </c>
      <c r="F63" s="191">
        <f t="shared" si="14"/>
        <v>4.8975832221146549E-2</v>
      </c>
      <c r="G63" s="191">
        <f t="shared" si="14"/>
        <v>0.13118656952207847</v>
      </c>
      <c r="H63" s="191">
        <f t="shared" si="14"/>
        <v>9.2798249609928843E-2</v>
      </c>
      <c r="I63" s="191">
        <f t="shared" si="14"/>
        <v>6.8517058223371452E-2</v>
      </c>
      <c r="J63" s="191">
        <f t="shared" si="14"/>
        <v>9.304937776750391E-2</v>
      </c>
      <c r="K63" s="191">
        <f t="shared" si="14"/>
        <v>1</v>
      </c>
    </row>
    <row r="64" spans="1:11" x14ac:dyDescent="0.2">
      <c r="A64" s="182" t="s">
        <v>85</v>
      </c>
      <c r="B64" s="220">
        <f>B40</f>
        <v>1736</v>
      </c>
      <c r="C64" s="193">
        <f t="shared" si="14"/>
        <v>0.3901977491816917</v>
      </c>
      <c r="D64" s="193">
        <f t="shared" si="14"/>
        <v>2.9893973061134622E-2</v>
      </c>
      <c r="E64" s="193">
        <f t="shared" si="14"/>
        <v>0.10146700648216012</v>
      </c>
      <c r="F64" s="193">
        <f t="shared" si="14"/>
        <v>2.5895704523422179E-2</v>
      </c>
      <c r="G64" s="193">
        <f t="shared" si="14"/>
        <v>0.14138671212980927</v>
      </c>
      <c r="H64" s="193">
        <f t="shared" si="14"/>
        <v>8.6326163791973415E-2</v>
      </c>
      <c r="I64" s="193">
        <f t="shared" si="14"/>
        <v>0.13575147339461471</v>
      </c>
      <c r="J64" s="193">
        <f t="shared" si="14"/>
        <v>8.9081217435194052E-2</v>
      </c>
      <c r="K64" s="193">
        <f t="shared" si="14"/>
        <v>1</v>
      </c>
    </row>
    <row r="65" spans="1:11" x14ac:dyDescent="0.2">
      <c r="A65" s="182" t="s">
        <v>220</v>
      </c>
      <c r="B65" s="214">
        <f>SUM(B60:B64)</f>
        <v>41646</v>
      </c>
      <c r="C65" s="191">
        <f t="shared" si="14"/>
        <v>0.48402100210424231</v>
      </c>
      <c r="D65" s="191">
        <f t="shared" si="14"/>
        <v>7.9587255208187491E-2</v>
      </c>
      <c r="E65" s="191">
        <f t="shared" si="14"/>
        <v>5.1596952668228641E-2</v>
      </c>
      <c r="F65" s="191">
        <f t="shared" si="14"/>
        <v>5.2494756764874882E-2</v>
      </c>
      <c r="G65" s="191">
        <f t="shared" si="14"/>
        <v>0.11578879515994341</v>
      </c>
      <c r="H65" s="191">
        <f t="shared" si="14"/>
        <v>5.6977054078196754E-2</v>
      </c>
      <c r="I65" s="191">
        <f t="shared" si="14"/>
        <v>7.332867526619001E-2</v>
      </c>
      <c r="J65" s="191">
        <f t="shared" si="14"/>
        <v>8.6205508750136647E-2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10113</v>
      </c>
      <c r="C67" s="191">
        <f t="shared" ref="C67:K69" si="15">C43/$K43</f>
        <v>0.53434454834686462</v>
      </c>
      <c r="D67" s="191">
        <f t="shared" si="15"/>
        <v>5.9620768737196232E-2</v>
      </c>
      <c r="E67" s="191">
        <f t="shared" si="15"/>
        <v>4.493044805293555E-2</v>
      </c>
      <c r="F67" s="191">
        <f t="shared" si="15"/>
        <v>5.7748359172346123E-2</v>
      </c>
      <c r="G67" s="191">
        <f t="shared" si="15"/>
        <v>0.10939294664148391</v>
      </c>
      <c r="H67" s="191">
        <f t="shared" si="15"/>
        <v>5.1974209482666012E-2</v>
      </c>
      <c r="I67" s="191">
        <f t="shared" si="15"/>
        <v>7.031812309467228E-2</v>
      </c>
      <c r="J67" s="191">
        <f t="shared" si="15"/>
        <v>7.1670596471835185E-2</v>
      </c>
      <c r="K67" s="191">
        <f t="shared" si="15"/>
        <v>1</v>
      </c>
    </row>
    <row r="68" spans="1:11" x14ac:dyDescent="0.2">
      <c r="A68" s="182" t="s">
        <v>87</v>
      </c>
      <c r="B68" s="220">
        <f>B44</f>
        <v>7480</v>
      </c>
      <c r="C68" s="193">
        <f t="shared" si="15"/>
        <v>0.49450690796168728</v>
      </c>
      <c r="D68" s="193">
        <f t="shared" si="15"/>
        <v>4.1904423333369689E-2</v>
      </c>
      <c r="E68" s="193">
        <f t="shared" si="15"/>
        <v>8.6650472240917736E-2</v>
      </c>
      <c r="F68" s="193">
        <f t="shared" si="15"/>
        <v>3.4863421117372187E-2</v>
      </c>
      <c r="G68" s="193">
        <f t="shared" si="15"/>
        <v>0.12581562294413262</v>
      </c>
      <c r="H68" s="193">
        <f t="shared" si="15"/>
        <v>7.039553449988499E-2</v>
      </c>
      <c r="I68" s="193">
        <f t="shared" si="15"/>
        <v>6.3449576451426432E-2</v>
      </c>
      <c r="J68" s="193">
        <f t="shared" si="15"/>
        <v>8.2414041451208966E-2</v>
      </c>
      <c r="K68" s="193">
        <f t="shared" si="15"/>
        <v>1</v>
      </c>
    </row>
    <row r="69" spans="1:11" x14ac:dyDescent="0.2">
      <c r="A69" s="182" t="s">
        <v>221</v>
      </c>
      <c r="B69" s="214">
        <f>SUM(B67:B68)</f>
        <v>17593</v>
      </c>
      <c r="C69" s="191">
        <f t="shared" si="15"/>
        <v>0.51337852837302933</v>
      </c>
      <c r="D69" s="191">
        <f t="shared" si="15"/>
        <v>5.0296891920983036E-2</v>
      </c>
      <c r="E69" s="191">
        <f t="shared" si="15"/>
        <v>6.6887141571349507E-2</v>
      </c>
      <c r="F69" s="191">
        <f t="shared" si="15"/>
        <v>4.5704320827668128E-2</v>
      </c>
      <c r="G69" s="191">
        <f t="shared" si="15"/>
        <v>0.11803598262594646</v>
      </c>
      <c r="H69" s="191">
        <f t="shared" si="15"/>
        <v>6.1669107687511257E-2</v>
      </c>
      <c r="I69" s="191">
        <f t="shared" si="15"/>
        <v>6.670329840322059E-2</v>
      </c>
      <c r="J69" s="191">
        <f t="shared" si="15"/>
        <v>7.7324728590291714E-2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148865</v>
      </c>
      <c r="C71" s="195">
        <f t="shared" ref="C71:K71" si="16">C47/$K47</f>
        <v>0.52700467954800778</v>
      </c>
      <c r="D71" s="195">
        <f t="shared" si="16"/>
        <v>8.4847626588965289E-2</v>
      </c>
      <c r="E71" s="195">
        <f t="shared" si="16"/>
        <v>5.1931017355913371E-2</v>
      </c>
      <c r="F71" s="195">
        <f t="shared" si="16"/>
        <v>5.1507777691748594E-2</v>
      </c>
      <c r="G71" s="195">
        <f t="shared" si="16"/>
        <v>0.10684875033046241</v>
      </c>
      <c r="H71" s="195">
        <f t="shared" si="16"/>
        <v>5.3653505001271438E-2</v>
      </c>
      <c r="I71" s="195">
        <f t="shared" si="16"/>
        <v>6.0721628187782248E-2</v>
      </c>
      <c r="J71" s="195">
        <f t="shared" si="16"/>
        <v>6.3485015295848879E-2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39"/>
  <dimension ref="A1:W75"/>
  <sheetViews>
    <sheetView topLeftCell="A22" zoomScaleNormal="100" workbookViewId="0">
      <selection activeCell="Q51" sqref="Q51"/>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17" width="12.5703125" bestFit="1" customWidth="1"/>
    <col min="18" max="19" width="11.5703125" bestFit="1" customWidth="1"/>
    <col min="20" max="21" width="10.5703125" bestFit="1" customWidth="1"/>
    <col min="22" max="23" width="9.85546875" bestFit="1" customWidth="1"/>
  </cols>
  <sheetData>
    <row r="1" spans="1:23" x14ac:dyDescent="0.2">
      <c r="A1" s="36" t="s">
        <v>247</v>
      </c>
      <c r="B1" s="22"/>
      <c r="C1" s="22"/>
      <c r="D1" s="22"/>
      <c r="E1" s="22"/>
      <c r="F1" s="22"/>
      <c r="G1" s="22"/>
      <c r="H1" s="22"/>
      <c r="I1" s="22"/>
      <c r="J1" s="22"/>
      <c r="K1" s="22"/>
    </row>
    <row r="2" spans="1:23" x14ac:dyDescent="0.2">
      <c r="A2" s="22" t="s">
        <v>1053</v>
      </c>
      <c r="B2" s="22"/>
      <c r="C2" s="22"/>
      <c r="D2" s="22"/>
      <c r="E2" s="22"/>
      <c r="F2" s="22"/>
      <c r="G2" s="22"/>
      <c r="H2" s="22"/>
      <c r="I2" s="22"/>
      <c r="J2" s="22"/>
      <c r="K2" s="22"/>
    </row>
    <row r="3" spans="1:23" ht="33.75" x14ac:dyDescent="0.2">
      <c r="A3" s="21" t="s">
        <v>245</v>
      </c>
      <c r="B3" s="21" t="s">
        <v>1026</v>
      </c>
      <c r="C3" s="12" t="s">
        <v>1054</v>
      </c>
      <c r="D3" s="12" t="s">
        <v>1055</v>
      </c>
      <c r="E3" s="12" t="s">
        <v>1056</v>
      </c>
      <c r="F3" s="12" t="s">
        <v>1057</v>
      </c>
      <c r="G3" s="12" t="s">
        <v>1058</v>
      </c>
      <c r="H3" s="12" t="s">
        <v>1059</v>
      </c>
      <c r="I3" s="12" t="s">
        <v>1048</v>
      </c>
      <c r="J3" s="12" t="s">
        <v>1060</v>
      </c>
      <c r="K3" s="12" t="s">
        <v>1061</v>
      </c>
    </row>
    <row r="4" spans="1:23" x14ac:dyDescent="0.2">
      <c r="A4" s="33" t="s">
        <v>102</v>
      </c>
      <c r="B4" s="214">
        <v>37450</v>
      </c>
      <c r="C4" s="214">
        <v>187199249.38999999</v>
      </c>
      <c r="D4" s="214">
        <v>38533630.939999998</v>
      </c>
      <c r="E4" s="214">
        <v>10911899.939999999</v>
      </c>
      <c r="F4" s="214">
        <v>18413310.330000002</v>
      </c>
      <c r="G4" s="214">
        <v>28700033.590000004</v>
      </c>
      <c r="H4" s="214">
        <v>13507063.630000001</v>
      </c>
      <c r="I4" s="214">
        <v>10798433.210000001</v>
      </c>
      <c r="J4" s="214">
        <v>8062330.5599999987</v>
      </c>
      <c r="K4" s="214">
        <f t="shared" ref="K4:K9" si="0">SUM(C4:J4)</f>
        <v>316125951.58999997</v>
      </c>
      <c r="N4" s="214"/>
      <c r="O4" s="214"/>
      <c r="P4" s="214"/>
      <c r="Q4" s="214"/>
      <c r="R4" s="214"/>
      <c r="S4" s="214"/>
      <c r="T4" s="214"/>
      <c r="U4" s="214"/>
      <c r="V4" s="214"/>
      <c r="W4" s="214"/>
    </row>
    <row r="5" spans="1:23" x14ac:dyDescent="0.2">
      <c r="A5" s="33" t="s">
        <v>76</v>
      </c>
      <c r="B5" s="214">
        <v>18051</v>
      </c>
      <c r="C5" s="214">
        <v>98741939.460000008</v>
      </c>
      <c r="D5" s="214">
        <v>21260729.559999999</v>
      </c>
      <c r="E5" s="214">
        <v>6152272.4999999991</v>
      </c>
      <c r="F5" s="214">
        <v>10029958.02</v>
      </c>
      <c r="G5" s="214">
        <v>16747294.129999999</v>
      </c>
      <c r="H5" s="214">
        <v>9221859.790000001</v>
      </c>
      <c r="I5" s="214">
        <v>8081153.1399999997</v>
      </c>
      <c r="J5" s="214">
        <v>14872324.289999999</v>
      </c>
      <c r="K5" s="214">
        <f t="shared" si="0"/>
        <v>185107530.88999999</v>
      </c>
      <c r="N5" s="214"/>
      <c r="O5" s="214"/>
      <c r="P5" s="214"/>
      <c r="Q5" s="214"/>
      <c r="R5" s="214"/>
      <c r="S5" s="214"/>
      <c r="T5" s="214"/>
      <c r="U5" s="214"/>
      <c r="V5" s="214"/>
      <c r="W5" s="214"/>
    </row>
    <row r="6" spans="1:23" x14ac:dyDescent="0.2">
      <c r="A6" s="33" t="s">
        <v>77</v>
      </c>
      <c r="B6" s="214">
        <v>13477</v>
      </c>
      <c r="C6" s="214">
        <v>77044130.440000013</v>
      </c>
      <c r="D6" s="214">
        <v>12917124.26</v>
      </c>
      <c r="E6" s="214">
        <v>7711672.3100000015</v>
      </c>
      <c r="F6" s="214">
        <v>7522135.3000000026</v>
      </c>
      <c r="G6" s="214">
        <v>13803749.980000002</v>
      </c>
      <c r="H6" s="214">
        <v>5941085.7699999996</v>
      </c>
      <c r="I6" s="214">
        <v>7186095.2499999991</v>
      </c>
      <c r="J6" s="214">
        <v>6175659.7400000002</v>
      </c>
      <c r="K6" s="214">
        <f t="shared" si="0"/>
        <v>138301653.05000001</v>
      </c>
      <c r="N6" s="214"/>
      <c r="O6" s="214"/>
      <c r="P6" s="214"/>
      <c r="Q6" s="214"/>
      <c r="R6" s="214"/>
      <c r="S6" s="214"/>
      <c r="T6" s="214"/>
      <c r="U6" s="214"/>
      <c r="V6" s="214"/>
      <c r="W6" s="214"/>
    </row>
    <row r="7" spans="1:23" x14ac:dyDescent="0.2">
      <c r="A7" s="33" t="s">
        <v>78</v>
      </c>
      <c r="B7" s="214">
        <v>13204</v>
      </c>
      <c r="C7" s="214">
        <v>74063094.780000001</v>
      </c>
      <c r="D7" s="214">
        <v>7911539.3899999997</v>
      </c>
      <c r="E7" s="214">
        <v>8620601.0699999984</v>
      </c>
      <c r="F7" s="214">
        <v>5409810.9900000002</v>
      </c>
      <c r="G7" s="214">
        <v>13216130.850000001</v>
      </c>
      <c r="H7" s="214">
        <v>7019544.7599999988</v>
      </c>
      <c r="I7" s="214">
        <v>8696029.5700000003</v>
      </c>
      <c r="J7" s="214">
        <v>8757031.5199999977</v>
      </c>
      <c r="K7" s="214">
        <f t="shared" si="0"/>
        <v>133693782.92999999</v>
      </c>
      <c r="N7" s="214"/>
      <c r="O7" s="214"/>
      <c r="P7" s="214"/>
      <c r="Q7" s="214"/>
      <c r="R7" s="214"/>
      <c r="S7" s="214"/>
      <c r="T7" s="214"/>
      <c r="U7" s="214"/>
      <c r="V7" s="214"/>
      <c r="W7" s="214"/>
    </row>
    <row r="8" spans="1:23" x14ac:dyDescent="0.2">
      <c r="A8" s="33" t="s">
        <v>79</v>
      </c>
      <c r="B8" s="214">
        <v>5654</v>
      </c>
      <c r="C8" s="214">
        <v>36963357.179999985</v>
      </c>
      <c r="D8" s="214">
        <v>2667992.1700000004</v>
      </c>
      <c r="E8" s="214">
        <v>5741304.6099999985</v>
      </c>
      <c r="F8" s="214">
        <v>2473713.91</v>
      </c>
      <c r="G8" s="214">
        <v>8697297.4000000022</v>
      </c>
      <c r="H8" s="214">
        <v>5158633.6500000004</v>
      </c>
      <c r="I8" s="214">
        <v>4583754.76</v>
      </c>
      <c r="J8" s="214">
        <v>6369507.1199999992</v>
      </c>
      <c r="K8" s="214">
        <f t="shared" si="0"/>
        <v>72655560.799999997</v>
      </c>
      <c r="N8" s="214"/>
      <c r="O8" s="214"/>
      <c r="P8" s="214"/>
      <c r="Q8" s="214"/>
      <c r="R8" s="214"/>
      <c r="S8" s="214"/>
      <c r="T8" s="214"/>
      <c r="U8" s="214"/>
      <c r="V8" s="214"/>
      <c r="W8" s="214"/>
    </row>
    <row r="9" spans="1:23" x14ac:dyDescent="0.2">
      <c r="A9" s="33" t="s">
        <v>80</v>
      </c>
      <c r="B9" s="220">
        <v>1790</v>
      </c>
      <c r="C9" s="220">
        <v>11560593.33</v>
      </c>
      <c r="D9" s="220">
        <v>658277.59</v>
      </c>
      <c r="E9" s="220">
        <v>1882606.14</v>
      </c>
      <c r="F9" s="220">
        <v>288626.91000000003</v>
      </c>
      <c r="G9" s="220">
        <v>2605653.1400000006</v>
      </c>
      <c r="H9" s="220">
        <v>1837569.2999999993</v>
      </c>
      <c r="I9" s="220">
        <v>801530.76</v>
      </c>
      <c r="J9" s="220">
        <v>468588.96</v>
      </c>
      <c r="K9" s="220">
        <f t="shared" si="0"/>
        <v>20103446.130000003</v>
      </c>
      <c r="N9" s="214"/>
      <c r="O9" s="214"/>
      <c r="P9" s="214"/>
      <c r="Q9" s="214"/>
      <c r="R9" s="214"/>
      <c r="S9" s="214"/>
      <c r="T9" s="214"/>
      <c r="U9" s="214"/>
      <c r="V9" s="214"/>
      <c r="W9" s="214"/>
    </row>
    <row r="10" spans="1:23" x14ac:dyDescent="0.2">
      <c r="A10" s="182" t="s">
        <v>103</v>
      </c>
      <c r="B10" s="214">
        <f t="shared" ref="B10:K10" si="1">SUM(B4:B9)</f>
        <v>89626</v>
      </c>
      <c r="C10" s="214">
        <f t="shared" si="1"/>
        <v>485572364.58000004</v>
      </c>
      <c r="D10" s="214">
        <f t="shared" si="1"/>
        <v>83949293.910000011</v>
      </c>
      <c r="E10" s="214">
        <f t="shared" si="1"/>
        <v>41020356.57</v>
      </c>
      <c r="F10" s="214">
        <f t="shared" si="1"/>
        <v>44137555.460000008</v>
      </c>
      <c r="G10" s="214">
        <f t="shared" si="1"/>
        <v>83770159.090000018</v>
      </c>
      <c r="H10" s="214">
        <f t="shared" si="1"/>
        <v>42685756.899999999</v>
      </c>
      <c r="I10" s="214">
        <f t="shared" si="1"/>
        <v>40146996.689999998</v>
      </c>
      <c r="J10" s="214">
        <f t="shared" si="1"/>
        <v>44705442.18999999</v>
      </c>
      <c r="K10" s="214">
        <f t="shared" si="1"/>
        <v>865987925.38999987</v>
      </c>
      <c r="N10" s="214"/>
      <c r="O10" s="214"/>
      <c r="P10" s="214"/>
      <c r="Q10" s="214"/>
      <c r="R10" s="214"/>
      <c r="S10" s="214"/>
      <c r="T10" s="214"/>
      <c r="U10" s="214"/>
      <c r="V10" s="214"/>
      <c r="W10" s="214"/>
    </row>
    <row r="11" spans="1:23" x14ac:dyDescent="0.2">
      <c r="A11" s="33"/>
      <c r="B11" s="214"/>
      <c r="C11" s="214"/>
      <c r="D11" s="214"/>
      <c r="E11" s="214"/>
      <c r="F11" s="214"/>
      <c r="G11" s="214"/>
      <c r="H11" s="214"/>
      <c r="I11" s="214"/>
      <c r="J11" s="214"/>
      <c r="K11" s="182"/>
      <c r="N11" s="214"/>
      <c r="O11" s="214"/>
      <c r="P11" s="214"/>
      <c r="Q11" s="214"/>
      <c r="R11" s="214"/>
      <c r="S11" s="214"/>
      <c r="T11" s="214"/>
      <c r="U11" s="214"/>
      <c r="V11" s="214"/>
      <c r="W11" s="214"/>
    </row>
    <row r="12" spans="1:23" x14ac:dyDescent="0.2">
      <c r="A12" s="33" t="s">
        <v>81</v>
      </c>
      <c r="B12" s="214">
        <v>22224</v>
      </c>
      <c r="C12" s="214">
        <v>121264532.01999998</v>
      </c>
      <c r="D12" s="214">
        <v>21662307.339999996</v>
      </c>
      <c r="E12" s="214">
        <v>8628675.3800000008</v>
      </c>
      <c r="F12" s="214">
        <v>12170195.430000002</v>
      </c>
      <c r="G12" s="214">
        <v>22158533.989999998</v>
      </c>
      <c r="H12" s="214">
        <v>7800784.6899999995</v>
      </c>
      <c r="I12" s="214">
        <v>17367749.079999998</v>
      </c>
      <c r="J12" s="214">
        <v>13106269.01</v>
      </c>
      <c r="K12" s="214">
        <f>SUM(C12:J12)</f>
        <v>224159046.94</v>
      </c>
      <c r="N12" s="214"/>
      <c r="O12" s="214"/>
      <c r="P12" s="214"/>
      <c r="Q12" s="214"/>
      <c r="R12" s="214"/>
      <c r="S12" s="214"/>
      <c r="T12" s="214"/>
      <c r="U12" s="214"/>
      <c r="V12" s="214"/>
      <c r="W12" s="214"/>
    </row>
    <row r="13" spans="1:23" x14ac:dyDescent="0.2">
      <c r="A13" s="33" t="s">
        <v>82</v>
      </c>
      <c r="B13" s="214">
        <v>6925</v>
      </c>
      <c r="C13" s="214">
        <v>32579362.310000002</v>
      </c>
      <c r="D13" s="214">
        <v>5919503.6900000004</v>
      </c>
      <c r="E13" s="214">
        <v>3169141.75</v>
      </c>
      <c r="F13" s="214">
        <v>4433301.0500000007</v>
      </c>
      <c r="G13" s="214">
        <v>8122215.9799999986</v>
      </c>
      <c r="H13" s="214">
        <v>4816902.9399999995</v>
      </c>
      <c r="I13" s="214">
        <v>6943831.5899999999</v>
      </c>
      <c r="J13" s="214">
        <v>3915642.5500000003</v>
      </c>
      <c r="K13" s="214">
        <f>SUM(C13:J13)</f>
        <v>69899901.859999985</v>
      </c>
      <c r="N13" s="214"/>
      <c r="O13" s="214"/>
      <c r="P13" s="214"/>
      <c r="Q13" s="214"/>
      <c r="R13" s="214"/>
      <c r="S13" s="214"/>
      <c r="T13" s="214"/>
      <c r="U13" s="214"/>
      <c r="V13" s="214"/>
      <c r="W13" s="214"/>
    </row>
    <row r="14" spans="1:23" x14ac:dyDescent="0.2">
      <c r="A14" s="33" t="s">
        <v>83</v>
      </c>
      <c r="B14" s="214">
        <v>5426</v>
      </c>
      <c r="C14" s="214">
        <v>29789507.159999996</v>
      </c>
      <c r="D14" s="214">
        <v>4619183.25</v>
      </c>
      <c r="E14" s="214">
        <v>3203765.6799999992</v>
      </c>
      <c r="F14" s="214">
        <v>3422072.4100000006</v>
      </c>
      <c r="G14" s="214">
        <v>8841373.9399999995</v>
      </c>
      <c r="H14" s="214">
        <v>4011943.7200000007</v>
      </c>
      <c r="I14" s="214">
        <v>5725875.3899999997</v>
      </c>
      <c r="J14" s="214">
        <v>7269567.7599999988</v>
      </c>
      <c r="K14" s="214">
        <f>SUM(C14:J14)</f>
        <v>66883289.309999995</v>
      </c>
      <c r="N14" s="214"/>
      <c r="O14" s="214"/>
      <c r="P14" s="214"/>
      <c r="Q14" s="214"/>
      <c r="R14" s="214"/>
      <c r="S14" s="214"/>
      <c r="T14" s="214"/>
      <c r="U14" s="214"/>
      <c r="V14" s="214"/>
      <c r="W14" s="214"/>
    </row>
    <row r="15" spans="1:23" x14ac:dyDescent="0.2">
      <c r="A15" s="33" t="s">
        <v>84</v>
      </c>
      <c r="B15" s="214">
        <v>5335</v>
      </c>
      <c r="C15" s="214">
        <v>30954255.799999993</v>
      </c>
      <c r="D15" s="214">
        <v>4153494.6699999995</v>
      </c>
      <c r="E15" s="214">
        <v>5217079.7399999984</v>
      </c>
      <c r="F15" s="214">
        <v>3449314.01</v>
      </c>
      <c r="G15" s="214">
        <v>9259013.8000000045</v>
      </c>
      <c r="H15" s="214">
        <v>6535691.8200000003</v>
      </c>
      <c r="I15" s="214">
        <v>6553365.3600000013</v>
      </c>
      <c r="J15" s="214">
        <v>4979412.09</v>
      </c>
      <c r="K15" s="214">
        <f>SUM(C15:J15)</f>
        <v>71101627.289999992</v>
      </c>
      <c r="N15" s="214"/>
      <c r="O15" s="214"/>
      <c r="P15" s="214"/>
      <c r="Q15" s="214"/>
      <c r="R15" s="214"/>
      <c r="S15" s="214"/>
      <c r="T15" s="214"/>
      <c r="U15" s="214"/>
      <c r="V15" s="214"/>
      <c r="W15" s="214"/>
    </row>
    <row r="16" spans="1:23" x14ac:dyDescent="0.2">
      <c r="A16" s="33" t="s">
        <v>85</v>
      </c>
      <c r="B16" s="220">
        <v>1736</v>
      </c>
      <c r="C16" s="220">
        <v>14441327.92</v>
      </c>
      <c r="D16" s="220">
        <v>1104994.49</v>
      </c>
      <c r="E16" s="220">
        <v>3743694.290000001</v>
      </c>
      <c r="F16" s="220">
        <v>955439.65000000014</v>
      </c>
      <c r="G16" s="220">
        <v>5232378.0100000016</v>
      </c>
      <c r="H16" s="220">
        <v>3185062.5900000003</v>
      </c>
      <c r="I16" s="220">
        <v>3291712.17</v>
      </c>
      <c r="J16" s="220">
        <v>5027290.04</v>
      </c>
      <c r="K16" s="220">
        <f>SUM(C16:J16)</f>
        <v>36981899.160000004</v>
      </c>
      <c r="N16" s="214"/>
      <c r="O16" s="214"/>
      <c r="P16" s="214"/>
      <c r="Q16" s="214"/>
      <c r="R16" s="214"/>
      <c r="S16" s="214"/>
      <c r="T16" s="214"/>
      <c r="U16" s="214"/>
      <c r="V16" s="214"/>
      <c r="W16" s="214"/>
    </row>
    <row r="17" spans="1:21" x14ac:dyDescent="0.2">
      <c r="A17" s="182" t="s">
        <v>104</v>
      </c>
      <c r="B17" s="214">
        <f t="shared" ref="B17:K17" si="2">SUM(B12:B16)</f>
        <v>41646</v>
      </c>
      <c r="C17" s="214">
        <f t="shared" si="2"/>
        <v>229028985.20999995</v>
      </c>
      <c r="D17" s="214">
        <f t="shared" si="2"/>
        <v>37459483.439999998</v>
      </c>
      <c r="E17" s="214">
        <f t="shared" si="2"/>
        <v>23962356.839999996</v>
      </c>
      <c r="F17" s="214">
        <f t="shared" si="2"/>
        <v>24430322.550000004</v>
      </c>
      <c r="G17" s="214">
        <f t="shared" si="2"/>
        <v>53613515.719999999</v>
      </c>
      <c r="H17" s="214">
        <f t="shared" si="2"/>
        <v>26350385.760000002</v>
      </c>
      <c r="I17" s="214">
        <f t="shared" si="2"/>
        <v>39882533.590000004</v>
      </c>
      <c r="J17" s="214">
        <f t="shared" si="2"/>
        <v>34298181.449999996</v>
      </c>
      <c r="K17" s="214">
        <f t="shared" si="2"/>
        <v>469025764.56</v>
      </c>
    </row>
    <row r="18" spans="1:21" x14ac:dyDescent="0.2">
      <c r="A18" s="33"/>
      <c r="B18" s="214"/>
      <c r="C18" s="214"/>
      <c r="D18" s="214"/>
      <c r="E18" s="214"/>
      <c r="F18" s="214"/>
      <c r="G18" s="214"/>
      <c r="H18" s="214"/>
      <c r="I18" s="214"/>
      <c r="J18" s="214"/>
      <c r="K18" s="182"/>
    </row>
    <row r="19" spans="1:21" x14ac:dyDescent="0.2">
      <c r="A19" s="33" t="s">
        <v>86</v>
      </c>
      <c r="B19" s="214">
        <v>10113</v>
      </c>
      <c r="C19" s="214">
        <v>51080043.399999999</v>
      </c>
      <c r="D19" s="214">
        <v>5681240.96</v>
      </c>
      <c r="E19" s="214">
        <v>4128498.4600000004</v>
      </c>
      <c r="F19" s="214">
        <v>5306290.5500000007</v>
      </c>
      <c r="G19" s="214">
        <v>10051727.309999999</v>
      </c>
      <c r="H19" s="214">
        <v>4775724.5500000007</v>
      </c>
      <c r="I19" s="214">
        <v>6605555.2300000004</v>
      </c>
      <c r="J19" s="214">
        <v>6461281.2800000003</v>
      </c>
      <c r="K19" s="214">
        <f>SUM(C19:J19)</f>
        <v>94090361.74000001</v>
      </c>
    </row>
    <row r="20" spans="1:21" x14ac:dyDescent="0.2">
      <c r="A20" s="33" t="s">
        <v>87</v>
      </c>
      <c r="B20" s="233">
        <v>7480</v>
      </c>
      <c r="C20" s="234">
        <v>52306939.150000006</v>
      </c>
      <c r="D20" s="234">
        <v>4368150.6400000006</v>
      </c>
      <c r="E20" s="234">
        <v>8848978.6099999994</v>
      </c>
      <c r="F20" s="234">
        <v>3588019.1300000008</v>
      </c>
      <c r="G20" s="234">
        <v>12848746.129999997</v>
      </c>
      <c r="H20" s="234">
        <v>7230864.04</v>
      </c>
      <c r="I20" s="234">
        <v>8424698.5600000005</v>
      </c>
      <c r="J20" s="220">
        <v>6522194.040000001</v>
      </c>
      <c r="K20" s="220">
        <f>SUM(C20:J20)</f>
        <v>104138590.30000001</v>
      </c>
    </row>
    <row r="21" spans="1:21" x14ac:dyDescent="0.2">
      <c r="A21" s="182" t="s">
        <v>105</v>
      </c>
      <c r="B21" s="214">
        <f t="shared" ref="B21:K21" si="3">SUM(B19:B20)</f>
        <v>17593</v>
      </c>
      <c r="C21" s="214">
        <f t="shared" si="3"/>
        <v>103386982.55000001</v>
      </c>
      <c r="D21" s="214">
        <f t="shared" si="3"/>
        <v>10049391.600000001</v>
      </c>
      <c r="E21" s="214">
        <f t="shared" si="3"/>
        <v>12977477.07</v>
      </c>
      <c r="F21" s="214">
        <f t="shared" si="3"/>
        <v>8894309.6800000016</v>
      </c>
      <c r="G21" s="214">
        <f t="shared" si="3"/>
        <v>22900473.439999998</v>
      </c>
      <c r="H21" s="214">
        <f t="shared" si="3"/>
        <v>12006588.59</v>
      </c>
      <c r="I21" s="214">
        <f t="shared" si="3"/>
        <v>15030253.790000001</v>
      </c>
      <c r="J21" s="214">
        <f t="shared" si="3"/>
        <v>12983475.32</v>
      </c>
      <c r="K21" s="214">
        <f t="shared" si="3"/>
        <v>198228952.04000002</v>
      </c>
    </row>
    <row r="22" spans="1:21" x14ac:dyDescent="0.2">
      <c r="A22" s="33"/>
      <c r="B22" s="214"/>
      <c r="C22" s="214"/>
      <c r="D22" s="214"/>
      <c r="E22" s="214"/>
      <c r="F22" s="214"/>
      <c r="G22" s="214"/>
      <c r="H22" s="214"/>
      <c r="I22" s="214"/>
      <c r="J22" s="214"/>
      <c r="K22" s="214"/>
    </row>
    <row r="23" spans="1:21" ht="13.5" thickBot="1" x14ac:dyDescent="0.25">
      <c r="A23" s="182" t="s">
        <v>209</v>
      </c>
      <c r="B23" s="222">
        <f t="shared" ref="B23:K23" si="4">B21+B17+B10</f>
        <v>148865</v>
      </c>
      <c r="C23" s="222">
        <f t="shared" si="4"/>
        <v>817988332.34000003</v>
      </c>
      <c r="D23" s="222">
        <f t="shared" si="4"/>
        <v>131458168.95000002</v>
      </c>
      <c r="E23" s="222">
        <f t="shared" si="4"/>
        <v>77960190.479999989</v>
      </c>
      <c r="F23" s="222">
        <f t="shared" si="4"/>
        <v>77462187.690000013</v>
      </c>
      <c r="G23" s="222">
        <f t="shared" si="4"/>
        <v>160284148.25</v>
      </c>
      <c r="H23" s="222">
        <f t="shared" si="4"/>
        <v>81042731.25</v>
      </c>
      <c r="I23" s="222">
        <f t="shared" si="4"/>
        <v>95059784.069999993</v>
      </c>
      <c r="J23" s="222">
        <f t="shared" si="4"/>
        <v>91987098.959999979</v>
      </c>
      <c r="K23" s="222">
        <f t="shared" si="4"/>
        <v>1533242641.9899998</v>
      </c>
    </row>
    <row r="24" spans="1:21" ht="13.5" thickTop="1" x14ac:dyDescent="0.2">
      <c r="A24" s="33"/>
      <c r="B24" s="182"/>
      <c r="C24" s="182"/>
      <c r="D24" s="182"/>
      <c r="E24" s="182"/>
      <c r="F24" s="182"/>
      <c r="G24" s="182"/>
      <c r="H24" s="182"/>
      <c r="I24" s="182"/>
      <c r="J24" s="182"/>
      <c r="K24" s="182"/>
    </row>
    <row r="25" spans="1:21" x14ac:dyDescent="0.2">
      <c r="A25" s="36" t="s">
        <v>247</v>
      </c>
      <c r="B25" s="22"/>
      <c r="C25" s="22"/>
      <c r="D25" s="22"/>
      <c r="E25" s="22"/>
      <c r="F25" s="22"/>
      <c r="G25" s="22"/>
      <c r="H25" s="22"/>
      <c r="I25" s="22"/>
      <c r="J25" s="22"/>
      <c r="K25" s="22"/>
    </row>
    <row r="26" spans="1:21" x14ac:dyDescent="0.2">
      <c r="A26" s="36" t="s">
        <v>1051</v>
      </c>
      <c r="B26" s="22"/>
      <c r="C26" s="22"/>
      <c r="D26" s="22"/>
      <c r="E26" s="22"/>
      <c r="F26" s="22"/>
      <c r="G26" s="22"/>
      <c r="H26" s="22"/>
      <c r="I26" s="22"/>
      <c r="J26" s="22"/>
      <c r="K26" s="22"/>
    </row>
    <row r="27" spans="1:21" ht="39" customHeight="1" x14ac:dyDescent="0.2">
      <c r="A27" s="21" t="s">
        <v>245</v>
      </c>
      <c r="B27" s="21" t="str">
        <f>B3</f>
        <v>ANB10</v>
      </c>
      <c r="C27" s="21" t="str">
        <f t="shared" ref="C27:K27" si="5">C3</f>
        <v>10/Pupil Instruction</v>
      </c>
      <c r="D27" s="21" t="str">
        <f t="shared" si="5"/>
        <v>10/Pupil Student Services</v>
      </c>
      <c r="E27" s="21" t="str">
        <f t="shared" si="5"/>
        <v>10/Pupil General Admin</v>
      </c>
      <c r="F27" s="21" t="str">
        <f t="shared" si="5"/>
        <v>10/Pupil Bldg Admin</v>
      </c>
      <c r="G27" s="21" t="str">
        <f t="shared" si="5"/>
        <v>10/Pupil Bldg OM</v>
      </c>
      <c r="H27" s="21" t="str">
        <f t="shared" si="5"/>
        <v>10/Pupil Transport</v>
      </c>
      <c r="I27" s="21" t="str">
        <f t="shared" si="5"/>
        <v>10/Pupil Other</v>
      </c>
      <c r="J27" s="21" t="str">
        <f t="shared" si="5"/>
        <v>10/Pupil Bonds/ Facilities</v>
      </c>
      <c r="K27" s="21" t="str">
        <f t="shared" si="5"/>
        <v>10/Pupil Total</v>
      </c>
    </row>
    <row r="28" spans="1:21" ht="15" x14ac:dyDescent="0.25">
      <c r="A28" s="182" t="s">
        <v>102</v>
      </c>
      <c r="B28" s="214">
        <f t="shared" ref="B28:B33" si="6">B4</f>
        <v>37450</v>
      </c>
      <c r="C28" s="182">
        <f t="shared" ref="C28:K34" si="7">C4/$B28</f>
        <v>4998.6448435246994</v>
      </c>
      <c r="D28" s="182">
        <f t="shared" si="7"/>
        <v>1028.9354056074765</v>
      </c>
      <c r="E28" s="182">
        <f t="shared" si="7"/>
        <v>291.3724950600801</v>
      </c>
      <c r="F28" s="182">
        <f t="shared" si="7"/>
        <v>491.67717837116157</v>
      </c>
      <c r="G28" s="182">
        <f t="shared" si="7"/>
        <v>766.35603711615499</v>
      </c>
      <c r="H28" s="182">
        <f t="shared" si="7"/>
        <v>360.6692558077437</v>
      </c>
      <c r="I28" s="182">
        <f t="shared" si="7"/>
        <v>288.34267583444597</v>
      </c>
      <c r="J28" s="182">
        <f t="shared" si="7"/>
        <v>215.28252496662213</v>
      </c>
      <c r="K28" s="182">
        <f t="shared" si="7"/>
        <v>8441.280416288384</v>
      </c>
      <c r="O28" s="247"/>
      <c r="P28" s="273"/>
      <c r="Q28" s="273"/>
      <c r="R28" s="273"/>
      <c r="S28" s="273"/>
      <c r="T28" s="273"/>
      <c r="U28" s="273"/>
    </row>
    <row r="29" spans="1:21" ht="15" x14ac:dyDescent="0.25">
      <c r="A29" s="182" t="s">
        <v>76</v>
      </c>
      <c r="B29" s="214">
        <f t="shared" si="6"/>
        <v>18051</v>
      </c>
      <c r="C29" s="182">
        <f t="shared" si="7"/>
        <v>5470.1645039056011</v>
      </c>
      <c r="D29" s="182">
        <f t="shared" si="7"/>
        <v>1177.814501135671</v>
      </c>
      <c r="E29" s="182">
        <f t="shared" si="7"/>
        <v>340.82723948811696</v>
      </c>
      <c r="F29" s="182">
        <f t="shared" si="7"/>
        <v>555.64556091075281</v>
      </c>
      <c r="G29" s="182">
        <f t="shared" si="7"/>
        <v>927.77652927815632</v>
      </c>
      <c r="H29" s="182">
        <f t="shared" si="7"/>
        <v>510.87805606337605</v>
      </c>
      <c r="I29" s="182">
        <f t="shared" si="7"/>
        <v>447.68451276937566</v>
      </c>
      <c r="J29" s="182">
        <f t="shared" si="7"/>
        <v>823.90583845770311</v>
      </c>
      <c r="K29" s="182">
        <f t="shared" si="7"/>
        <v>10254.696742008753</v>
      </c>
      <c r="O29" s="247"/>
      <c r="P29" s="273"/>
      <c r="Q29" s="273"/>
      <c r="R29" s="273"/>
      <c r="S29" s="273"/>
      <c r="T29" s="273"/>
      <c r="U29" s="273"/>
    </row>
    <row r="30" spans="1:21" ht="15" x14ac:dyDescent="0.25">
      <c r="A30" s="182" t="s">
        <v>77</v>
      </c>
      <c r="B30" s="214">
        <f t="shared" si="6"/>
        <v>13477</v>
      </c>
      <c r="C30" s="182">
        <f t="shared" si="7"/>
        <v>5716.7122089485802</v>
      </c>
      <c r="D30" s="182">
        <f t="shared" si="7"/>
        <v>958.45694590784296</v>
      </c>
      <c r="E30" s="182">
        <f t="shared" si="7"/>
        <v>572.2098619870892</v>
      </c>
      <c r="F30" s="182">
        <f t="shared" si="7"/>
        <v>558.14612302441219</v>
      </c>
      <c r="G30" s="182">
        <f t="shared" si="7"/>
        <v>1024.2450085330565</v>
      </c>
      <c r="H30" s="182">
        <f t="shared" si="7"/>
        <v>440.83147362172588</v>
      </c>
      <c r="I30" s="182">
        <f t="shared" si="7"/>
        <v>533.21178674779242</v>
      </c>
      <c r="J30" s="182">
        <f t="shared" si="7"/>
        <v>458.23697707204872</v>
      </c>
      <c r="K30" s="182">
        <f t="shared" si="7"/>
        <v>10262.050385842547</v>
      </c>
      <c r="O30" s="247"/>
      <c r="P30" s="273"/>
      <c r="Q30" s="273"/>
      <c r="R30" s="273"/>
      <c r="S30" s="273"/>
      <c r="T30" s="273"/>
      <c r="U30" s="273"/>
    </row>
    <row r="31" spans="1:21" ht="15" x14ac:dyDescent="0.25">
      <c r="A31" s="182" t="s">
        <v>78</v>
      </c>
      <c r="B31" s="214">
        <f t="shared" si="6"/>
        <v>13204</v>
      </c>
      <c r="C31" s="182">
        <f t="shared" si="7"/>
        <v>5609.1407740078766</v>
      </c>
      <c r="D31" s="182">
        <f t="shared" si="7"/>
        <v>599.17747576491968</v>
      </c>
      <c r="E31" s="182">
        <f t="shared" si="7"/>
        <v>652.87799681914555</v>
      </c>
      <c r="F31" s="182">
        <f t="shared" si="7"/>
        <v>409.7100113601939</v>
      </c>
      <c r="G31" s="182">
        <f t="shared" si="7"/>
        <v>1000.9187253862467</v>
      </c>
      <c r="H31" s="182">
        <f t="shared" si="7"/>
        <v>531.6225961829748</v>
      </c>
      <c r="I31" s="182">
        <f t="shared" si="7"/>
        <v>658.59054604665255</v>
      </c>
      <c r="J31" s="182">
        <f t="shared" si="7"/>
        <v>663.21050590730067</v>
      </c>
      <c r="K31" s="182">
        <f t="shared" si="7"/>
        <v>10125.24863147531</v>
      </c>
      <c r="O31" s="247"/>
      <c r="P31" s="273"/>
      <c r="Q31" s="273"/>
      <c r="R31" s="273"/>
      <c r="S31" s="273"/>
      <c r="T31" s="273"/>
      <c r="U31" s="273"/>
    </row>
    <row r="32" spans="1:21" ht="15" x14ac:dyDescent="0.25">
      <c r="A32" s="182" t="s">
        <v>79</v>
      </c>
      <c r="B32" s="214">
        <f t="shared" si="6"/>
        <v>5654</v>
      </c>
      <c r="C32" s="182">
        <f t="shared" si="7"/>
        <v>6537.5587513264918</v>
      </c>
      <c r="D32" s="182">
        <f t="shared" si="7"/>
        <v>471.87693137601707</v>
      </c>
      <c r="E32" s="182">
        <f t="shared" si="7"/>
        <v>1015.4412115316587</v>
      </c>
      <c r="F32" s="182">
        <f t="shared" si="7"/>
        <v>437.5157251503361</v>
      </c>
      <c r="G32" s="182">
        <f t="shared" si="7"/>
        <v>1538.2556420233468</v>
      </c>
      <c r="H32" s="182">
        <f t="shared" si="7"/>
        <v>912.38656703218965</v>
      </c>
      <c r="I32" s="182">
        <f t="shared" si="7"/>
        <v>810.71007428369296</v>
      </c>
      <c r="J32" s="182">
        <f t="shared" si="7"/>
        <v>1126.5488362221436</v>
      </c>
      <c r="K32" s="182">
        <f t="shared" si="7"/>
        <v>12850.293738945878</v>
      </c>
      <c r="O32" s="247"/>
      <c r="P32" s="273"/>
      <c r="Q32" s="273"/>
      <c r="R32" s="273"/>
      <c r="S32" s="273"/>
      <c r="T32" s="273"/>
      <c r="U32" s="273"/>
    </row>
    <row r="33" spans="1:21" ht="15" x14ac:dyDescent="0.25">
      <c r="A33" s="182" t="s">
        <v>80</v>
      </c>
      <c r="B33" s="220">
        <f t="shared" si="6"/>
        <v>1790</v>
      </c>
      <c r="C33" s="183">
        <f t="shared" si="7"/>
        <v>6458.4320279329613</v>
      </c>
      <c r="D33" s="183">
        <f t="shared" si="7"/>
        <v>367.75284357541898</v>
      </c>
      <c r="E33" s="183">
        <f t="shared" si="7"/>
        <v>1051.7352737430167</v>
      </c>
      <c r="F33" s="183">
        <f t="shared" si="7"/>
        <v>161.24408379888271</v>
      </c>
      <c r="G33" s="183">
        <f t="shared" si="7"/>
        <v>1455.6721452513971</v>
      </c>
      <c r="H33" s="183">
        <f t="shared" si="7"/>
        <v>1026.5750279329604</v>
      </c>
      <c r="I33" s="183">
        <f t="shared" si="7"/>
        <v>447.78254748603354</v>
      </c>
      <c r="J33" s="183">
        <f t="shared" si="7"/>
        <v>261.78154189944138</v>
      </c>
      <c r="K33" s="183">
        <f t="shared" si="7"/>
        <v>11230.975491620113</v>
      </c>
      <c r="O33" s="247"/>
      <c r="P33" s="273"/>
      <c r="Q33" s="273"/>
      <c r="R33" s="273"/>
      <c r="S33" s="273"/>
      <c r="T33" s="273"/>
      <c r="U33" s="273"/>
    </row>
    <row r="34" spans="1:21" ht="15" x14ac:dyDescent="0.25">
      <c r="A34" s="182" t="s">
        <v>219</v>
      </c>
      <c r="B34" s="214">
        <f>SUM(B28:B33)</f>
        <v>89626</v>
      </c>
      <c r="C34" s="182">
        <f t="shared" si="7"/>
        <v>5417.7623075893162</v>
      </c>
      <c r="D34" s="182">
        <f t="shared" si="7"/>
        <v>936.66228449333914</v>
      </c>
      <c r="E34" s="182">
        <f t="shared" si="7"/>
        <v>457.68366958248725</v>
      </c>
      <c r="F34" s="182">
        <f t="shared" si="7"/>
        <v>492.46374333340782</v>
      </c>
      <c r="G34" s="182">
        <f t="shared" si="7"/>
        <v>934.66359192645007</v>
      </c>
      <c r="H34" s="182">
        <f t="shared" si="7"/>
        <v>476.26533483587349</v>
      </c>
      <c r="I34" s="182">
        <f t="shared" si="7"/>
        <v>447.93917713609886</v>
      </c>
      <c r="J34" s="182">
        <f t="shared" si="7"/>
        <v>498.79992624907942</v>
      </c>
      <c r="K34" s="182">
        <f t="shared" si="7"/>
        <v>9662.2400351460492</v>
      </c>
      <c r="O34" s="247"/>
      <c r="P34" s="273"/>
      <c r="Q34" s="273"/>
      <c r="R34" s="273"/>
      <c r="S34" s="273"/>
      <c r="T34" s="273"/>
      <c r="U34" s="273"/>
    </row>
    <row r="35" spans="1:21" ht="15" x14ac:dyDescent="0.25">
      <c r="A35" s="182"/>
      <c r="B35" s="214"/>
      <c r="C35" s="182"/>
      <c r="D35" s="182"/>
      <c r="E35" s="182"/>
      <c r="F35" s="182"/>
      <c r="G35" s="182"/>
      <c r="H35" s="182"/>
      <c r="I35" s="182"/>
      <c r="J35" s="182"/>
      <c r="K35" s="182"/>
      <c r="O35" s="247"/>
      <c r="P35" s="273"/>
      <c r="Q35" s="273"/>
      <c r="R35" s="273"/>
      <c r="S35" s="273"/>
      <c r="T35" s="273"/>
      <c r="U35" s="273"/>
    </row>
    <row r="36" spans="1:21" ht="15" x14ac:dyDescent="0.25">
      <c r="A36" s="182" t="s">
        <v>81</v>
      </c>
      <c r="B36" s="214">
        <f>B12</f>
        <v>22224</v>
      </c>
      <c r="C36" s="182">
        <f t="shared" ref="C36:K41" si="8">C12/$B36</f>
        <v>5456.4674235061184</v>
      </c>
      <c r="D36" s="182">
        <f t="shared" si="8"/>
        <v>974.72585223182125</v>
      </c>
      <c r="E36" s="182">
        <f t="shared" si="8"/>
        <v>388.25933135349175</v>
      </c>
      <c r="F36" s="182">
        <f t="shared" si="8"/>
        <v>547.61498515118797</v>
      </c>
      <c r="G36" s="182">
        <f t="shared" si="8"/>
        <v>997.05426520878325</v>
      </c>
      <c r="H36" s="182">
        <f t="shared" si="8"/>
        <v>351.00723047156225</v>
      </c>
      <c r="I36" s="182">
        <f t="shared" si="8"/>
        <v>781.48618970482357</v>
      </c>
      <c r="J36" s="182">
        <f t="shared" si="8"/>
        <v>589.73492665586753</v>
      </c>
      <c r="K36" s="182">
        <f t="shared" si="8"/>
        <v>10086.350204283657</v>
      </c>
      <c r="O36" s="247"/>
      <c r="P36" s="273"/>
      <c r="Q36" s="273"/>
      <c r="R36" s="273"/>
      <c r="S36" s="273"/>
      <c r="T36" s="273"/>
      <c r="U36" s="273"/>
    </row>
    <row r="37" spans="1:21" ht="15" x14ac:dyDescent="0.25">
      <c r="A37" s="182" t="s">
        <v>82</v>
      </c>
      <c r="B37" s="214">
        <f>B13</f>
        <v>6925</v>
      </c>
      <c r="C37" s="182">
        <f t="shared" si="8"/>
        <v>4704.6010555956682</v>
      </c>
      <c r="D37" s="182">
        <f t="shared" si="8"/>
        <v>854.80197689530689</v>
      </c>
      <c r="E37" s="182">
        <f t="shared" si="8"/>
        <v>457.637797833935</v>
      </c>
      <c r="F37" s="182">
        <f t="shared" si="8"/>
        <v>640.18787725631785</v>
      </c>
      <c r="G37" s="182">
        <f t="shared" si="8"/>
        <v>1172.8831740072201</v>
      </c>
      <c r="H37" s="182">
        <f t="shared" si="8"/>
        <v>695.58165198555946</v>
      </c>
      <c r="I37" s="182">
        <f t="shared" si="8"/>
        <v>1002.7193631768953</v>
      </c>
      <c r="J37" s="182">
        <f t="shared" si="8"/>
        <v>565.4357472924188</v>
      </c>
      <c r="K37" s="182">
        <f t="shared" si="8"/>
        <v>10093.848644043319</v>
      </c>
      <c r="O37" s="247"/>
      <c r="P37" s="273"/>
      <c r="Q37" s="273"/>
      <c r="R37" s="273"/>
      <c r="S37" s="273"/>
      <c r="T37" s="273"/>
      <c r="U37" s="273"/>
    </row>
    <row r="38" spans="1:21" ht="15" x14ac:dyDescent="0.25">
      <c r="A38" s="182" t="s">
        <v>83</v>
      </c>
      <c r="B38" s="214">
        <f>B14</f>
        <v>5426</v>
      </c>
      <c r="C38" s="182">
        <f t="shared" si="8"/>
        <v>5490.1413859196455</v>
      </c>
      <c r="D38" s="182">
        <f t="shared" si="8"/>
        <v>851.30542757095463</v>
      </c>
      <c r="E38" s="182">
        <f t="shared" si="8"/>
        <v>590.44704754883878</v>
      </c>
      <c r="F38" s="182">
        <f t="shared" si="8"/>
        <v>630.6805031330631</v>
      </c>
      <c r="G38" s="182">
        <f t="shared" si="8"/>
        <v>1629.4459896793217</v>
      </c>
      <c r="H38" s="182">
        <f t="shared" si="8"/>
        <v>739.39250276446751</v>
      </c>
      <c r="I38" s="182">
        <f t="shared" si="8"/>
        <v>1055.2663822336897</v>
      </c>
      <c r="J38" s="182">
        <f t="shared" si="8"/>
        <v>1339.7655289347583</v>
      </c>
      <c r="K38" s="182">
        <f t="shared" si="8"/>
        <v>12326.444767784738</v>
      </c>
      <c r="O38" s="247"/>
      <c r="P38" s="273"/>
      <c r="Q38" s="273"/>
      <c r="R38" s="273"/>
      <c r="S38" s="273"/>
      <c r="T38" s="273"/>
      <c r="U38" s="273"/>
    </row>
    <row r="39" spans="1:21" ht="15" x14ac:dyDescent="0.25">
      <c r="A39" s="182" t="s">
        <v>84</v>
      </c>
      <c r="B39" s="214">
        <f>B15</f>
        <v>5335</v>
      </c>
      <c r="C39" s="182">
        <f t="shared" si="8"/>
        <v>5802.1098031865031</v>
      </c>
      <c r="D39" s="182">
        <f t="shared" si="8"/>
        <v>778.53695782567934</v>
      </c>
      <c r="E39" s="182">
        <f t="shared" si="8"/>
        <v>977.89685848172417</v>
      </c>
      <c r="F39" s="182">
        <f t="shared" si="8"/>
        <v>646.54433177132137</v>
      </c>
      <c r="G39" s="182">
        <f t="shared" si="8"/>
        <v>1735.5227366447994</v>
      </c>
      <c r="H39" s="182">
        <f t="shared" si="8"/>
        <v>1225.0593851921276</v>
      </c>
      <c r="I39" s="182">
        <f t="shared" si="8"/>
        <v>1228.3721387066544</v>
      </c>
      <c r="J39" s="182">
        <f t="shared" si="8"/>
        <v>933.34809559512655</v>
      </c>
      <c r="K39" s="182">
        <f t="shared" si="8"/>
        <v>13327.390307403935</v>
      </c>
      <c r="O39" s="247"/>
      <c r="P39" s="273"/>
      <c r="Q39" s="273"/>
      <c r="R39" s="273"/>
      <c r="S39" s="273"/>
      <c r="T39" s="273"/>
      <c r="U39" s="273"/>
    </row>
    <row r="40" spans="1:21" ht="15" x14ac:dyDescent="0.25">
      <c r="A40" s="182" t="s">
        <v>85</v>
      </c>
      <c r="B40" s="220">
        <f>B16</f>
        <v>1736</v>
      </c>
      <c r="C40" s="183">
        <f t="shared" si="8"/>
        <v>8318.7372811059904</v>
      </c>
      <c r="D40" s="183">
        <f t="shared" si="8"/>
        <v>636.51756336405526</v>
      </c>
      <c r="E40" s="183">
        <f t="shared" si="8"/>
        <v>2156.5059274193554</v>
      </c>
      <c r="F40" s="183">
        <f t="shared" si="8"/>
        <v>550.36846198156695</v>
      </c>
      <c r="G40" s="183">
        <f t="shared" si="8"/>
        <v>3014.0426324884802</v>
      </c>
      <c r="H40" s="183">
        <f t="shared" si="8"/>
        <v>1834.7134735023044</v>
      </c>
      <c r="I40" s="183">
        <f t="shared" si="8"/>
        <v>1896.1475633640553</v>
      </c>
      <c r="J40" s="183">
        <f t="shared" si="8"/>
        <v>2895.9044009216591</v>
      </c>
      <c r="K40" s="183">
        <f t="shared" si="8"/>
        <v>21302.937304147468</v>
      </c>
      <c r="O40" s="247"/>
      <c r="P40" s="273"/>
      <c r="Q40" s="273"/>
      <c r="R40" s="273"/>
      <c r="S40" s="273"/>
      <c r="T40" s="273"/>
      <c r="U40" s="273"/>
    </row>
    <row r="41" spans="1:21" x14ac:dyDescent="0.2">
      <c r="A41" s="182" t="s">
        <v>220</v>
      </c>
      <c r="B41" s="214">
        <f>SUM(B36:B40)</f>
        <v>41646</v>
      </c>
      <c r="C41" s="182">
        <f t="shared" si="8"/>
        <v>5499.4233590260756</v>
      </c>
      <c r="D41" s="182">
        <f t="shared" si="8"/>
        <v>899.47374153580165</v>
      </c>
      <c r="E41" s="182">
        <f t="shared" si="8"/>
        <v>575.38195360898999</v>
      </c>
      <c r="F41" s="182">
        <f t="shared" si="8"/>
        <v>586.61870407722245</v>
      </c>
      <c r="G41" s="182">
        <f t="shared" si="8"/>
        <v>1287.3629092830042</v>
      </c>
      <c r="H41" s="182">
        <f t="shared" si="8"/>
        <v>632.72308889209057</v>
      </c>
      <c r="I41" s="182">
        <f t="shared" si="8"/>
        <v>957.65580343850559</v>
      </c>
      <c r="J41" s="182">
        <f t="shared" si="8"/>
        <v>823.56484296210908</v>
      </c>
      <c r="K41" s="182">
        <f t="shared" si="8"/>
        <v>11262.204402823802</v>
      </c>
    </row>
    <row r="42" spans="1:21" x14ac:dyDescent="0.2">
      <c r="A42" s="182"/>
      <c r="B42" s="214"/>
      <c r="C42" s="182"/>
      <c r="D42" s="182"/>
      <c r="E42" s="182"/>
      <c r="F42" s="182"/>
      <c r="G42" s="182"/>
      <c r="H42" s="182"/>
      <c r="I42" s="182"/>
      <c r="J42" s="182"/>
      <c r="K42" s="182"/>
    </row>
    <row r="43" spans="1:21" x14ac:dyDescent="0.2">
      <c r="A43" s="182" t="s">
        <v>86</v>
      </c>
      <c r="B43" s="214">
        <f>B19</f>
        <v>10113</v>
      </c>
      <c r="C43" s="182">
        <f t="shared" ref="C43:K45" si="9">C19/$B43</f>
        <v>5050.9288440620985</v>
      </c>
      <c r="D43" s="182">
        <f t="shared" si="9"/>
        <v>561.77602689607431</v>
      </c>
      <c r="E43" s="182">
        <f t="shared" si="9"/>
        <v>408.23677049342433</v>
      </c>
      <c r="F43" s="182">
        <f t="shared" si="9"/>
        <v>524.69994561455565</v>
      </c>
      <c r="G43" s="182">
        <f t="shared" si="9"/>
        <v>993.94119549095205</v>
      </c>
      <c r="H43" s="182">
        <f t="shared" si="9"/>
        <v>472.2361860971028</v>
      </c>
      <c r="I43" s="182">
        <f t="shared" si="9"/>
        <v>653.17464946108976</v>
      </c>
      <c r="J43" s="182">
        <f t="shared" si="9"/>
        <v>638.90846237516075</v>
      </c>
      <c r="K43" s="182">
        <f t="shared" si="9"/>
        <v>9303.9020804904594</v>
      </c>
    </row>
    <row r="44" spans="1:21" x14ac:dyDescent="0.2">
      <c r="A44" s="182" t="s">
        <v>87</v>
      </c>
      <c r="B44" s="220">
        <f>B20</f>
        <v>7480</v>
      </c>
      <c r="C44" s="183">
        <f t="shared" si="9"/>
        <v>6992.9063034759365</v>
      </c>
      <c r="D44" s="183">
        <f t="shared" si="9"/>
        <v>583.97735828877012</v>
      </c>
      <c r="E44" s="183">
        <f t="shared" si="9"/>
        <v>1183.0185307486631</v>
      </c>
      <c r="F44" s="183">
        <f t="shared" si="9"/>
        <v>479.68170187165788</v>
      </c>
      <c r="G44" s="183">
        <f t="shared" si="9"/>
        <v>1717.7468088235291</v>
      </c>
      <c r="H44" s="183">
        <f t="shared" si="9"/>
        <v>966.69305347593581</v>
      </c>
      <c r="I44" s="183">
        <f t="shared" si="9"/>
        <v>1126.2965989304814</v>
      </c>
      <c r="J44" s="183">
        <f t="shared" si="9"/>
        <v>871.95107486631025</v>
      </c>
      <c r="K44" s="183">
        <f t="shared" si="9"/>
        <v>13922.271430481285</v>
      </c>
    </row>
    <row r="45" spans="1:21" x14ac:dyDescent="0.2">
      <c r="A45" s="182" t="s">
        <v>221</v>
      </c>
      <c r="B45" s="214">
        <f>SUM(B43:B44)</f>
        <v>17593</v>
      </c>
      <c r="C45" s="182">
        <f t="shared" si="9"/>
        <v>5876.5976553174569</v>
      </c>
      <c r="D45" s="182">
        <f t="shared" si="9"/>
        <v>571.21534701301664</v>
      </c>
      <c r="E45" s="182">
        <f t="shared" si="9"/>
        <v>737.65003524128917</v>
      </c>
      <c r="F45" s="182">
        <f t="shared" si="9"/>
        <v>505.55957937816186</v>
      </c>
      <c r="G45" s="182">
        <f t="shared" si="9"/>
        <v>1301.6809776615698</v>
      </c>
      <c r="H45" s="182">
        <f t="shared" si="9"/>
        <v>682.46396805547658</v>
      </c>
      <c r="I45" s="182">
        <f t="shared" si="9"/>
        <v>854.33148354459161</v>
      </c>
      <c r="J45" s="182">
        <f t="shared" si="9"/>
        <v>737.99098050360942</v>
      </c>
      <c r="K45" s="182">
        <f t="shared" si="9"/>
        <v>11267.490026715172</v>
      </c>
    </row>
    <row r="46" spans="1:21" x14ac:dyDescent="0.2">
      <c r="A46" s="182"/>
      <c r="B46" s="214"/>
      <c r="C46" s="182"/>
      <c r="D46" s="182"/>
      <c r="E46" s="182"/>
      <c r="F46" s="182"/>
      <c r="G46" s="182"/>
      <c r="H46" s="182"/>
      <c r="I46" s="182"/>
      <c r="J46" s="182"/>
      <c r="K46" s="182"/>
    </row>
    <row r="47" spans="1:21" ht="13.5" thickBot="1" x14ac:dyDescent="0.25">
      <c r="A47" s="182" t="s">
        <v>222</v>
      </c>
      <c r="B47" s="222">
        <f>B45+B41+B34</f>
        <v>148865</v>
      </c>
      <c r="C47" s="192">
        <f t="shared" ref="C47:K47" si="10">C23/$B47</f>
        <v>5494.8331195378369</v>
      </c>
      <c r="D47" s="192">
        <f t="shared" si="10"/>
        <v>883.06968696469971</v>
      </c>
      <c r="E47" s="192">
        <f t="shared" si="10"/>
        <v>523.69724569240577</v>
      </c>
      <c r="F47" s="192">
        <f t="shared" si="10"/>
        <v>520.35191408322987</v>
      </c>
      <c r="G47" s="192">
        <f t="shared" si="10"/>
        <v>1076.7080794679744</v>
      </c>
      <c r="H47" s="192">
        <f t="shared" si="10"/>
        <v>544.40420011419747</v>
      </c>
      <c r="I47" s="192">
        <f t="shared" si="10"/>
        <v>638.56369240587105</v>
      </c>
      <c r="J47" s="192">
        <f t="shared" si="10"/>
        <v>617.92294333792347</v>
      </c>
      <c r="K47" s="192">
        <f t="shared" si="10"/>
        <v>10299.550881604137</v>
      </c>
    </row>
    <row r="48" spans="1:2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1062</v>
      </c>
      <c r="B50" s="182"/>
      <c r="C50" s="182"/>
      <c r="D50" s="182"/>
      <c r="E50" s="182"/>
      <c r="F50" s="182"/>
      <c r="G50" s="182"/>
      <c r="H50" s="182"/>
      <c r="I50" s="182"/>
      <c r="J50" s="182"/>
      <c r="K50" s="182"/>
    </row>
    <row r="51" spans="1:11" ht="40.5" customHeight="1" x14ac:dyDescent="0.2">
      <c r="A51" s="21" t="s">
        <v>245</v>
      </c>
      <c r="B51" s="21" t="str">
        <f>B3</f>
        <v>ANB10</v>
      </c>
      <c r="C51" s="21" t="str">
        <f t="shared" ref="C51:K51" si="11">C3</f>
        <v>10/Pupil Instruction</v>
      </c>
      <c r="D51" s="21" t="str">
        <f t="shared" si="11"/>
        <v>10/Pupil Student Services</v>
      </c>
      <c r="E51" s="21" t="str">
        <f t="shared" si="11"/>
        <v>10/Pupil General Admin</v>
      </c>
      <c r="F51" s="21" t="str">
        <f t="shared" si="11"/>
        <v>10/Pupil Bldg Admin</v>
      </c>
      <c r="G51" s="21" t="str">
        <f t="shared" si="11"/>
        <v>10/Pupil Bldg OM</v>
      </c>
      <c r="H51" s="21" t="str">
        <f t="shared" si="11"/>
        <v>10/Pupil Transport</v>
      </c>
      <c r="I51" s="21" t="str">
        <f t="shared" si="11"/>
        <v>10/Pupil Other</v>
      </c>
      <c r="J51" s="21" t="str">
        <f t="shared" si="11"/>
        <v>10/Pupil Bonds/ Facilities</v>
      </c>
      <c r="K51" s="21" t="str">
        <f t="shared" si="11"/>
        <v>10/Pupil Total</v>
      </c>
    </row>
    <row r="52" spans="1:11" x14ac:dyDescent="0.2">
      <c r="A52" s="182" t="s">
        <v>102</v>
      </c>
      <c r="B52" s="214">
        <f t="shared" ref="B52:B57" si="12">B4</f>
        <v>37450</v>
      </c>
      <c r="C52" s="191">
        <f t="shared" ref="C52:K58" si="13">C28/$K28</f>
        <v>0.59216666157414477</v>
      </c>
      <c r="D52" s="191">
        <f t="shared" si="13"/>
        <v>0.12189328571789083</v>
      </c>
      <c r="E52" s="191">
        <f t="shared" si="13"/>
        <v>3.4517570876788389E-2</v>
      </c>
      <c r="F52" s="191">
        <f t="shared" si="13"/>
        <v>5.8246753350642881E-2</v>
      </c>
      <c r="G52" s="191">
        <f t="shared" si="13"/>
        <v>9.0786705253552091E-2</v>
      </c>
      <c r="H52" s="191">
        <f t="shared" si="13"/>
        <v>4.2726842140179647E-2</v>
      </c>
      <c r="I52" s="191">
        <f t="shared" si="13"/>
        <v>3.4158642008629031E-2</v>
      </c>
      <c r="J52" s="191">
        <f t="shared" si="13"/>
        <v>2.5503539078172394E-2</v>
      </c>
      <c r="K52" s="191">
        <f t="shared" si="13"/>
        <v>1</v>
      </c>
    </row>
    <row r="53" spans="1:11" x14ac:dyDescent="0.2">
      <c r="A53" s="182" t="s">
        <v>76</v>
      </c>
      <c r="B53" s="214">
        <f t="shared" si="12"/>
        <v>18051</v>
      </c>
      <c r="C53" s="191">
        <f t="shared" si="13"/>
        <v>0.53343015805595351</v>
      </c>
      <c r="D53" s="191">
        <f t="shared" si="13"/>
        <v>0.11485610260035378</v>
      </c>
      <c r="E53" s="191">
        <f t="shared" si="13"/>
        <v>3.3236208545485826E-2</v>
      </c>
      <c r="F53" s="191">
        <f t="shared" si="13"/>
        <v>5.4184494665213231E-2</v>
      </c>
      <c r="G53" s="191">
        <f t="shared" si="13"/>
        <v>9.0473326771086729E-2</v>
      </c>
      <c r="H53" s="191">
        <f t="shared" si="13"/>
        <v>4.9818933598547561E-2</v>
      </c>
      <c r="I53" s="191">
        <f t="shared" si="13"/>
        <v>4.3656533589669123E-2</v>
      </c>
      <c r="J53" s="191">
        <f t="shared" si="13"/>
        <v>8.0344242173690197E-2</v>
      </c>
      <c r="K53" s="191">
        <f t="shared" si="13"/>
        <v>1</v>
      </c>
    </row>
    <row r="54" spans="1:11" x14ac:dyDescent="0.2">
      <c r="A54" s="182" t="s">
        <v>77</v>
      </c>
      <c r="B54" s="214">
        <f t="shared" si="12"/>
        <v>13477</v>
      </c>
      <c r="C54" s="191">
        <f t="shared" si="13"/>
        <v>0.55707309884536493</v>
      </c>
      <c r="D54" s="191">
        <f t="shared" si="13"/>
        <v>9.3398191381921444E-2</v>
      </c>
      <c r="E54" s="191">
        <f t="shared" si="13"/>
        <v>5.5759798526862227E-2</v>
      </c>
      <c r="F54" s="191">
        <f t="shared" si="13"/>
        <v>5.4389337611753172E-2</v>
      </c>
      <c r="G54" s="191">
        <f t="shared" si="13"/>
        <v>9.9809002102162522E-2</v>
      </c>
      <c r="H54" s="191">
        <f t="shared" si="13"/>
        <v>4.2957445836544893E-2</v>
      </c>
      <c r="I54" s="191">
        <f t="shared" si="13"/>
        <v>5.1959575981366031E-2</v>
      </c>
      <c r="J54" s="191">
        <f t="shared" si="13"/>
        <v>4.4653549714024909E-2</v>
      </c>
      <c r="K54" s="191">
        <f t="shared" si="13"/>
        <v>1</v>
      </c>
    </row>
    <row r="55" spans="1:11" x14ac:dyDescent="0.2">
      <c r="A55" s="182" t="s">
        <v>78</v>
      </c>
      <c r="B55" s="214">
        <f t="shared" si="12"/>
        <v>13204</v>
      </c>
      <c r="C55" s="191">
        <f t="shared" si="13"/>
        <v>0.55397560871456752</v>
      </c>
      <c r="D55" s="191">
        <f t="shared" si="13"/>
        <v>5.9176569146392993E-2</v>
      </c>
      <c r="E55" s="191">
        <f t="shared" si="13"/>
        <v>6.4480194075394015E-2</v>
      </c>
      <c r="F55" s="191">
        <f t="shared" si="13"/>
        <v>4.0464192660570421E-2</v>
      </c>
      <c r="G55" s="191">
        <f t="shared" si="13"/>
        <v>9.8853742936721029E-2</v>
      </c>
      <c r="H55" s="191">
        <f t="shared" si="13"/>
        <v>5.2504646111145838E-2</v>
      </c>
      <c r="I55" s="191">
        <f t="shared" si="13"/>
        <v>6.5044382613910379E-2</v>
      </c>
      <c r="J55" s="191">
        <f t="shared" si="13"/>
        <v>6.5500663741297871E-2</v>
      </c>
      <c r="K55" s="191">
        <f t="shared" si="13"/>
        <v>1</v>
      </c>
    </row>
    <row r="56" spans="1:11" x14ac:dyDescent="0.2">
      <c r="A56" s="182" t="s">
        <v>79</v>
      </c>
      <c r="B56" s="214">
        <f t="shared" si="12"/>
        <v>5654</v>
      </c>
      <c r="C56" s="191">
        <f t="shared" si="13"/>
        <v>0.50874780640327788</v>
      </c>
      <c r="D56" s="191">
        <f t="shared" si="13"/>
        <v>3.6721100774987074E-2</v>
      </c>
      <c r="E56" s="191">
        <f t="shared" si="13"/>
        <v>7.9020856033362258E-2</v>
      </c>
      <c r="F56" s="191">
        <f t="shared" si="13"/>
        <v>3.4047138068473905E-2</v>
      </c>
      <c r="G56" s="191">
        <f t="shared" si="13"/>
        <v>0.11970587391020458</v>
      </c>
      <c r="H56" s="191">
        <f t="shared" si="13"/>
        <v>7.1001222662092509E-2</v>
      </c>
      <c r="I56" s="191">
        <f t="shared" si="13"/>
        <v>6.3088836002763327E-2</v>
      </c>
      <c r="J56" s="191">
        <f t="shared" si="13"/>
        <v>8.7667166144838285E-2</v>
      </c>
      <c r="K56" s="191">
        <f t="shared" si="13"/>
        <v>1</v>
      </c>
    </row>
    <row r="57" spans="1:11" x14ac:dyDescent="0.2">
      <c r="A57" s="182" t="s">
        <v>80</v>
      </c>
      <c r="B57" s="220">
        <f t="shared" si="12"/>
        <v>1790</v>
      </c>
      <c r="C57" s="193">
        <f t="shared" si="13"/>
        <v>0.57505530421216389</v>
      </c>
      <c r="D57" s="193">
        <f t="shared" si="13"/>
        <v>3.2744514833089461E-2</v>
      </c>
      <c r="E57" s="193">
        <f t="shared" si="13"/>
        <v>9.3645941488142245E-2</v>
      </c>
      <c r="F57" s="193">
        <f t="shared" si="13"/>
        <v>1.4357086249470803E-2</v>
      </c>
      <c r="G57" s="193">
        <f t="shared" si="13"/>
        <v>0.12961226265140843</v>
      </c>
      <c r="H57" s="193">
        <f t="shared" si="13"/>
        <v>9.1405686772171285E-2</v>
      </c>
      <c r="I57" s="193">
        <f t="shared" si="13"/>
        <v>3.987031650279553E-2</v>
      </c>
      <c r="J57" s="193">
        <f t="shared" si="13"/>
        <v>2.3308887290758244E-2</v>
      </c>
      <c r="K57" s="193">
        <f t="shared" si="13"/>
        <v>1</v>
      </c>
    </row>
    <row r="58" spans="1:11" x14ac:dyDescent="0.2">
      <c r="A58" s="182" t="s">
        <v>219</v>
      </c>
      <c r="B58" s="214">
        <f>SUM(B52:B57)</f>
        <v>89626</v>
      </c>
      <c r="C58" s="191">
        <f t="shared" si="13"/>
        <v>0.56071493648288606</v>
      </c>
      <c r="D58" s="191">
        <f t="shared" si="13"/>
        <v>9.6940490102322432E-2</v>
      </c>
      <c r="E58" s="191">
        <f t="shared" si="13"/>
        <v>4.7368277740739151E-2</v>
      </c>
      <c r="F58" s="191">
        <f t="shared" si="13"/>
        <v>5.0967864754144873E-2</v>
      </c>
      <c r="G58" s="191">
        <f t="shared" si="13"/>
        <v>9.6733634077257963E-2</v>
      </c>
      <c r="H58" s="191">
        <f t="shared" si="13"/>
        <v>4.9291399624049451E-2</v>
      </c>
      <c r="I58" s="191">
        <f t="shared" si="13"/>
        <v>4.6359764972380764E-2</v>
      </c>
      <c r="J58" s="191">
        <f t="shared" si="13"/>
        <v>5.1623632246219582E-2</v>
      </c>
      <c r="K58" s="191">
        <f t="shared" si="13"/>
        <v>1</v>
      </c>
    </row>
    <row r="59" spans="1:11" x14ac:dyDescent="0.2">
      <c r="A59" s="182"/>
      <c r="B59" s="214"/>
      <c r="C59" s="191"/>
      <c r="D59" s="191"/>
      <c r="E59" s="191"/>
      <c r="F59" s="191"/>
      <c r="G59" s="191"/>
      <c r="H59" s="191"/>
      <c r="I59" s="191"/>
      <c r="J59" s="191"/>
      <c r="K59" s="191"/>
    </row>
    <row r="60" spans="1:11" x14ac:dyDescent="0.2">
      <c r="A60" s="182" t="s">
        <v>81</v>
      </c>
      <c r="B60" s="214">
        <f>B36</f>
        <v>22224</v>
      </c>
      <c r="C60" s="191">
        <f t="shared" ref="C60:K65" si="14">C36/$K36</f>
        <v>0.54097540864571259</v>
      </c>
      <c r="D60" s="191">
        <f t="shared" si="14"/>
        <v>9.6638113142041876E-2</v>
      </c>
      <c r="E60" s="191">
        <f t="shared" si="14"/>
        <v>3.8493540625686246E-2</v>
      </c>
      <c r="F60" s="191">
        <f t="shared" si="14"/>
        <v>5.4292680113230331E-2</v>
      </c>
      <c r="G60" s="191">
        <f t="shared" si="14"/>
        <v>9.8851838872829917E-2</v>
      </c>
      <c r="H60" s="191">
        <f t="shared" si="14"/>
        <v>3.4800222415685117E-2</v>
      </c>
      <c r="I60" s="191">
        <f t="shared" si="14"/>
        <v>7.7479581204004555E-2</v>
      </c>
      <c r="J60" s="191">
        <f t="shared" si="14"/>
        <v>5.8468614980809214E-2</v>
      </c>
      <c r="K60" s="191">
        <f t="shared" si="14"/>
        <v>1</v>
      </c>
    </row>
    <row r="61" spans="1:11" x14ac:dyDescent="0.2">
      <c r="A61" s="182" t="s">
        <v>82</v>
      </c>
      <c r="B61" s="214">
        <f>B37</f>
        <v>6925</v>
      </c>
      <c r="C61" s="191">
        <f t="shared" si="14"/>
        <v>0.46608595209835979</v>
      </c>
      <c r="D61" s="191">
        <f t="shared" si="14"/>
        <v>8.4685436352342283E-2</v>
      </c>
      <c r="E61" s="191">
        <f t="shared" si="14"/>
        <v>4.5338286115871242E-2</v>
      </c>
      <c r="F61" s="191">
        <f t="shared" si="14"/>
        <v>6.342356615720722E-2</v>
      </c>
      <c r="G61" s="191">
        <f t="shared" si="14"/>
        <v>0.11619781664740668</v>
      </c>
      <c r="H61" s="191">
        <f t="shared" si="14"/>
        <v>6.8911440671942603E-2</v>
      </c>
      <c r="I61" s="191">
        <f t="shared" si="14"/>
        <v>9.9339647198755043E-2</v>
      </c>
      <c r="J61" s="191">
        <f t="shared" si="14"/>
        <v>5.601785475811541E-2</v>
      </c>
      <c r="K61" s="191">
        <f t="shared" si="14"/>
        <v>1</v>
      </c>
    </row>
    <row r="62" spans="1:11" x14ac:dyDescent="0.2">
      <c r="A62" s="182" t="s">
        <v>83</v>
      </c>
      <c r="B62" s="214">
        <f>B38</f>
        <v>5426</v>
      </c>
      <c r="C62" s="191">
        <f t="shared" si="14"/>
        <v>0.44539536657546008</v>
      </c>
      <c r="D62" s="191">
        <f t="shared" si="14"/>
        <v>6.9063338505831642E-2</v>
      </c>
      <c r="E62" s="191">
        <f t="shared" si="14"/>
        <v>4.7900839104230347E-2</v>
      </c>
      <c r="F62" s="191">
        <f t="shared" si="14"/>
        <v>5.1164834225465528E-2</v>
      </c>
      <c r="G62" s="191">
        <f t="shared" si="14"/>
        <v>0.13219107539733529</v>
      </c>
      <c r="H62" s="191">
        <f t="shared" si="14"/>
        <v>5.9984246609117636E-2</v>
      </c>
      <c r="I62" s="191">
        <f t="shared" si="14"/>
        <v>8.5609955028690579E-2</v>
      </c>
      <c r="J62" s="191">
        <f t="shared" si="14"/>
        <v>0.10869034455386894</v>
      </c>
      <c r="K62" s="191">
        <f t="shared" si="14"/>
        <v>1</v>
      </c>
    </row>
    <row r="63" spans="1:11" x14ac:dyDescent="0.2">
      <c r="A63" s="182" t="s">
        <v>84</v>
      </c>
      <c r="B63" s="214">
        <f>B39</f>
        <v>5335</v>
      </c>
      <c r="C63" s="191">
        <f t="shared" si="14"/>
        <v>0.43535228348217453</v>
      </c>
      <c r="D63" s="191">
        <f t="shared" si="14"/>
        <v>5.8416309560107106E-2</v>
      </c>
      <c r="E63" s="191">
        <f t="shared" si="14"/>
        <v>7.3374969587141195E-2</v>
      </c>
      <c r="F63" s="191">
        <f t="shared" si="14"/>
        <v>4.8512448188160161E-2</v>
      </c>
      <c r="G63" s="191">
        <f t="shared" si="14"/>
        <v>0.13022224881345618</v>
      </c>
      <c r="H63" s="191">
        <f t="shared" si="14"/>
        <v>9.192042529973439E-2</v>
      </c>
      <c r="I63" s="191">
        <f t="shared" si="14"/>
        <v>9.2168992606470088E-2</v>
      </c>
      <c r="J63" s="191">
        <f t="shared" si="14"/>
        <v>7.0032322462756397E-2</v>
      </c>
      <c r="K63" s="191">
        <f t="shared" si="14"/>
        <v>1</v>
      </c>
    </row>
    <row r="64" spans="1:11" x14ac:dyDescent="0.2">
      <c r="A64" s="182" t="s">
        <v>85</v>
      </c>
      <c r="B64" s="220">
        <f>B40</f>
        <v>1736</v>
      </c>
      <c r="C64" s="193">
        <f t="shared" si="14"/>
        <v>0.39049719587197096</v>
      </c>
      <c r="D64" s="193">
        <f t="shared" si="14"/>
        <v>2.9879333271103967E-2</v>
      </c>
      <c r="E64" s="193">
        <f t="shared" si="14"/>
        <v>0.10123044989666778</v>
      </c>
      <c r="F64" s="193">
        <f t="shared" si="14"/>
        <v>2.5835332194984011E-2</v>
      </c>
      <c r="G64" s="193">
        <f t="shared" si="14"/>
        <v>0.14148483795714295</v>
      </c>
      <c r="H64" s="193">
        <f t="shared" si="14"/>
        <v>8.61249060309211E-2</v>
      </c>
      <c r="I64" s="193">
        <f t="shared" si="14"/>
        <v>8.9008737916854985E-2</v>
      </c>
      <c r="J64" s="193">
        <f t="shared" si="14"/>
        <v>0.13593920686035421</v>
      </c>
      <c r="K64" s="193">
        <f t="shared" si="14"/>
        <v>1</v>
      </c>
    </row>
    <row r="65" spans="1:11" x14ac:dyDescent="0.2">
      <c r="A65" s="182" t="s">
        <v>220</v>
      </c>
      <c r="B65" s="214">
        <f>SUM(B60:B64)</f>
        <v>41646</v>
      </c>
      <c r="C65" s="191">
        <f t="shared" si="14"/>
        <v>0.48830789802102958</v>
      </c>
      <c r="D65" s="191">
        <f t="shared" si="14"/>
        <v>7.9866579344828284E-2</v>
      </c>
      <c r="E65" s="191">
        <f t="shared" si="14"/>
        <v>5.1089638673643946E-2</v>
      </c>
      <c r="F65" s="191">
        <f t="shared" si="14"/>
        <v>5.2087378553539489E-2</v>
      </c>
      <c r="G65" s="191">
        <f t="shared" si="14"/>
        <v>0.11430825291718381</v>
      </c>
      <c r="H65" s="191">
        <f t="shared" si="14"/>
        <v>5.6181105071529895E-2</v>
      </c>
      <c r="I65" s="191">
        <f t="shared" si="14"/>
        <v>8.5032713773014995E-2</v>
      </c>
      <c r="J65" s="191">
        <f t="shared" si="14"/>
        <v>7.3126433645229749E-2</v>
      </c>
      <c r="K65" s="191">
        <f t="shared" si="14"/>
        <v>1</v>
      </c>
    </row>
    <row r="66" spans="1:11" x14ac:dyDescent="0.2">
      <c r="A66" s="182"/>
      <c r="B66" s="214"/>
      <c r="C66" s="191"/>
      <c r="D66" s="191"/>
      <c r="E66" s="191"/>
      <c r="F66" s="191"/>
      <c r="G66" s="191"/>
      <c r="H66" s="191"/>
      <c r="I66" s="191"/>
      <c r="J66" s="191"/>
      <c r="K66" s="191"/>
    </row>
    <row r="67" spans="1:11" x14ac:dyDescent="0.2">
      <c r="A67" s="182" t="s">
        <v>86</v>
      </c>
      <c r="B67" s="214">
        <f>B43</f>
        <v>10113</v>
      </c>
      <c r="C67" s="191">
        <f t="shared" ref="C67:K69" si="15">C43/$K43</f>
        <v>0.54288284639769513</v>
      </c>
      <c r="D67" s="191">
        <f t="shared" si="15"/>
        <v>6.0380689955247258E-2</v>
      </c>
      <c r="E67" s="191">
        <f t="shared" si="15"/>
        <v>4.3878016660285395E-2</v>
      </c>
      <c r="F67" s="191">
        <f t="shared" si="15"/>
        <v>5.6395686570563722E-2</v>
      </c>
      <c r="G67" s="191">
        <f t="shared" si="15"/>
        <v>0.10683057354775556</v>
      </c>
      <c r="H67" s="191">
        <f t="shared" si="15"/>
        <v>5.075678806716425E-2</v>
      </c>
      <c r="I67" s="191">
        <f t="shared" si="15"/>
        <v>7.0204377024855505E-2</v>
      </c>
      <c r="J67" s="191">
        <f t="shared" si="15"/>
        <v>6.8671021776433014E-2</v>
      </c>
      <c r="K67" s="191">
        <f t="shared" si="15"/>
        <v>1</v>
      </c>
    </row>
    <row r="68" spans="1:11" x14ac:dyDescent="0.2">
      <c r="A68" s="182" t="s">
        <v>87</v>
      </c>
      <c r="B68" s="220">
        <f>B44</f>
        <v>7480</v>
      </c>
      <c r="C68" s="193">
        <f t="shared" si="15"/>
        <v>0.5022819974738989</v>
      </c>
      <c r="D68" s="193">
        <f t="shared" si="15"/>
        <v>4.1945551859462804E-2</v>
      </c>
      <c r="E68" s="193">
        <f t="shared" si="15"/>
        <v>8.4973097720144566E-2</v>
      </c>
      <c r="F68" s="193">
        <f t="shared" si="15"/>
        <v>3.445427021494836E-2</v>
      </c>
      <c r="G68" s="193">
        <f t="shared" si="15"/>
        <v>0.12338121817268345</v>
      </c>
      <c r="H68" s="193">
        <f t="shared" si="15"/>
        <v>6.9435009818833687E-2</v>
      </c>
      <c r="I68" s="193">
        <f t="shared" si="15"/>
        <v>8.0898911111916591E-2</v>
      </c>
      <c r="J68" s="193">
        <f t="shared" si="15"/>
        <v>6.2629943628111501E-2</v>
      </c>
      <c r="K68" s="193">
        <f t="shared" si="15"/>
        <v>1</v>
      </c>
    </row>
    <row r="69" spans="1:11" x14ac:dyDescent="0.2">
      <c r="A69" s="182" t="s">
        <v>221</v>
      </c>
      <c r="B69" s="214">
        <f>SUM(B67:B68)</f>
        <v>17593</v>
      </c>
      <c r="C69" s="191">
        <f t="shared" si="15"/>
        <v>0.52155339311453297</v>
      </c>
      <c r="D69" s="191">
        <f t="shared" si="15"/>
        <v>5.069588219369775E-2</v>
      </c>
      <c r="E69" s="191">
        <f t="shared" si="15"/>
        <v>6.5467112328684032E-2</v>
      </c>
      <c r="F69" s="191">
        <f t="shared" si="15"/>
        <v>4.4868873030238517E-2</v>
      </c>
      <c r="G69" s="191">
        <f t="shared" si="15"/>
        <v>0.11552537207268786</v>
      </c>
      <c r="H69" s="191">
        <f t="shared" si="15"/>
        <v>6.0569298613742488E-2</v>
      </c>
      <c r="I69" s="191">
        <f t="shared" si="15"/>
        <v>7.5822697115238202E-2</v>
      </c>
      <c r="J69" s="191">
        <f t="shared" si="15"/>
        <v>6.5497371531178281E-2</v>
      </c>
      <c r="K69" s="191">
        <f t="shared" si="15"/>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148865</v>
      </c>
      <c r="C71" s="195">
        <f t="shared" ref="C71:K71" si="16">C47/$K47</f>
        <v>0.53350220632941103</v>
      </c>
      <c r="D71" s="195">
        <f t="shared" si="16"/>
        <v>8.5738659589704669E-2</v>
      </c>
      <c r="E71" s="195">
        <f t="shared" si="16"/>
        <v>5.0846609887405192E-2</v>
      </c>
      <c r="F71" s="195">
        <f t="shared" si="16"/>
        <v>5.0521806248136715E-2</v>
      </c>
      <c r="G71" s="195">
        <f t="shared" si="16"/>
        <v>0.10453932330108349</v>
      </c>
      <c r="H71" s="195">
        <f t="shared" si="16"/>
        <v>5.2857081475906793E-2</v>
      </c>
      <c r="I71" s="195">
        <f t="shared" si="16"/>
        <v>6.1999178386156574E-2</v>
      </c>
      <c r="J71" s="195">
        <f t="shared" si="16"/>
        <v>5.9995134782195772E-2</v>
      </c>
      <c r="K71" s="195">
        <f t="shared" si="16"/>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0"/>
  <dimension ref="A1:K75"/>
  <sheetViews>
    <sheetView zoomScaleNormal="100" workbookViewId="0">
      <selection activeCell="S42" sqref="S42"/>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s>
  <sheetData>
    <row r="1" spans="1:11" x14ac:dyDescent="0.2">
      <c r="A1" s="36" t="s">
        <v>247</v>
      </c>
      <c r="B1" s="22"/>
      <c r="C1" s="22"/>
      <c r="D1" s="22"/>
      <c r="E1" s="22"/>
      <c r="F1" s="22"/>
      <c r="G1" s="22"/>
      <c r="H1" s="22"/>
      <c r="I1" s="22"/>
      <c r="J1" s="22"/>
      <c r="K1" s="22"/>
    </row>
    <row r="2" spans="1:11" x14ac:dyDescent="0.2">
      <c r="A2" s="22" t="s">
        <v>614</v>
      </c>
      <c r="B2" s="22"/>
      <c r="C2" s="22"/>
      <c r="D2" s="22"/>
      <c r="E2" s="22"/>
      <c r="F2" s="22"/>
      <c r="G2" s="22"/>
      <c r="H2" s="22"/>
      <c r="I2" s="22"/>
      <c r="J2" s="22"/>
      <c r="K2" s="22"/>
    </row>
    <row r="3" spans="1:11" ht="33.75" x14ac:dyDescent="0.2">
      <c r="A3" s="21" t="s">
        <v>245</v>
      </c>
      <c r="B3" s="21" t="s">
        <v>624</v>
      </c>
      <c r="C3" s="12" t="s">
        <v>615</v>
      </c>
      <c r="D3" s="12" t="s">
        <v>616</v>
      </c>
      <c r="E3" s="12" t="s">
        <v>617</v>
      </c>
      <c r="F3" s="12" t="s">
        <v>618</v>
      </c>
      <c r="G3" s="12" t="s">
        <v>619</v>
      </c>
      <c r="H3" s="12" t="s">
        <v>620</v>
      </c>
      <c r="I3" s="12" t="s">
        <v>621</v>
      </c>
      <c r="J3" s="12" t="s">
        <v>622</v>
      </c>
      <c r="K3" s="12" t="s">
        <v>623</v>
      </c>
    </row>
    <row r="4" spans="1:11" x14ac:dyDescent="0.2">
      <c r="A4" s="33" t="s">
        <v>102</v>
      </c>
      <c r="B4" s="214">
        <v>37242</v>
      </c>
      <c r="C4" s="214">
        <v>177957357.20000002</v>
      </c>
      <c r="D4" s="214">
        <v>34704944.780000001</v>
      </c>
      <c r="E4" s="214">
        <v>9632637.0500000007</v>
      </c>
      <c r="F4" s="214">
        <v>17409728.57</v>
      </c>
      <c r="G4" s="214">
        <v>27846668.960000001</v>
      </c>
      <c r="H4" s="214">
        <v>13313964.900000002</v>
      </c>
      <c r="I4" s="214">
        <v>10343055.770000001</v>
      </c>
      <c r="J4" s="214">
        <v>11400530.799999999</v>
      </c>
      <c r="K4" s="214">
        <f t="shared" ref="K4:K9" si="0">SUM(C4:J4)</f>
        <v>302608888.03000003</v>
      </c>
    </row>
    <row r="5" spans="1:11" x14ac:dyDescent="0.2">
      <c r="A5" s="33" t="s">
        <v>76</v>
      </c>
      <c r="B5" s="214">
        <v>18748</v>
      </c>
      <c r="C5" s="214">
        <v>96246664.469999984</v>
      </c>
      <c r="D5" s="214">
        <v>19808390.010000002</v>
      </c>
      <c r="E5" s="214">
        <v>6227947.0200000014</v>
      </c>
      <c r="F5" s="214">
        <v>10228336.5</v>
      </c>
      <c r="G5" s="214">
        <v>15825070.539999999</v>
      </c>
      <c r="H5" s="214">
        <v>8482268.1399999987</v>
      </c>
      <c r="I5" s="214">
        <v>8788342.3600000013</v>
      </c>
      <c r="J5" s="214">
        <v>10566683.029999999</v>
      </c>
      <c r="K5" s="214">
        <f t="shared" si="0"/>
        <v>176173702.06999999</v>
      </c>
    </row>
    <row r="6" spans="1:11" x14ac:dyDescent="0.2">
      <c r="A6" s="33" t="s">
        <v>77</v>
      </c>
      <c r="B6" s="214">
        <v>11756</v>
      </c>
      <c r="C6" s="214">
        <v>64514480.030000001</v>
      </c>
      <c r="D6" s="214">
        <v>11040925.41</v>
      </c>
      <c r="E6" s="214">
        <v>5751507.7699999996</v>
      </c>
      <c r="F6" s="214">
        <v>6257996.3399999999</v>
      </c>
      <c r="G6" s="214">
        <v>10686122.23</v>
      </c>
      <c r="H6" s="214">
        <v>4877674.18</v>
      </c>
      <c r="I6" s="214">
        <v>5423818.1500000004</v>
      </c>
      <c r="J6" s="214">
        <v>5142159.17</v>
      </c>
      <c r="K6" s="214">
        <f t="shared" si="0"/>
        <v>113694683.28000002</v>
      </c>
    </row>
    <row r="7" spans="1:11" x14ac:dyDescent="0.2">
      <c r="A7" s="33" t="s">
        <v>78</v>
      </c>
      <c r="B7" s="214">
        <v>14373</v>
      </c>
      <c r="C7" s="214">
        <v>76236076.950000003</v>
      </c>
      <c r="D7" s="214">
        <v>8325189.1399999997</v>
      </c>
      <c r="E7" s="214">
        <v>9103892.2699999977</v>
      </c>
      <c r="F7" s="214">
        <v>5735378.709999999</v>
      </c>
      <c r="G7" s="214">
        <v>13240334.169999998</v>
      </c>
      <c r="H7" s="214">
        <v>6893846.2399999984</v>
      </c>
      <c r="I7" s="214">
        <v>9536315.8499999978</v>
      </c>
      <c r="J7" s="214">
        <v>6838434.2300000004</v>
      </c>
      <c r="K7" s="214">
        <f t="shared" si="0"/>
        <v>135909467.55999997</v>
      </c>
    </row>
    <row r="8" spans="1:11" x14ac:dyDescent="0.2">
      <c r="A8" s="33" t="s">
        <v>79</v>
      </c>
      <c r="B8" s="214">
        <v>5804</v>
      </c>
      <c r="C8" s="214">
        <v>35678527.760000013</v>
      </c>
      <c r="D8" s="214">
        <v>2155778.25</v>
      </c>
      <c r="E8" s="214">
        <v>5324623.63</v>
      </c>
      <c r="F8" s="214">
        <v>2434707.2599999998</v>
      </c>
      <c r="G8" s="214">
        <v>7408803.5000000009</v>
      </c>
      <c r="H8" s="214">
        <v>4893323.82</v>
      </c>
      <c r="I8" s="214">
        <v>4239955.7699999996</v>
      </c>
      <c r="J8" s="214">
        <v>4592016.4800000004</v>
      </c>
      <c r="K8" s="214">
        <f t="shared" si="0"/>
        <v>66727736.470000014</v>
      </c>
    </row>
    <row r="9" spans="1:11" x14ac:dyDescent="0.2">
      <c r="A9" s="33" t="s">
        <v>80</v>
      </c>
      <c r="B9" s="233">
        <v>1629</v>
      </c>
      <c r="C9" s="234">
        <v>10425850.860000001</v>
      </c>
      <c r="D9" s="220">
        <v>499476.26</v>
      </c>
      <c r="E9" s="220">
        <v>1793378.04</v>
      </c>
      <c r="F9" s="220">
        <v>181689.63</v>
      </c>
      <c r="G9" s="220">
        <v>2151713.33</v>
      </c>
      <c r="H9" s="220">
        <v>1511755.94</v>
      </c>
      <c r="I9" s="220">
        <v>690361.64</v>
      </c>
      <c r="J9" s="220">
        <v>401521.91999999998</v>
      </c>
      <c r="K9" s="220">
        <f t="shared" si="0"/>
        <v>17655747.620000001</v>
      </c>
    </row>
    <row r="10" spans="1:11" x14ac:dyDescent="0.2">
      <c r="A10" s="182" t="s">
        <v>103</v>
      </c>
      <c r="B10" s="214">
        <f t="shared" ref="B10:K10" si="1">SUM(B4:B9)</f>
        <v>89552</v>
      </c>
      <c r="C10" s="214">
        <f t="shared" si="1"/>
        <v>461058957.27000004</v>
      </c>
      <c r="D10" s="214">
        <f t="shared" si="1"/>
        <v>76534703.850000009</v>
      </c>
      <c r="E10" s="214">
        <f t="shared" si="1"/>
        <v>37833985.780000001</v>
      </c>
      <c r="F10" s="214">
        <f t="shared" si="1"/>
        <v>42247837.009999998</v>
      </c>
      <c r="G10" s="214">
        <f t="shared" si="1"/>
        <v>77158712.730000004</v>
      </c>
      <c r="H10" s="214">
        <f t="shared" si="1"/>
        <v>39972833.219999991</v>
      </c>
      <c r="I10" s="214">
        <f t="shared" si="1"/>
        <v>39021849.539999992</v>
      </c>
      <c r="J10" s="214">
        <f t="shared" si="1"/>
        <v>38941345.63000001</v>
      </c>
      <c r="K10" s="214">
        <f t="shared" si="1"/>
        <v>812770225.02999997</v>
      </c>
    </row>
    <row r="11" spans="1:11" x14ac:dyDescent="0.2">
      <c r="A11" s="33"/>
      <c r="B11" s="214"/>
      <c r="C11" s="214"/>
      <c r="D11" s="214"/>
      <c r="E11" s="214"/>
      <c r="F11" s="214"/>
      <c r="G11" s="214"/>
      <c r="H11" s="214"/>
      <c r="I11" s="214"/>
      <c r="J11" s="214"/>
      <c r="K11" s="182"/>
    </row>
    <row r="12" spans="1:11" x14ac:dyDescent="0.2">
      <c r="A12" s="33" t="s">
        <v>81</v>
      </c>
      <c r="B12" s="214">
        <v>22505</v>
      </c>
      <c r="C12" s="214">
        <v>116630142.79000001</v>
      </c>
      <c r="D12" s="214">
        <v>19636370.68</v>
      </c>
      <c r="E12" s="214">
        <v>8324483.0899999999</v>
      </c>
      <c r="F12" s="214">
        <v>11888802.5</v>
      </c>
      <c r="G12" s="214">
        <v>20552120.34</v>
      </c>
      <c r="H12" s="214">
        <v>8193393.46</v>
      </c>
      <c r="I12" s="214">
        <v>17171345.5</v>
      </c>
      <c r="J12" s="214">
        <v>12035502.960000001</v>
      </c>
      <c r="K12" s="214">
        <f>SUM(C12:J12)</f>
        <v>214432161.32000002</v>
      </c>
    </row>
    <row r="13" spans="1:11" x14ac:dyDescent="0.2">
      <c r="A13" s="33" t="s">
        <v>82</v>
      </c>
      <c r="B13" s="214">
        <v>7979</v>
      </c>
      <c r="C13" s="214">
        <v>37283719.960000001</v>
      </c>
      <c r="D13" s="214">
        <v>6418734.9400000004</v>
      </c>
      <c r="E13" s="214">
        <v>3522338.03</v>
      </c>
      <c r="F13" s="214">
        <v>5396101.9400000004</v>
      </c>
      <c r="G13" s="214">
        <v>9053819.0599999987</v>
      </c>
      <c r="H13" s="214">
        <v>4732863.8600000003</v>
      </c>
      <c r="I13" s="214">
        <v>7517141.5900000008</v>
      </c>
      <c r="J13" s="214">
        <v>5941160.96</v>
      </c>
      <c r="K13" s="214">
        <f>SUM(C13:J13)</f>
        <v>79865880.339999989</v>
      </c>
    </row>
    <row r="14" spans="1:11" x14ac:dyDescent="0.2">
      <c r="A14" s="33" t="s">
        <v>83</v>
      </c>
      <c r="B14" s="214">
        <v>5389</v>
      </c>
      <c r="C14" s="214">
        <v>26394364.300000004</v>
      </c>
      <c r="D14" s="214">
        <v>4194715.33</v>
      </c>
      <c r="E14" s="214">
        <v>3443158.21</v>
      </c>
      <c r="F14" s="214">
        <v>3427157.99</v>
      </c>
      <c r="G14" s="214">
        <v>7923937.0700000012</v>
      </c>
      <c r="H14" s="214">
        <v>4716010.1900000004</v>
      </c>
      <c r="I14" s="214">
        <v>5744277.0600000005</v>
      </c>
      <c r="J14" s="214">
        <v>2086014.15</v>
      </c>
      <c r="K14" s="214">
        <f>SUM(C14:J14)</f>
        <v>57929634.300000004</v>
      </c>
    </row>
    <row r="15" spans="1:11" x14ac:dyDescent="0.2">
      <c r="A15" s="33" t="s">
        <v>84</v>
      </c>
      <c r="B15" s="214">
        <v>5197</v>
      </c>
      <c r="C15" s="214">
        <v>28460569.300000004</v>
      </c>
      <c r="D15" s="214">
        <v>3524792.85</v>
      </c>
      <c r="E15" s="214">
        <v>4827658.51</v>
      </c>
      <c r="F15" s="214">
        <v>3381660.53</v>
      </c>
      <c r="G15" s="214">
        <v>8549140.5499999989</v>
      </c>
      <c r="H15" s="214">
        <v>5699869.580000001</v>
      </c>
      <c r="I15" s="214">
        <v>6241658.7799999984</v>
      </c>
      <c r="J15" s="214">
        <v>3754830.66</v>
      </c>
      <c r="K15" s="214">
        <f>SUM(C15:J15)</f>
        <v>64440180.760000005</v>
      </c>
    </row>
    <row r="16" spans="1:11" x14ac:dyDescent="0.2">
      <c r="A16" s="33" t="s">
        <v>85</v>
      </c>
      <c r="B16" s="233">
        <v>1480</v>
      </c>
      <c r="C16" s="234">
        <v>11707493.630000001</v>
      </c>
      <c r="D16" s="220">
        <v>860443.76</v>
      </c>
      <c r="E16" s="220">
        <v>3287628.29</v>
      </c>
      <c r="F16" s="220">
        <v>810053.53</v>
      </c>
      <c r="G16" s="220">
        <v>3999221.5699999994</v>
      </c>
      <c r="H16" s="220">
        <v>2712130.5999999996</v>
      </c>
      <c r="I16" s="220">
        <v>2720991.3499999996</v>
      </c>
      <c r="J16" s="220">
        <v>4122936.8</v>
      </c>
      <c r="K16" s="220">
        <f>SUM(C16:J16)</f>
        <v>30220899.529999997</v>
      </c>
    </row>
    <row r="17" spans="1:11" x14ac:dyDescent="0.2">
      <c r="A17" s="182" t="s">
        <v>104</v>
      </c>
      <c r="B17" s="214">
        <f t="shared" ref="B17:K17" si="2">SUM(B12:B16)</f>
        <v>42550</v>
      </c>
      <c r="C17" s="214">
        <f t="shared" si="2"/>
        <v>220476289.98000002</v>
      </c>
      <c r="D17" s="214">
        <f t="shared" si="2"/>
        <v>34635057.560000002</v>
      </c>
      <c r="E17" s="214">
        <f t="shared" si="2"/>
        <v>23405266.129999995</v>
      </c>
      <c r="F17" s="214">
        <f t="shared" si="2"/>
        <v>24903776.490000002</v>
      </c>
      <c r="G17" s="214">
        <f t="shared" si="2"/>
        <v>50078238.589999996</v>
      </c>
      <c r="H17" s="214">
        <f t="shared" si="2"/>
        <v>26054267.690000005</v>
      </c>
      <c r="I17" s="214">
        <f t="shared" si="2"/>
        <v>39395414.280000001</v>
      </c>
      <c r="J17" s="214">
        <f t="shared" si="2"/>
        <v>27940445.530000001</v>
      </c>
      <c r="K17" s="214">
        <f t="shared" si="2"/>
        <v>446888756.25</v>
      </c>
    </row>
    <row r="18" spans="1:11" x14ac:dyDescent="0.2">
      <c r="A18" s="33"/>
      <c r="B18" s="214"/>
      <c r="C18" s="214"/>
      <c r="D18" s="214"/>
      <c r="E18" s="214"/>
      <c r="F18" s="214"/>
      <c r="G18" s="214"/>
      <c r="H18" s="214"/>
      <c r="I18" s="214"/>
      <c r="J18" s="214"/>
      <c r="K18" s="182"/>
    </row>
    <row r="19" spans="1:11" x14ac:dyDescent="0.2">
      <c r="A19" s="33" t="s">
        <v>86</v>
      </c>
      <c r="B19" s="214">
        <v>10157</v>
      </c>
      <c r="C19" s="214">
        <v>48509680.589999996</v>
      </c>
      <c r="D19" s="214">
        <v>5226526.18</v>
      </c>
      <c r="E19" s="214">
        <v>4168202.03</v>
      </c>
      <c r="F19" s="214">
        <v>5010302.71</v>
      </c>
      <c r="G19" s="214">
        <v>8231305.71</v>
      </c>
      <c r="H19" s="214">
        <v>5071109.57</v>
      </c>
      <c r="I19" s="214">
        <v>7203487.0100000007</v>
      </c>
      <c r="J19" s="214">
        <v>4866794.42</v>
      </c>
      <c r="K19" s="214">
        <f>SUM(C19:J19)</f>
        <v>88287408.219999999</v>
      </c>
    </row>
    <row r="20" spans="1:11" x14ac:dyDescent="0.2">
      <c r="A20" s="33" t="s">
        <v>87</v>
      </c>
      <c r="B20" s="233">
        <v>7489</v>
      </c>
      <c r="C20" s="234">
        <v>49168865.249999993</v>
      </c>
      <c r="D20" s="234">
        <v>4302664.62</v>
      </c>
      <c r="E20" s="234">
        <v>8598094.4000000022</v>
      </c>
      <c r="F20" s="234">
        <v>3317009.0500000003</v>
      </c>
      <c r="G20" s="234">
        <v>12095877.66</v>
      </c>
      <c r="H20" s="234">
        <v>7714384.2399999993</v>
      </c>
      <c r="I20" s="234">
        <v>8166279.4699999997</v>
      </c>
      <c r="J20" s="220">
        <v>5548884.6299999999</v>
      </c>
      <c r="K20" s="220">
        <f>SUM(C20:J20)</f>
        <v>98912059.319999978</v>
      </c>
    </row>
    <row r="21" spans="1:11" x14ac:dyDescent="0.2">
      <c r="A21" s="182" t="s">
        <v>105</v>
      </c>
      <c r="B21" s="214">
        <f t="shared" ref="B21:K21" si="3">SUM(B19:B20)</f>
        <v>17646</v>
      </c>
      <c r="C21" s="214">
        <f t="shared" si="3"/>
        <v>97678545.839999989</v>
      </c>
      <c r="D21" s="214">
        <f t="shared" si="3"/>
        <v>9529190.8000000007</v>
      </c>
      <c r="E21" s="214">
        <f t="shared" si="3"/>
        <v>12766296.430000002</v>
      </c>
      <c r="F21" s="214">
        <f t="shared" si="3"/>
        <v>8327311.7599999998</v>
      </c>
      <c r="G21" s="214">
        <f t="shared" si="3"/>
        <v>20327183.370000001</v>
      </c>
      <c r="H21" s="214">
        <f t="shared" si="3"/>
        <v>12785493.809999999</v>
      </c>
      <c r="I21" s="214">
        <f t="shared" si="3"/>
        <v>15369766.48</v>
      </c>
      <c r="J21" s="214">
        <f t="shared" si="3"/>
        <v>10415679.050000001</v>
      </c>
      <c r="K21" s="214">
        <f t="shared" si="3"/>
        <v>187199467.53999996</v>
      </c>
    </row>
    <row r="22" spans="1:11" x14ac:dyDescent="0.2">
      <c r="A22" s="33"/>
      <c r="B22" s="214"/>
      <c r="C22" s="214"/>
      <c r="D22" s="214"/>
      <c r="E22" s="214"/>
      <c r="F22" s="214"/>
      <c r="G22" s="214"/>
      <c r="H22" s="214"/>
      <c r="I22" s="214"/>
      <c r="J22" s="214"/>
      <c r="K22" s="214"/>
    </row>
    <row r="23" spans="1:11" ht="13.5" thickBot="1" x14ac:dyDescent="0.25">
      <c r="A23" s="182" t="s">
        <v>209</v>
      </c>
      <c r="B23" s="222">
        <f t="shared" ref="B23:K23" si="4">B21+B17+B10</f>
        <v>149748</v>
      </c>
      <c r="C23" s="222">
        <f t="shared" si="4"/>
        <v>779213793.09000003</v>
      </c>
      <c r="D23" s="222">
        <f t="shared" si="4"/>
        <v>120698952.21000001</v>
      </c>
      <c r="E23" s="222">
        <f t="shared" si="4"/>
        <v>74005548.340000004</v>
      </c>
      <c r="F23" s="222">
        <f t="shared" si="4"/>
        <v>75478925.25999999</v>
      </c>
      <c r="G23" s="222">
        <f t="shared" si="4"/>
        <v>147564134.69</v>
      </c>
      <c r="H23" s="222">
        <f t="shared" si="4"/>
        <v>78812594.719999999</v>
      </c>
      <c r="I23" s="222">
        <f t="shared" si="4"/>
        <v>93787030.299999997</v>
      </c>
      <c r="J23" s="222">
        <f t="shared" si="4"/>
        <v>77297470.210000008</v>
      </c>
      <c r="K23" s="222">
        <f t="shared" si="4"/>
        <v>1446858448.8199999</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626</v>
      </c>
      <c r="B26" s="22"/>
      <c r="C26" s="22"/>
      <c r="D26" s="22"/>
      <c r="E26" s="22"/>
      <c r="F26" s="22"/>
      <c r="G26" s="22"/>
      <c r="H26" s="22"/>
      <c r="I26" s="22"/>
      <c r="J26" s="22"/>
      <c r="K26" s="22"/>
    </row>
    <row r="27" spans="1:11" ht="33.75" x14ac:dyDescent="0.2">
      <c r="A27" s="21" t="s">
        <v>245</v>
      </c>
      <c r="B27" s="21" t="s">
        <v>624</v>
      </c>
      <c r="C27" s="12" t="s">
        <v>615</v>
      </c>
      <c r="D27" s="12" t="s">
        <v>616</v>
      </c>
      <c r="E27" s="12" t="s">
        <v>617</v>
      </c>
      <c r="F27" s="12" t="s">
        <v>618</v>
      </c>
      <c r="G27" s="12" t="s">
        <v>619</v>
      </c>
      <c r="H27" s="12" t="s">
        <v>620</v>
      </c>
      <c r="I27" s="12" t="s">
        <v>621</v>
      </c>
      <c r="J27" s="12" t="s">
        <v>622</v>
      </c>
      <c r="K27" s="12" t="s">
        <v>623</v>
      </c>
    </row>
    <row r="28" spans="1:11" x14ac:dyDescent="0.2">
      <c r="A28" s="182" t="s">
        <v>102</v>
      </c>
      <c r="B28" s="214">
        <f t="shared" ref="B28:B33" si="5">B4</f>
        <v>37242</v>
      </c>
      <c r="C28" s="182">
        <f t="shared" ref="C28:K28" si="6">C4/$B28</f>
        <v>4778.4049513989585</v>
      </c>
      <c r="D28" s="182">
        <f t="shared" si="6"/>
        <v>931.87650448418458</v>
      </c>
      <c r="E28" s="182">
        <f t="shared" si="6"/>
        <v>258.64983217872299</v>
      </c>
      <c r="F28" s="182">
        <f t="shared" si="6"/>
        <v>467.47566108157457</v>
      </c>
      <c r="G28" s="182">
        <f t="shared" si="6"/>
        <v>747.7221674453574</v>
      </c>
      <c r="H28" s="182">
        <f t="shared" si="6"/>
        <v>357.4986547446432</v>
      </c>
      <c r="I28" s="182">
        <f t="shared" si="6"/>
        <v>277.72557247194032</v>
      </c>
      <c r="J28" s="182">
        <f t="shared" si="6"/>
        <v>306.1202620697062</v>
      </c>
      <c r="K28" s="182">
        <f t="shared" si="6"/>
        <v>8125.4736058750877</v>
      </c>
    </row>
    <row r="29" spans="1:11" x14ac:dyDescent="0.2">
      <c r="A29" s="182" t="s">
        <v>76</v>
      </c>
      <c r="B29" s="214">
        <f t="shared" si="5"/>
        <v>18748</v>
      </c>
      <c r="C29" s="182">
        <f t="shared" ref="C29:K29" si="7">C5/$B29</f>
        <v>5133.7030333902276</v>
      </c>
      <c r="D29" s="182">
        <f t="shared" si="7"/>
        <v>1056.5601669511416</v>
      </c>
      <c r="E29" s="182">
        <f t="shared" si="7"/>
        <v>332.19260827821643</v>
      </c>
      <c r="F29" s="182">
        <f t="shared" si="7"/>
        <v>545.56947407723487</v>
      </c>
      <c r="G29" s="182">
        <f t="shared" si="7"/>
        <v>844.09379880520589</v>
      </c>
      <c r="H29" s="182">
        <f t="shared" si="7"/>
        <v>452.43589396202253</v>
      </c>
      <c r="I29" s="182">
        <f t="shared" si="7"/>
        <v>468.76159377000221</v>
      </c>
      <c r="J29" s="182">
        <f t="shared" si="7"/>
        <v>563.61654736505227</v>
      </c>
      <c r="K29" s="182">
        <f t="shared" si="7"/>
        <v>9396.9331165991043</v>
      </c>
    </row>
    <row r="30" spans="1:11" x14ac:dyDescent="0.2">
      <c r="A30" s="182" t="s">
        <v>77</v>
      </c>
      <c r="B30" s="214">
        <f t="shared" si="5"/>
        <v>11756</v>
      </c>
      <c r="C30" s="182">
        <f t="shared" ref="C30:K30" si="8">C6/$B30</f>
        <v>5487.7917684586591</v>
      </c>
      <c r="D30" s="182">
        <f t="shared" si="8"/>
        <v>939.17364834977889</v>
      </c>
      <c r="E30" s="182">
        <f t="shared" si="8"/>
        <v>489.24019819666552</v>
      </c>
      <c r="F30" s="182">
        <f t="shared" si="8"/>
        <v>532.32360837019394</v>
      </c>
      <c r="G30" s="182">
        <f t="shared" si="8"/>
        <v>908.99304440285812</v>
      </c>
      <c r="H30" s="182">
        <f t="shared" si="8"/>
        <v>414.90933821027556</v>
      </c>
      <c r="I30" s="182">
        <f t="shared" si="8"/>
        <v>461.36595355563122</v>
      </c>
      <c r="J30" s="182">
        <f t="shared" si="8"/>
        <v>437.40721078598165</v>
      </c>
      <c r="K30" s="182">
        <f t="shared" si="8"/>
        <v>9671.204770330045</v>
      </c>
    </row>
    <row r="31" spans="1:11" x14ac:dyDescent="0.2">
      <c r="A31" s="182" t="s">
        <v>78</v>
      </c>
      <c r="B31" s="214">
        <f t="shared" si="5"/>
        <v>14373</v>
      </c>
      <c r="C31" s="182">
        <f t="shared" ref="C31:K31" si="9">C7/$B31</f>
        <v>5304.1172302233354</v>
      </c>
      <c r="D31" s="182">
        <f t="shared" si="9"/>
        <v>579.22418005983434</v>
      </c>
      <c r="E31" s="182">
        <f t="shared" si="9"/>
        <v>633.40237041675346</v>
      </c>
      <c r="F31" s="182">
        <f t="shared" si="9"/>
        <v>399.03838516663183</v>
      </c>
      <c r="G31" s="182">
        <f t="shared" si="9"/>
        <v>921.19489111528549</v>
      </c>
      <c r="H31" s="182">
        <f t="shared" si="9"/>
        <v>479.63864468099899</v>
      </c>
      <c r="I31" s="182">
        <f t="shared" si="9"/>
        <v>663.4881966186598</v>
      </c>
      <c r="J31" s="182">
        <f t="shared" si="9"/>
        <v>475.78335977179438</v>
      </c>
      <c r="K31" s="182">
        <f t="shared" si="9"/>
        <v>9455.8872580532916</v>
      </c>
    </row>
    <row r="32" spans="1:11" x14ac:dyDescent="0.2">
      <c r="A32" s="182" t="s">
        <v>79</v>
      </c>
      <c r="B32" s="214">
        <f t="shared" si="5"/>
        <v>5804</v>
      </c>
      <c r="C32" s="182">
        <f t="shared" ref="C32:K32" si="10">C8/$B32</f>
        <v>6147.2308339076517</v>
      </c>
      <c r="D32" s="182">
        <f t="shared" si="10"/>
        <v>371.42974672639559</v>
      </c>
      <c r="E32" s="182">
        <f t="shared" si="10"/>
        <v>917.40586319779459</v>
      </c>
      <c r="F32" s="182">
        <f t="shared" si="10"/>
        <v>419.48781185389385</v>
      </c>
      <c r="G32" s="182">
        <f t="shared" si="10"/>
        <v>1276.4995692625778</v>
      </c>
      <c r="H32" s="182">
        <f t="shared" si="10"/>
        <v>843.09507580978641</v>
      </c>
      <c r="I32" s="182">
        <f t="shared" si="10"/>
        <v>730.52304789800132</v>
      </c>
      <c r="J32" s="182">
        <f t="shared" si="10"/>
        <v>791.18133700895942</v>
      </c>
      <c r="K32" s="182">
        <f t="shared" si="10"/>
        <v>11496.853285665062</v>
      </c>
    </row>
    <row r="33" spans="1:11" x14ac:dyDescent="0.2">
      <c r="A33" s="182" t="s">
        <v>80</v>
      </c>
      <c r="B33" s="220">
        <f t="shared" si="5"/>
        <v>1629</v>
      </c>
      <c r="C33" s="183">
        <f t="shared" ref="C33:K33" si="11">C9/$B33</f>
        <v>6400.1539963167597</v>
      </c>
      <c r="D33" s="183">
        <f t="shared" si="11"/>
        <v>306.61526089625539</v>
      </c>
      <c r="E33" s="183">
        <f t="shared" si="11"/>
        <v>1100.9073296500922</v>
      </c>
      <c r="F33" s="183">
        <f t="shared" si="11"/>
        <v>111.53445672191529</v>
      </c>
      <c r="G33" s="183">
        <f t="shared" si="11"/>
        <v>1320.8798833640271</v>
      </c>
      <c r="H33" s="183">
        <f t="shared" si="11"/>
        <v>928.02697360343768</v>
      </c>
      <c r="I33" s="183">
        <f t="shared" si="11"/>
        <v>423.79474524248008</v>
      </c>
      <c r="J33" s="183">
        <f t="shared" si="11"/>
        <v>246.48368324125229</v>
      </c>
      <c r="K33" s="183">
        <f t="shared" si="11"/>
        <v>10838.396329036219</v>
      </c>
    </row>
    <row r="34" spans="1:11" x14ac:dyDescent="0.2">
      <c r="A34" s="182" t="s">
        <v>219</v>
      </c>
      <c r="B34" s="214">
        <f>SUM(B28:B33)</f>
        <v>89552</v>
      </c>
      <c r="C34" s="182">
        <f t="shared" ref="C34:K34" si="12">C10/$B34</f>
        <v>5148.5054188627837</v>
      </c>
      <c r="D34" s="182">
        <f t="shared" si="12"/>
        <v>854.63980536448105</v>
      </c>
      <c r="E34" s="182">
        <f t="shared" si="12"/>
        <v>422.480634491692</v>
      </c>
      <c r="F34" s="182">
        <f t="shared" si="12"/>
        <v>471.76877132839019</v>
      </c>
      <c r="G34" s="182">
        <f t="shared" si="12"/>
        <v>861.60792310612828</v>
      </c>
      <c r="H34" s="182">
        <f t="shared" si="12"/>
        <v>446.36449459531883</v>
      </c>
      <c r="I34" s="182">
        <f t="shared" si="12"/>
        <v>435.7451485170626</v>
      </c>
      <c r="J34" s="182">
        <f t="shared" si="12"/>
        <v>434.84618579149554</v>
      </c>
      <c r="K34" s="182">
        <f t="shared" si="12"/>
        <v>9075.9583820573516</v>
      </c>
    </row>
    <row r="35" spans="1:11" x14ac:dyDescent="0.2">
      <c r="A35" s="182"/>
      <c r="B35" s="214"/>
      <c r="C35" s="182"/>
      <c r="D35" s="182"/>
      <c r="E35" s="182"/>
      <c r="F35" s="182"/>
      <c r="G35" s="182"/>
      <c r="H35" s="182"/>
      <c r="I35" s="182"/>
      <c r="J35" s="182"/>
      <c r="K35" s="182"/>
    </row>
    <row r="36" spans="1:11" x14ac:dyDescent="0.2">
      <c r="A36" s="182" t="s">
        <v>81</v>
      </c>
      <c r="B36" s="214">
        <f>B12</f>
        <v>22505</v>
      </c>
      <c r="C36" s="182">
        <f t="shared" ref="C36:K36" si="13">C12/$B36</f>
        <v>5182.410255054433</v>
      </c>
      <c r="D36" s="182">
        <f t="shared" si="13"/>
        <v>872.53368940235498</v>
      </c>
      <c r="E36" s="182">
        <f t="shared" si="13"/>
        <v>369.89482737169516</v>
      </c>
      <c r="F36" s="182">
        <f t="shared" si="13"/>
        <v>528.27382803821376</v>
      </c>
      <c r="G36" s="182">
        <f t="shared" si="13"/>
        <v>913.22463185958679</v>
      </c>
      <c r="H36" s="182">
        <f t="shared" si="13"/>
        <v>364.06991601866252</v>
      </c>
      <c r="I36" s="182">
        <f t="shared" si="13"/>
        <v>763.00135525438793</v>
      </c>
      <c r="J36" s="182">
        <f t="shared" si="13"/>
        <v>534.79239991113093</v>
      </c>
      <c r="K36" s="182">
        <f t="shared" si="13"/>
        <v>9528.2009029104647</v>
      </c>
    </row>
    <row r="37" spans="1:11" x14ac:dyDescent="0.2">
      <c r="A37" s="182" t="s">
        <v>82</v>
      </c>
      <c r="B37" s="214">
        <f>B13</f>
        <v>7979</v>
      </c>
      <c r="C37" s="182">
        <f t="shared" ref="C37:K37" si="14">C13/$B37</f>
        <v>4672.7309136483273</v>
      </c>
      <c r="D37" s="182">
        <f t="shared" si="14"/>
        <v>804.45355808998625</v>
      </c>
      <c r="E37" s="182">
        <f t="shared" si="14"/>
        <v>441.45106278982325</v>
      </c>
      <c r="F37" s="182">
        <f t="shared" si="14"/>
        <v>676.28799849605218</v>
      </c>
      <c r="G37" s="182">
        <f t="shared" si="14"/>
        <v>1134.705985712495</v>
      </c>
      <c r="H37" s="182">
        <f t="shared" si="14"/>
        <v>593.16504073192129</v>
      </c>
      <c r="I37" s="182">
        <f t="shared" si="14"/>
        <v>942.11575260057657</v>
      </c>
      <c r="J37" s="182">
        <f t="shared" si="14"/>
        <v>744.59969419726781</v>
      </c>
      <c r="K37" s="182">
        <f t="shared" si="14"/>
        <v>10009.510006266448</v>
      </c>
    </row>
    <row r="38" spans="1:11" x14ac:dyDescent="0.2">
      <c r="A38" s="182" t="s">
        <v>83</v>
      </c>
      <c r="B38" s="214">
        <f>B14</f>
        <v>5389</v>
      </c>
      <c r="C38" s="182">
        <f t="shared" ref="C38:K38" si="15">C14/$B38</f>
        <v>4897.8222861384311</v>
      </c>
      <c r="D38" s="182">
        <f t="shared" si="15"/>
        <v>778.38473371683062</v>
      </c>
      <c r="E38" s="182">
        <f t="shared" si="15"/>
        <v>638.92340137316751</v>
      </c>
      <c r="F38" s="182">
        <f t="shared" si="15"/>
        <v>635.95434960103921</v>
      </c>
      <c r="G38" s="182">
        <f t="shared" si="15"/>
        <v>1470.3909946186679</v>
      </c>
      <c r="H38" s="182">
        <f t="shared" si="15"/>
        <v>875.11786787901292</v>
      </c>
      <c r="I38" s="182">
        <f t="shared" si="15"/>
        <v>1065.9263425496383</v>
      </c>
      <c r="J38" s="182">
        <f t="shared" si="15"/>
        <v>387.0874280942661</v>
      </c>
      <c r="K38" s="182">
        <f t="shared" si="15"/>
        <v>10749.607403971053</v>
      </c>
    </row>
    <row r="39" spans="1:11" x14ac:dyDescent="0.2">
      <c r="A39" s="182" t="s">
        <v>84</v>
      </c>
      <c r="B39" s="214">
        <f>B15</f>
        <v>5197</v>
      </c>
      <c r="C39" s="182">
        <f t="shared" ref="C39:K39" si="16">C15/$B39</f>
        <v>5476.3458341350788</v>
      </c>
      <c r="D39" s="182">
        <f t="shared" si="16"/>
        <v>678.23606888589575</v>
      </c>
      <c r="E39" s="182">
        <f t="shared" si="16"/>
        <v>928.93178949393882</v>
      </c>
      <c r="F39" s="182">
        <f t="shared" si="16"/>
        <v>650.69473350009616</v>
      </c>
      <c r="G39" s="182">
        <f t="shared" si="16"/>
        <v>1645.0145372330189</v>
      </c>
      <c r="H39" s="182">
        <f t="shared" si="16"/>
        <v>1096.7615124110066</v>
      </c>
      <c r="I39" s="182">
        <f t="shared" si="16"/>
        <v>1201.0118876274771</v>
      </c>
      <c r="J39" s="182">
        <f t="shared" si="16"/>
        <v>722.49964594958635</v>
      </c>
      <c r="K39" s="182">
        <f t="shared" si="16"/>
        <v>12399.496009236098</v>
      </c>
    </row>
    <row r="40" spans="1:11" x14ac:dyDescent="0.2">
      <c r="A40" s="182" t="s">
        <v>85</v>
      </c>
      <c r="B40" s="220">
        <f>B16</f>
        <v>1480</v>
      </c>
      <c r="C40" s="183">
        <f t="shared" ref="C40:K40" si="17">C16/$B40</f>
        <v>7910.4686689189193</v>
      </c>
      <c r="D40" s="183">
        <f t="shared" si="17"/>
        <v>581.38091891891895</v>
      </c>
      <c r="E40" s="183">
        <f t="shared" si="17"/>
        <v>2221.3704662162163</v>
      </c>
      <c r="F40" s="183">
        <f t="shared" si="17"/>
        <v>547.33346621621627</v>
      </c>
      <c r="G40" s="183">
        <f t="shared" si="17"/>
        <v>2702.1767364864859</v>
      </c>
      <c r="H40" s="183">
        <f t="shared" si="17"/>
        <v>1832.5206756756754</v>
      </c>
      <c r="I40" s="183">
        <f t="shared" si="17"/>
        <v>1838.5076689189186</v>
      </c>
      <c r="J40" s="183">
        <f t="shared" si="17"/>
        <v>2785.7681081081082</v>
      </c>
      <c r="K40" s="183">
        <f t="shared" si="17"/>
        <v>20419.526709459456</v>
      </c>
    </row>
    <row r="41" spans="1:11" x14ac:dyDescent="0.2">
      <c r="A41" s="182" t="s">
        <v>220</v>
      </c>
      <c r="B41" s="214">
        <f>SUM(B36:B40)</f>
        <v>42550</v>
      </c>
      <c r="C41" s="182">
        <f t="shared" ref="C41:K41" si="18">C17/$B41</f>
        <v>5181.5814331374859</v>
      </c>
      <c r="D41" s="182">
        <f t="shared" si="18"/>
        <v>813.98490152761462</v>
      </c>
      <c r="E41" s="182">
        <f t="shared" si="18"/>
        <v>550.06500893066971</v>
      </c>
      <c r="F41" s="182">
        <f t="shared" si="18"/>
        <v>585.2826437132785</v>
      </c>
      <c r="G41" s="182">
        <f t="shared" si="18"/>
        <v>1176.9268763807286</v>
      </c>
      <c r="H41" s="182">
        <f t="shared" si="18"/>
        <v>612.32121480611056</v>
      </c>
      <c r="I41" s="182">
        <f t="shared" si="18"/>
        <v>925.86167520564049</v>
      </c>
      <c r="J41" s="182">
        <f t="shared" si="18"/>
        <v>656.64971868390137</v>
      </c>
      <c r="K41" s="182">
        <f t="shared" si="18"/>
        <v>10502.67347238543</v>
      </c>
    </row>
    <row r="42" spans="1:11" x14ac:dyDescent="0.2">
      <c r="A42" s="182"/>
      <c r="B42" s="214"/>
      <c r="C42" s="182"/>
      <c r="D42" s="182"/>
      <c r="E42" s="182"/>
      <c r="F42" s="182"/>
      <c r="G42" s="182"/>
      <c r="H42" s="182"/>
      <c r="I42" s="182"/>
      <c r="J42" s="182"/>
      <c r="K42" s="182"/>
    </row>
    <row r="43" spans="1:11" x14ac:dyDescent="0.2">
      <c r="A43" s="182" t="s">
        <v>86</v>
      </c>
      <c r="B43" s="214">
        <f>B19</f>
        <v>10157</v>
      </c>
      <c r="C43" s="182">
        <f t="shared" ref="C43:K43" si="19">C19/$B43</f>
        <v>4775.9850930392831</v>
      </c>
      <c r="D43" s="182">
        <f t="shared" si="19"/>
        <v>514.57380919562866</v>
      </c>
      <c r="E43" s="182">
        <f t="shared" si="19"/>
        <v>410.37727970857537</v>
      </c>
      <c r="F43" s="182">
        <f t="shared" si="19"/>
        <v>493.28568573397655</v>
      </c>
      <c r="G43" s="182">
        <f t="shared" si="19"/>
        <v>810.40717830067933</v>
      </c>
      <c r="H43" s="182">
        <f t="shared" si="19"/>
        <v>499.27238062420008</v>
      </c>
      <c r="I43" s="182">
        <f t="shared" si="19"/>
        <v>709.21404056315851</v>
      </c>
      <c r="J43" s="182">
        <f t="shared" si="19"/>
        <v>479.15668209116865</v>
      </c>
      <c r="K43" s="182">
        <f t="shared" si="19"/>
        <v>8692.2721492566707</v>
      </c>
    </row>
    <row r="44" spans="1:11" x14ac:dyDescent="0.2">
      <c r="A44" s="182" t="s">
        <v>87</v>
      </c>
      <c r="B44" s="220">
        <f>B20</f>
        <v>7489</v>
      </c>
      <c r="C44" s="183">
        <f t="shared" ref="C44:K44" si="20">C20/$B44</f>
        <v>6565.4780678328207</v>
      </c>
      <c r="D44" s="183">
        <f t="shared" si="20"/>
        <v>574.53126185071437</v>
      </c>
      <c r="E44" s="183">
        <f t="shared" si="20"/>
        <v>1148.0964614768329</v>
      </c>
      <c r="F44" s="183">
        <f t="shared" si="20"/>
        <v>442.91748564561362</v>
      </c>
      <c r="G44" s="183">
        <f t="shared" si="20"/>
        <v>1615.1525784483911</v>
      </c>
      <c r="H44" s="183">
        <f t="shared" si="20"/>
        <v>1030.0953718787555</v>
      </c>
      <c r="I44" s="183">
        <f t="shared" si="20"/>
        <v>1090.4365696354653</v>
      </c>
      <c r="J44" s="183">
        <f t="shared" si="20"/>
        <v>740.93799305648281</v>
      </c>
      <c r="K44" s="183">
        <f t="shared" si="20"/>
        <v>13207.645789825074</v>
      </c>
    </row>
    <row r="45" spans="1:11" x14ac:dyDescent="0.2">
      <c r="A45" s="182" t="s">
        <v>221</v>
      </c>
      <c r="B45" s="214">
        <f>SUM(B43:B44)</f>
        <v>17646</v>
      </c>
      <c r="C45" s="182">
        <f t="shared" ref="C45:K45" si="21">C21/$B45</f>
        <v>5535.4497245834746</v>
      </c>
      <c r="D45" s="182">
        <f t="shared" si="21"/>
        <v>540.01987985945823</v>
      </c>
      <c r="E45" s="182">
        <f t="shared" si="21"/>
        <v>723.46687237900949</v>
      </c>
      <c r="F45" s="182">
        <f t="shared" si="21"/>
        <v>471.90931429219086</v>
      </c>
      <c r="G45" s="182">
        <f t="shared" si="21"/>
        <v>1151.9428408704523</v>
      </c>
      <c r="H45" s="182">
        <f t="shared" si="21"/>
        <v>724.55478918735116</v>
      </c>
      <c r="I45" s="182">
        <f t="shared" si="21"/>
        <v>871.00569420831914</v>
      </c>
      <c r="J45" s="182">
        <f t="shared" si="21"/>
        <v>590.2572282670294</v>
      </c>
      <c r="K45" s="182">
        <f t="shared" si="21"/>
        <v>10608.606343647283</v>
      </c>
    </row>
    <row r="46" spans="1:11" x14ac:dyDescent="0.2">
      <c r="A46" s="182"/>
      <c r="B46" s="214"/>
      <c r="C46" s="182"/>
      <c r="D46" s="182"/>
      <c r="E46" s="182"/>
      <c r="F46" s="182"/>
      <c r="G46" s="182"/>
      <c r="H46" s="182"/>
      <c r="I46" s="182"/>
      <c r="J46" s="182"/>
      <c r="K46" s="182"/>
    </row>
    <row r="47" spans="1:11" ht="13.5" thickBot="1" x14ac:dyDescent="0.25">
      <c r="A47" s="182" t="s">
        <v>222</v>
      </c>
      <c r="B47" s="222">
        <f>B45+B41+B34</f>
        <v>149748</v>
      </c>
      <c r="C47" s="192">
        <f t="shared" ref="C47:K47" si="22">C23/$B47</f>
        <v>5203.5005014424232</v>
      </c>
      <c r="D47" s="192">
        <f t="shared" si="22"/>
        <v>806.01378455805764</v>
      </c>
      <c r="E47" s="192">
        <f t="shared" si="22"/>
        <v>494.20057923978953</v>
      </c>
      <c r="F47" s="192">
        <f t="shared" si="22"/>
        <v>504.0396216310067</v>
      </c>
      <c r="G47" s="192">
        <f t="shared" si="22"/>
        <v>985.41639748110151</v>
      </c>
      <c r="H47" s="192">
        <f t="shared" si="22"/>
        <v>526.30148462750753</v>
      </c>
      <c r="I47" s="192">
        <f t="shared" si="22"/>
        <v>626.29905107246839</v>
      </c>
      <c r="J47" s="192">
        <f t="shared" si="22"/>
        <v>516.18365660977111</v>
      </c>
      <c r="K47" s="192">
        <f t="shared" si="22"/>
        <v>9661.9550766621251</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625</v>
      </c>
      <c r="B50" s="182"/>
      <c r="C50" s="182"/>
      <c r="D50" s="182"/>
      <c r="E50" s="182"/>
      <c r="F50" s="182"/>
      <c r="G50" s="182"/>
      <c r="H50" s="182"/>
      <c r="I50" s="182"/>
      <c r="J50" s="182"/>
      <c r="K50" s="182"/>
    </row>
    <row r="51" spans="1:11" ht="33.75" x14ac:dyDescent="0.2">
      <c r="A51" s="21" t="s">
        <v>245</v>
      </c>
      <c r="B51" s="21" t="s">
        <v>624</v>
      </c>
      <c r="C51" s="12" t="s">
        <v>615</v>
      </c>
      <c r="D51" s="12" t="s">
        <v>616</v>
      </c>
      <c r="E51" s="12" t="s">
        <v>617</v>
      </c>
      <c r="F51" s="12" t="s">
        <v>618</v>
      </c>
      <c r="G51" s="12" t="s">
        <v>619</v>
      </c>
      <c r="H51" s="12" t="s">
        <v>620</v>
      </c>
      <c r="I51" s="12" t="s">
        <v>621</v>
      </c>
      <c r="J51" s="12" t="s">
        <v>622</v>
      </c>
      <c r="K51" s="12" t="s">
        <v>623</v>
      </c>
    </row>
    <row r="52" spans="1:11" x14ac:dyDescent="0.2">
      <c r="A52" s="182" t="s">
        <v>102</v>
      </c>
      <c r="B52" s="214">
        <f t="shared" ref="B52:B57" si="23">B4</f>
        <v>37242</v>
      </c>
      <c r="C52" s="191">
        <f t="shared" ref="C52:K52" si="24">C28/$K28</f>
        <v>0.58807709964671517</v>
      </c>
      <c r="D52" s="191">
        <f t="shared" si="24"/>
        <v>0.11468580782914554</v>
      </c>
      <c r="E52" s="191">
        <f t="shared" si="24"/>
        <v>3.1831970014856409E-2</v>
      </c>
      <c r="F52" s="191">
        <f t="shared" si="24"/>
        <v>5.7532112435091584E-2</v>
      </c>
      <c r="G52" s="191">
        <f t="shared" si="24"/>
        <v>9.2021979728630243E-2</v>
      </c>
      <c r="H52" s="191">
        <f t="shared" si="24"/>
        <v>4.3997269831281632E-2</v>
      </c>
      <c r="I52" s="191">
        <f t="shared" si="24"/>
        <v>3.4179616591349465E-2</v>
      </c>
      <c r="J52" s="191">
        <f t="shared" si="24"/>
        <v>3.7674143922929892E-2</v>
      </c>
      <c r="K52" s="191">
        <f t="shared" si="24"/>
        <v>1</v>
      </c>
    </row>
    <row r="53" spans="1:11" x14ac:dyDescent="0.2">
      <c r="A53" s="182" t="s">
        <v>76</v>
      </c>
      <c r="B53" s="214">
        <f t="shared" si="23"/>
        <v>18748</v>
      </c>
      <c r="C53" s="191">
        <f t="shared" ref="C53:K53" si="25">C29/$K29</f>
        <v>0.54631686420347692</v>
      </c>
      <c r="D53" s="191">
        <f t="shared" si="25"/>
        <v>0.11243670183038688</v>
      </c>
      <c r="E53" s="191">
        <f t="shared" si="25"/>
        <v>3.535117300041421E-2</v>
      </c>
      <c r="F53" s="191">
        <f t="shared" si="25"/>
        <v>5.805824808027206E-2</v>
      </c>
      <c r="G53" s="191">
        <f t="shared" si="25"/>
        <v>8.9826519815722233E-2</v>
      </c>
      <c r="H53" s="191">
        <f t="shared" si="25"/>
        <v>4.8147186784039397E-2</v>
      </c>
      <c r="I53" s="191">
        <f t="shared" si="25"/>
        <v>4.9884530192298986E-2</v>
      </c>
      <c r="J53" s="191">
        <f t="shared" si="25"/>
        <v>5.9978776093389266E-2</v>
      </c>
      <c r="K53" s="191">
        <f t="shared" si="25"/>
        <v>1</v>
      </c>
    </row>
    <row r="54" spans="1:11" x14ac:dyDescent="0.2">
      <c r="A54" s="182" t="s">
        <v>77</v>
      </c>
      <c r="B54" s="214">
        <f t="shared" si="23"/>
        <v>11756</v>
      </c>
      <c r="C54" s="191">
        <f t="shared" ref="C54:K54" si="26">C30/$K30</f>
        <v>0.56743620870219458</v>
      </c>
      <c r="D54" s="191">
        <f t="shared" si="26"/>
        <v>9.7110305350067372E-2</v>
      </c>
      <c r="E54" s="191">
        <f t="shared" si="26"/>
        <v>5.0587306319641645E-2</v>
      </c>
      <c r="F54" s="191">
        <f t="shared" si="26"/>
        <v>5.5042119468227076E-2</v>
      </c>
      <c r="G54" s="191">
        <f t="shared" si="26"/>
        <v>9.3989638932217262E-2</v>
      </c>
      <c r="H54" s="191">
        <f t="shared" si="26"/>
        <v>4.2901515174527331E-2</v>
      </c>
      <c r="I54" s="191">
        <f t="shared" si="26"/>
        <v>4.7705116840358906E-2</v>
      </c>
      <c r="J54" s="191">
        <f t="shared" si="26"/>
        <v>4.5227789212765726E-2</v>
      </c>
      <c r="K54" s="191">
        <f t="shared" si="26"/>
        <v>1</v>
      </c>
    </row>
    <row r="55" spans="1:11" x14ac:dyDescent="0.2">
      <c r="A55" s="182" t="s">
        <v>78</v>
      </c>
      <c r="B55" s="214">
        <f t="shared" si="23"/>
        <v>14373</v>
      </c>
      <c r="C55" s="191">
        <f t="shared" ref="C55:K55" si="27">C31/$K31</f>
        <v>0.56093279091351056</v>
      </c>
      <c r="D55" s="191">
        <f t="shared" si="27"/>
        <v>6.1255402507736832E-2</v>
      </c>
      <c r="E55" s="191">
        <f t="shared" si="27"/>
        <v>6.698497487660969E-2</v>
      </c>
      <c r="F55" s="191">
        <f t="shared" si="27"/>
        <v>4.2199993958978624E-2</v>
      </c>
      <c r="G55" s="191">
        <f t="shared" si="27"/>
        <v>9.7420248991519201E-2</v>
      </c>
      <c r="H55" s="191">
        <f t="shared" si="27"/>
        <v>5.0723811694402904E-2</v>
      </c>
      <c r="I55" s="191">
        <f t="shared" si="27"/>
        <v>7.0166678018880463E-2</v>
      </c>
      <c r="J55" s="191">
        <f t="shared" si="27"/>
        <v>5.0316099038361962E-2</v>
      </c>
      <c r="K55" s="191">
        <f t="shared" si="27"/>
        <v>1</v>
      </c>
    </row>
    <row r="56" spans="1:11" x14ac:dyDescent="0.2">
      <c r="A56" s="182" t="s">
        <v>79</v>
      </c>
      <c r="B56" s="214">
        <f t="shared" si="23"/>
        <v>5804</v>
      </c>
      <c r="C56" s="191">
        <f t="shared" ref="C56:K56" si="28">C32/$K32</f>
        <v>0.53468811692781826</v>
      </c>
      <c r="D56" s="191">
        <f t="shared" si="28"/>
        <v>3.2307078945637724E-2</v>
      </c>
      <c r="E56" s="191">
        <f t="shared" si="28"/>
        <v>7.9796257323877393E-2</v>
      </c>
      <c r="F56" s="191">
        <f t="shared" si="28"/>
        <v>3.6487184921889487E-2</v>
      </c>
      <c r="G56" s="191">
        <f t="shared" si="28"/>
        <v>0.11103034348139337</v>
      </c>
      <c r="H56" s="191">
        <f t="shared" si="28"/>
        <v>7.3332681113797094E-2</v>
      </c>
      <c r="I56" s="191">
        <f t="shared" si="28"/>
        <v>6.3541129885414771E-2</v>
      </c>
      <c r="J56" s="191">
        <f t="shared" si="28"/>
        <v>6.8817207400171818E-2</v>
      </c>
      <c r="K56" s="191">
        <f t="shared" si="28"/>
        <v>1</v>
      </c>
    </row>
    <row r="57" spans="1:11" x14ac:dyDescent="0.2">
      <c r="A57" s="182" t="s">
        <v>80</v>
      </c>
      <c r="B57" s="220">
        <f t="shared" si="23"/>
        <v>1629</v>
      </c>
      <c r="C57" s="193">
        <f t="shared" ref="C57:K57" si="29">C33/$K33</f>
        <v>0.59050747011074467</v>
      </c>
      <c r="D57" s="193">
        <f t="shared" si="29"/>
        <v>2.8289725858688958E-2</v>
      </c>
      <c r="E57" s="193">
        <f t="shared" si="29"/>
        <v>0.10157474373775627</v>
      </c>
      <c r="F57" s="193">
        <f t="shared" si="29"/>
        <v>1.029067892849728E-2</v>
      </c>
      <c r="G57" s="193">
        <f t="shared" si="29"/>
        <v>0.12187041728907541</v>
      </c>
      <c r="H57" s="193">
        <f t="shared" si="29"/>
        <v>8.5624011655418081E-2</v>
      </c>
      <c r="I57" s="193">
        <f t="shared" si="29"/>
        <v>3.9101240845670855E-2</v>
      </c>
      <c r="J57" s="193">
        <f t="shared" si="29"/>
        <v>2.2741711574148563E-2</v>
      </c>
      <c r="K57" s="193">
        <f t="shared" si="29"/>
        <v>1</v>
      </c>
    </row>
    <row r="58" spans="1:11" x14ac:dyDescent="0.2">
      <c r="A58" s="182" t="s">
        <v>219</v>
      </c>
      <c r="B58" s="214">
        <f>SUM(B52:B57)</f>
        <v>89552</v>
      </c>
      <c r="C58" s="191">
        <f t="shared" ref="C58:K58" si="30">C34/$K34</f>
        <v>0.56726851337717488</v>
      </c>
      <c r="D58" s="191">
        <f t="shared" si="30"/>
        <v>9.4165240670787437E-2</v>
      </c>
      <c r="E58" s="191">
        <f t="shared" si="30"/>
        <v>4.6549423951404621E-2</v>
      </c>
      <c r="F58" s="191">
        <f t="shared" si="30"/>
        <v>5.1980050091574893E-2</v>
      </c>
      <c r="G58" s="191">
        <f t="shared" si="30"/>
        <v>9.4932996256293728E-2</v>
      </c>
      <c r="H58" s="191">
        <f t="shared" si="30"/>
        <v>4.9180976355924659E-2</v>
      </c>
      <c r="I58" s="191">
        <f t="shared" si="30"/>
        <v>4.8010924045057954E-2</v>
      </c>
      <c r="J58" s="191">
        <f t="shared" si="30"/>
        <v>4.7911875251781838E-2</v>
      </c>
      <c r="K58" s="191">
        <f t="shared" si="30"/>
        <v>1</v>
      </c>
    </row>
    <row r="59" spans="1:11" x14ac:dyDescent="0.2">
      <c r="A59" s="182"/>
      <c r="B59" s="214"/>
      <c r="C59" s="191"/>
      <c r="D59" s="191"/>
      <c r="E59" s="191"/>
      <c r="F59" s="191"/>
      <c r="G59" s="191"/>
      <c r="H59" s="191"/>
      <c r="I59" s="191"/>
      <c r="J59" s="191"/>
      <c r="K59" s="191"/>
    </row>
    <row r="60" spans="1:11" x14ac:dyDescent="0.2">
      <c r="A60" s="182" t="s">
        <v>81</v>
      </c>
      <c r="B60" s="214">
        <f>B36</f>
        <v>22505</v>
      </c>
      <c r="C60" s="191">
        <f t="shared" ref="C60:K60" si="31">C36/$K36</f>
        <v>0.54390228626176684</v>
      </c>
      <c r="D60" s="191">
        <f t="shared" si="31"/>
        <v>9.1573813177662181E-2</v>
      </c>
      <c r="E60" s="191">
        <f t="shared" si="31"/>
        <v>3.8821056686442014E-2</v>
      </c>
      <c r="F60" s="191">
        <f t="shared" si="31"/>
        <v>5.5443187378306467E-2</v>
      </c>
      <c r="G60" s="191">
        <f t="shared" si="31"/>
        <v>9.5844392993501545E-2</v>
      </c>
      <c r="H60" s="191">
        <f t="shared" si="31"/>
        <v>3.8209722877217508E-2</v>
      </c>
      <c r="I60" s="191">
        <f t="shared" si="31"/>
        <v>8.0078218651049124E-2</v>
      </c>
      <c r="J60" s="191">
        <f t="shared" si="31"/>
        <v>5.6127321974054338E-2</v>
      </c>
      <c r="K60" s="191">
        <f t="shared" si="31"/>
        <v>1</v>
      </c>
    </row>
    <row r="61" spans="1:11" x14ac:dyDescent="0.2">
      <c r="A61" s="182" t="s">
        <v>82</v>
      </c>
      <c r="B61" s="214">
        <f>B37</f>
        <v>7979</v>
      </c>
      <c r="C61" s="191">
        <f t="shared" ref="C61:K61" si="32">C37/$K37</f>
        <v>0.46682913656342484</v>
      </c>
      <c r="D61" s="191">
        <f t="shared" si="32"/>
        <v>8.0368924911045456E-2</v>
      </c>
      <c r="E61" s="191">
        <f t="shared" si="32"/>
        <v>4.4103164142246035E-2</v>
      </c>
      <c r="F61" s="191">
        <f t="shared" si="32"/>
        <v>6.7564545924092431E-2</v>
      </c>
      <c r="G61" s="191">
        <f t="shared" si="32"/>
        <v>0.11336279048645868</v>
      </c>
      <c r="H61" s="191">
        <f t="shared" si="32"/>
        <v>5.9260147635655562E-2</v>
      </c>
      <c r="I61" s="191">
        <f t="shared" si="32"/>
        <v>9.4122065117150142E-2</v>
      </c>
      <c r="J61" s="191">
        <f t="shared" si="32"/>
        <v>7.438922521992701E-2</v>
      </c>
      <c r="K61" s="191">
        <f t="shared" si="32"/>
        <v>1</v>
      </c>
    </row>
    <row r="62" spans="1:11" x14ac:dyDescent="0.2">
      <c r="A62" s="182" t="s">
        <v>83</v>
      </c>
      <c r="B62" s="214">
        <f>B38</f>
        <v>5389</v>
      </c>
      <c r="C62" s="191">
        <f t="shared" ref="C62:K62" si="33">C38/$K38</f>
        <v>0.45562801524538543</v>
      </c>
      <c r="D62" s="191">
        <f t="shared" si="33"/>
        <v>7.2410526679261289E-2</v>
      </c>
      <c r="E62" s="191">
        <f t="shared" si="33"/>
        <v>5.9436905680587036E-2</v>
      </c>
      <c r="F62" s="191">
        <f t="shared" si="33"/>
        <v>5.9160704731049889E-2</v>
      </c>
      <c r="G62" s="191">
        <f t="shared" si="33"/>
        <v>0.13678555312405971</v>
      </c>
      <c r="H62" s="191">
        <f t="shared" si="33"/>
        <v>8.1409286403867395E-2</v>
      </c>
      <c r="I62" s="191">
        <f t="shared" si="33"/>
        <v>9.9159560204577377E-2</v>
      </c>
      <c r="J62" s="191">
        <f t="shared" si="33"/>
        <v>3.6009447931211948E-2</v>
      </c>
      <c r="K62" s="191">
        <f t="shared" si="33"/>
        <v>1</v>
      </c>
    </row>
    <row r="63" spans="1:11" x14ac:dyDescent="0.2">
      <c r="A63" s="182" t="s">
        <v>84</v>
      </c>
      <c r="B63" s="214">
        <f>B39</f>
        <v>5197</v>
      </c>
      <c r="C63" s="191">
        <f t="shared" ref="C63:K63" si="34">C39/$K39</f>
        <v>0.44165874403732824</v>
      </c>
      <c r="D63" s="191">
        <f t="shared" si="34"/>
        <v>5.4698680364161041E-2</v>
      </c>
      <c r="E63" s="191">
        <f t="shared" si="34"/>
        <v>7.4916898945086075E-2</v>
      </c>
      <c r="F63" s="191">
        <f t="shared" si="34"/>
        <v>5.2477514651838163E-2</v>
      </c>
      <c r="G63" s="191">
        <f t="shared" si="34"/>
        <v>0.13266785488762492</v>
      </c>
      <c r="H63" s="191">
        <f t="shared" si="34"/>
        <v>8.8452104149560132E-2</v>
      </c>
      <c r="I63" s="191">
        <f t="shared" si="34"/>
        <v>9.685973419668599E-2</v>
      </c>
      <c r="J63" s="191">
        <f t="shared" si="34"/>
        <v>5.8268468767715485E-2</v>
      </c>
      <c r="K63" s="191">
        <f t="shared" si="34"/>
        <v>1</v>
      </c>
    </row>
    <row r="64" spans="1:11" x14ac:dyDescent="0.2">
      <c r="A64" s="182" t="s">
        <v>85</v>
      </c>
      <c r="B64" s="220">
        <f>B40</f>
        <v>1480</v>
      </c>
      <c r="C64" s="193">
        <f t="shared" ref="C64:K64" si="35">C40/$K40</f>
        <v>0.38739725858848395</v>
      </c>
      <c r="D64" s="193">
        <f t="shared" si="35"/>
        <v>2.8471811672774527E-2</v>
      </c>
      <c r="E64" s="193">
        <f t="shared" si="35"/>
        <v>0.10878657952376312</v>
      </c>
      <c r="F64" s="193">
        <f t="shared" si="35"/>
        <v>2.6804414911471043E-2</v>
      </c>
      <c r="G64" s="193">
        <f t="shared" si="35"/>
        <v>0.13233297592713977</v>
      </c>
      <c r="H64" s="193">
        <f t="shared" si="35"/>
        <v>8.97435431168319E-2</v>
      </c>
      <c r="I64" s="193">
        <f t="shared" si="35"/>
        <v>9.0036742529748248E-2</v>
      </c>
      <c r="J64" s="193">
        <f t="shared" si="35"/>
        <v>0.13642667372978759</v>
      </c>
      <c r="K64" s="193">
        <f t="shared" si="35"/>
        <v>1</v>
      </c>
    </row>
    <row r="65" spans="1:11" x14ac:dyDescent="0.2">
      <c r="A65" s="182" t="s">
        <v>220</v>
      </c>
      <c r="B65" s="214">
        <f>SUM(B60:B64)</f>
        <v>42550</v>
      </c>
      <c r="C65" s="191">
        <f t="shared" ref="C65:K65" si="36">C41/$K41</f>
        <v>0.49335832888277104</v>
      </c>
      <c r="D65" s="191">
        <f t="shared" si="36"/>
        <v>7.7502638129978679E-2</v>
      </c>
      <c r="E65" s="191">
        <f t="shared" si="36"/>
        <v>5.2373808476189415E-2</v>
      </c>
      <c r="F65" s="191">
        <f t="shared" si="36"/>
        <v>5.572701515020495E-2</v>
      </c>
      <c r="G65" s="191">
        <f t="shared" si="36"/>
        <v>0.1120597416910285</v>
      </c>
      <c r="H65" s="191">
        <f t="shared" si="36"/>
        <v>5.8301461662697632E-2</v>
      </c>
      <c r="I65" s="191">
        <f t="shared" si="36"/>
        <v>8.8154856726718106E-2</v>
      </c>
      <c r="J65" s="191">
        <f t="shared" si="36"/>
        <v>6.2522149280411665E-2</v>
      </c>
      <c r="K65" s="191">
        <f t="shared" si="36"/>
        <v>1</v>
      </c>
    </row>
    <row r="66" spans="1:11" x14ac:dyDescent="0.2">
      <c r="A66" s="182"/>
      <c r="B66" s="214"/>
      <c r="C66" s="191"/>
      <c r="D66" s="191"/>
      <c r="E66" s="191"/>
      <c r="F66" s="191"/>
      <c r="G66" s="191"/>
      <c r="H66" s="191"/>
      <c r="I66" s="191"/>
      <c r="J66" s="191"/>
      <c r="K66" s="191"/>
    </row>
    <row r="67" spans="1:11" x14ac:dyDescent="0.2">
      <c r="A67" s="182" t="s">
        <v>86</v>
      </c>
      <c r="B67" s="214">
        <f>B43</f>
        <v>10157</v>
      </c>
      <c r="C67" s="191">
        <f t="shared" ref="C67:K67" si="37">C43/$K43</f>
        <v>0.54945185919514805</v>
      </c>
      <c r="D67" s="191">
        <f t="shared" si="37"/>
        <v>5.9198998876218226E-2</v>
      </c>
      <c r="E67" s="191">
        <f t="shared" si="37"/>
        <v>4.7211738503110404E-2</v>
      </c>
      <c r="F67" s="191">
        <f t="shared" si="37"/>
        <v>5.6749912711391626E-2</v>
      </c>
      <c r="G67" s="191">
        <f t="shared" si="37"/>
        <v>9.3233065461483758E-2</v>
      </c>
      <c r="H67" s="191">
        <f t="shared" si="37"/>
        <v>5.7438650338035711E-2</v>
      </c>
      <c r="I67" s="191">
        <f t="shared" si="37"/>
        <v>8.1591329445869651E-2</v>
      </c>
      <c r="J67" s="191">
        <f t="shared" si="37"/>
        <v>5.5124445468742518E-2</v>
      </c>
      <c r="K67" s="191">
        <f t="shared" si="37"/>
        <v>1</v>
      </c>
    </row>
    <row r="68" spans="1:11" x14ac:dyDescent="0.2">
      <c r="A68" s="182" t="s">
        <v>87</v>
      </c>
      <c r="B68" s="220">
        <f>B44</f>
        <v>7489</v>
      </c>
      <c r="C68" s="193">
        <f t="shared" ref="C68:K68" si="38">C44/$K44</f>
        <v>0.49709677048507339</v>
      </c>
      <c r="D68" s="193">
        <f t="shared" si="38"/>
        <v>4.3499899300246427E-2</v>
      </c>
      <c r="E68" s="193">
        <f t="shared" si="38"/>
        <v>8.6926654435365402E-2</v>
      </c>
      <c r="F68" s="193">
        <f t="shared" si="38"/>
        <v>3.353493065257921E-2</v>
      </c>
      <c r="G68" s="193">
        <f t="shared" si="38"/>
        <v>0.12228921067013129</v>
      </c>
      <c r="H68" s="193">
        <f t="shared" si="38"/>
        <v>7.7992352934867615E-2</v>
      </c>
      <c r="I68" s="193">
        <f t="shared" si="38"/>
        <v>8.2561009508259037E-2</v>
      </c>
      <c r="J68" s="193">
        <f t="shared" si="38"/>
        <v>5.6099172013477812E-2</v>
      </c>
      <c r="K68" s="193">
        <f t="shared" si="38"/>
        <v>1</v>
      </c>
    </row>
    <row r="69" spans="1:11" x14ac:dyDescent="0.2">
      <c r="A69" s="182" t="s">
        <v>221</v>
      </c>
      <c r="B69" s="214">
        <f>SUM(B67:B68)</f>
        <v>17646</v>
      </c>
      <c r="C69" s="191">
        <f t="shared" ref="C69:K69" si="39">C45/$K45</f>
        <v>0.52178858798905758</v>
      </c>
      <c r="D69" s="191">
        <f t="shared" si="39"/>
        <v>5.0903941796543006E-2</v>
      </c>
      <c r="E69" s="191">
        <f t="shared" si="39"/>
        <v>6.8196221911112839E-2</v>
      </c>
      <c r="F69" s="191">
        <f t="shared" si="39"/>
        <v>4.4483629517913327E-2</v>
      </c>
      <c r="G69" s="191">
        <f t="shared" si="39"/>
        <v>0.10858569010436196</v>
      </c>
      <c r="H69" s="191">
        <f t="shared" si="39"/>
        <v>6.8298772309638378E-2</v>
      </c>
      <c r="I69" s="191">
        <f t="shared" si="39"/>
        <v>8.2103686949407881E-2</v>
      </c>
      <c r="J69" s="191">
        <f t="shared" si="39"/>
        <v>5.5639469421965231E-2</v>
      </c>
      <c r="K69" s="191">
        <f t="shared" si="39"/>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149748</v>
      </c>
      <c r="C71" s="195">
        <f t="shared" ref="C71:K71" si="40">C47/$K47</f>
        <v>0.53855565050298848</v>
      </c>
      <c r="D71" s="195">
        <f t="shared" si="40"/>
        <v>8.3421396411264198E-2</v>
      </c>
      <c r="E71" s="195">
        <f t="shared" si="40"/>
        <v>5.1149128237358656E-2</v>
      </c>
      <c r="F71" s="195">
        <f t="shared" si="40"/>
        <v>5.21674565480525E-2</v>
      </c>
      <c r="G71" s="195">
        <f t="shared" si="40"/>
        <v>0.10198933752665813</v>
      </c>
      <c r="H71" s="195">
        <f t="shared" si="40"/>
        <v>5.4471530911870757E-2</v>
      </c>
      <c r="I71" s="195">
        <f t="shared" si="40"/>
        <v>6.4821151216616218E-2</v>
      </c>
      <c r="J71" s="195">
        <f t="shared" si="40"/>
        <v>5.3424348645191064E-2</v>
      </c>
      <c r="K71" s="195">
        <f t="shared" si="40"/>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honeticPr fontId="7"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1"/>
  <dimension ref="A1:K75"/>
  <sheetViews>
    <sheetView topLeftCell="A25" zoomScaleNormal="100" workbookViewId="0">
      <selection activeCell="S42" sqref="S42"/>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s>
  <sheetData>
    <row r="1" spans="1:11" x14ac:dyDescent="0.2">
      <c r="A1" s="36" t="s">
        <v>247</v>
      </c>
      <c r="B1" s="22"/>
      <c r="C1" s="22"/>
      <c r="D1" s="22"/>
      <c r="E1" s="22"/>
      <c r="F1" s="22"/>
      <c r="G1" s="22"/>
      <c r="H1" s="22"/>
      <c r="I1" s="22"/>
      <c r="J1" s="22"/>
      <c r="K1" s="22"/>
    </row>
    <row r="2" spans="1:11" x14ac:dyDescent="0.2">
      <c r="A2" s="22" t="s">
        <v>614</v>
      </c>
      <c r="B2" s="22"/>
      <c r="C2" s="22"/>
      <c r="D2" s="22"/>
      <c r="E2" s="22"/>
      <c r="F2" s="22"/>
      <c r="G2" s="22"/>
      <c r="H2" s="22"/>
      <c r="I2" s="22"/>
      <c r="J2" s="22"/>
      <c r="K2" s="22"/>
    </row>
    <row r="3" spans="1:11" ht="33.75" x14ac:dyDescent="0.2">
      <c r="A3" s="21" t="s">
        <v>245</v>
      </c>
      <c r="B3" s="21" t="s">
        <v>624</v>
      </c>
      <c r="C3" s="12" t="s">
        <v>615</v>
      </c>
      <c r="D3" s="12" t="s">
        <v>616</v>
      </c>
      <c r="E3" s="12" t="s">
        <v>617</v>
      </c>
      <c r="F3" s="12" t="s">
        <v>618</v>
      </c>
      <c r="G3" s="12" t="s">
        <v>619</v>
      </c>
      <c r="H3" s="12" t="s">
        <v>620</v>
      </c>
      <c r="I3" s="12" t="s">
        <v>621</v>
      </c>
      <c r="J3" s="12" t="s">
        <v>622</v>
      </c>
      <c r="K3" s="12" t="s">
        <v>623</v>
      </c>
    </row>
    <row r="4" spans="1:11" x14ac:dyDescent="0.2">
      <c r="A4" s="33" t="s">
        <v>102</v>
      </c>
      <c r="B4" s="214">
        <v>37242</v>
      </c>
      <c r="C4" s="214">
        <v>178669593.31</v>
      </c>
      <c r="D4" s="214">
        <v>34748844.280000001</v>
      </c>
      <c r="E4" s="214">
        <v>9632637.0500000007</v>
      </c>
      <c r="F4" s="214">
        <v>17409728.57</v>
      </c>
      <c r="G4" s="214">
        <v>27846668.960000001</v>
      </c>
      <c r="H4" s="214">
        <v>13313964.9</v>
      </c>
      <c r="I4" s="214">
        <v>10353055.77</v>
      </c>
      <c r="J4" s="214">
        <v>11400530.800000001</v>
      </c>
      <c r="K4" s="214">
        <f t="shared" ref="K4:K9" si="0">SUM(C4:J4)</f>
        <v>303375023.63999999</v>
      </c>
    </row>
    <row r="5" spans="1:11" x14ac:dyDescent="0.2">
      <c r="A5" s="33" t="s">
        <v>76</v>
      </c>
      <c r="B5" s="214">
        <v>18748</v>
      </c>
      <c r="C5" s="214">
        <v>96246664.469999999</v>
      </c>
      <c r="D5" s="214">
        <v>19808390.010000002</v>
      </c>
      <c r="E5" s="214">
        <v>6227947.0199999996</v>
      </c>
      <c r="F5" s="214">
        <v>10228336.5</v>
      </c>
      <c r="G5" s="214">
        <v>15825070.539999999</v>
      </c>
      <c r="H5" s="214">
        <v>8482268.1400000006</v>
      </c>
      <c r="I5" s="214">
        <v>8790909.7899999991</v>
      </c>
      <c r="J5" s="214">
        <v>10598103.029999999</v>
      </c>
      <c r="K5" s="214">
        <f t="shared" si="0"/>
        <v>176207689.5</v>
      </c>
    </row>
    <row r="6" spans="1:11" x14ac:dyDescent="0.2">
      <c r="A6" s="33" t="s">
        <v>77</v>
      </c>
      <c r="B6" s="214">
        <v>11756</v>
      </c>
      <c r="C6" s="214">
        <v>64514480.030000001</v>
      </c>
      <c r="D6" s="214">
        <v>11040925.41</v>
      </c>
      <c r="E6" s="214">
        <v>5751507.7699999996</v>
      </c>
      <c r="F6" s="214">
        <v>6257996.3399999999</v>
      </c>
      <c r="G6" s="214">
        <v>10686122.23</v>
      </c>
      <c r="H6" s="214">
        <v>4877674.18</v>
      </c>
      <c r="I6" s="214">
        <v>5438818.1500000004</v>
      </c>
      <c r="J6" s="214">
        <v>5142799.17</v>
      </c>
      <c r="K6" s="214">
        <f t="shared" si="0"/>
        <v>113710323.28000002</v>
      </c>
    </row>
    <row r="7" spans="1:11" x14ac:dyDescent="0.2">
      <c r="A7" s="33" t="s">
        <v>78</v>
      </c>
      <c r="B7" s="214">
        <v>14373</v>
      </c>
      <c r="C7" s="214">
        <v>76236076.950000003</v>
      </c>
      <c r="D7" s="214">
        <v>8325189.1399999997</v>
      </c>
      <c r="E7" s="214">
        <v>9103892.2699999996</v>
      </c>
      <c r="F7" s="214">
        <v>5735378.71</v>
      </c>
      <c r="G7" s="214">
        <v>13242644.17</v>
      </c>
      <c r="H7" s="214">
        <v>6893846.2400000002</v>
      </c>
      <c r="I7" s="214">
        <v>9536315.8499999996</v>
      </c>
      <c r="J7" s="214">
        <v>6838434.2300000004</v>
      </c>
      <c r="K7" s="214">
        <f t="shared" si="0"/>
        <v>135911777.55999997</v>
      </c>
    </row>
    <row r="8" spans="1:11" x14ac:dyDescent="0.2">
      <c r="A8" s="33" t="s">
        <v>79</v>
      </c>
      <c r="B8" s="214">
        <v>5804</v>
      </c>
      <c r="C8" s="214">
        <v>35678527.759999998</v>
      </c>
      <c r="D8" s="214">
        <v>2155778.25</v>
      </c>
      <c r="E8" s="214">
        <v>5324623.63</v>
      </c>
      <c r="F8" s="214">
        <v>2434707.2599999998</v>
      </c>
      <c r="G8" s="214">
        <v>7426589.5</v>
      </c>
      <c r="H8" s="214">
        <v>4893323.82</v>
      </c>
      <c r="I8" s="214">
        <v>4244955.7699999996</v>
      </c>
      <c r="J8" s="214">
        <v>4592016.4800000004</v>
      </c>
      <c r="K8" s="214">
        <f t="shared" si="0"/>
        <v>66750522.469999999</v>
      </c>
    </row>
    <row r="9" spans="1:11" x14ac:dyDescent="0.2">
      <c r="A9" s="33" t="s">
        <v>80</v>
      </c>
      <c r="B9" s="233">
        <v>1629</v>
      </c>
      <c r="C9" s="234">
        <v>10425850.859999999</v>
      </c>
      <c r="D9" s="220">
        <v>499476.26</v>
      </c>
      <c r="E9" s="220">
        <v>1793378.04</v>
      </c>
      <c r="F9" s="220">
        <v>181689.63</v>
      </c>
      <c r="G9" s="220">
        <v>2185428.77</v>
      </c>
      <c r="H9" s="220">
        <v>1511755.94</v>
      </c>
      <c r="I9" s="220">
        <v>700361.64</v>
      </c>
      <c r="J9" s="220">
        <v>401521.91999999998</v>
      </c>
      <c r="K9" s="220">
        <f t="shared" si="0"/>
        <v>17699463.060000002</v>
      </c>
    </row>
    <row r="10" spans="1:11" x14ac:dyDescent="0.2">
      <c r="A10" s="182" t="s">
        <v>103</v>
      </c>
      <c r="B10" s="214">
        <f t="shared" ref="B10:K10" si="1">SUM(B4:B9)</f>
        <v>89552</v>
      </c>
      <c r="C10" s="214">
        <f t="shared" si="1"/>
        <v>461771193.37999994</v>
      </c>
      <c r="D10" s="214">
        <f t="shared" si="1"/>
        <v>76578603.350000009</v>
      </c>
      <c r="E10" s="214">
        <f t="shared" si="1"/>
        <v>37833985.780000001</v>
      </c>
      <c r="F10" s="214">
        <f t="shared" si="1"/>
        <v>42247837.009999998</v>
      </c>
      <c r="G10" s="214">
        <f t="shared" si="1"/>
        <v>77212524.170000002</v>
      </c>
      <c r="H10" s="214">
        <f t="shared" si="1"/>
        <v>39972833.219999999</v>
      </c>
      <c r="I10" s="214">
        <f t="shared" si="1"/>
        <v>39064416.969999999</v>
      </c>
      <c r="J10" s="214">
        <f t="shared" si="1"/>
        <v>38973405.63000001</v>
      </c>
      <c r="K10" s="214">
        <f t="shared" si="1"/>
        <v>813654799.50999999</v>
      </c>
    </row>
    <row r="11" spans="1:11" x14ac:dyDescent="0.2">
      <c r="A11" s="33"/>
      <c r="B11" s="214"/>
      <c r="C11" s="214"/>
      <c r="D11" s="214"/>
      <c r="E11" s="214"/>
      <c r="F11" s="214"/>
      <c r="G11" s="214"/>
      <c r="H11" s="214"/>
      <c r="I11" s="214"/>
      <c r="J11" s="214"/>
      <c r="K11" s="182"/>
    </row>
    <row r="12" spans="1:11" x14ac:dyDescent="0.2">
      <c r="A12" s="33" t="s">
        <v>81</v>
      </c>
      <c r="B12" s="214">
        <v>22505</v>
      </c>
      <c r="C12" s="214">
        <v>116630142.79000001</v>
      </c>
      <c r="D12" s="214">
        <v>19636370.68</v>
      </c>
      <c r="E12" s="214">
        <v>8324483.0899999999</v>
      </c>
      <c r="F12" s="214">
        <v>11888802.5</v>
      </c>
      <c r="G12" s="214">
        <v>20552120.34</v>
      </c>
      <c r="H12" s="214">
        <v>8193393.46</v>
      </c>
      <c r="I12" s="214">
        <v>17171345.5</v>
      </c>
      <c r="J12" s="214">
        <v>12035502.960000001</v>
      </c>
      <c r="K12" s="214">
        <f>SUM(C12:J12)</f>
        <v>214432161.32000002</v>
      </c>
    </row>
    <row r="13" spans="1:11" x14ac:dyDescent="0.2">
      <c r="A13" s="33" t="s">
        <v>82</v>
      </c>
      <c r="B13" s="214">
        <v>7979</v>
      </c>
      <c r="C13" s="214">
        <v>37283719.960000001</v>
      </c>
      <c r="D13" s="214">
        <v>6418734.9400000004</v>
      </c>
      <c r="E13" s="214">
        <v>3522338.03</v>
      </c>
      <c r="F13" s="214">
        <v>5396101.9400000004</v>
      </c>
      <c r="G13" s="214">
        <v>9053819.0600000005</v>
      </c>
      <c r="H13" s="214">
        <v>4732863.8600000003</v>
      </c>
      <c r="I13" s="214">
        <v>7522141.5899999999</v>
      </c>
      <c r="J13" s="214">
        <v>5968025.96</v>
      </c>
      <c r="K13" s="214">
        <f>SUM(C13:J13)</f>
        <v>79897745.339999989</v>
      </c>
    </row>
    <row r="14" spans="1:11" x14ac:dyDescent="0.2">
      <c r="A14" s="33" t="s">
        <v>83</v>
      </c>
      <c r="B14" s="214">
        <v>5389</v>
      </c>
      <c r="C14" s="214">
        <v>26399886.510000002</v>
      </c>
      <c r="D14" s="214">
        <v>4194715.33</v>
      </c>
      <c r="E14" s="214">
        <v>3443158.21</v>
      </c>
      <c r="F14" s="214">
        <v>3427157.99</v>
      </c>
      <c r="G14" s="214">
        <v>7923937.0700000003</v>
      </c>
      <c r="H14" s="214">
        <v>4716010.1900000004</v>
      </c>
      <c r="I14" s="214">
        <v>5744277.0599999996</v>
      </c>
      <c r="J14" s="214">
        <v>2086174.15</v>
      </c>
      <c r="K14" s="214">
        <f>SUM(C14:J14)</f>
        <v>57935316.510000005</v>
      </c>
    </row>
    <row r="15" spans="1:11" x14ac:dyDescent="0.2">
      <c r="A15" s="33" t="s">
        <v>84</v>
      </c>
      <c r="B15" s="214">
        <v>5197</v>
      </c>
      <c r="C15" s="214">
        <v>28460569.300000001</v>
      </c>
      <c r="D15" s="214">
        <v>3524792.85</v>
      </c>
      <c r="E15" s="214">
        <v>4827658.51</v>
      </c>
      <c r="F15" s="214">
        <v>3381660.53</v>
      </c>
      <c r="G15" s="214">
        <v>8550140.5500000007</v>
      </c>
      <c r="H15" s="214">
        <v>5699869.5800000001</v>
      </c>
      <c r="I15" s="214">
        <v>6241658.7800000003</v>
      </c>
      <c r="J15" s="214">
        <v>3754830.66</v>
      </c>
      <c r="K15" s="214">
        <f>SUM(C15:J15)</f>
        <v>64441180.760000005</v>
      </c>
    </row>
    <row r="16" spans="1:11" x14ac:dyDescent="0.2">
      <c r="A16" s="33" t="s">
        <v>85</v>
      </c>
      <c r="B16" s="233">
        <v>1480</v>
      </c>
      <c r="C16" s="234">
        <v>11707493.630000001</v>
      </c>
      <c r="D16" s="234">
        <v>860443.76</v>
      </c>
      <c r="E16" s="234">
        <v>3287628.29</v>
      </c>
      <c r="F16" s="234">
        <v>810053.53</v>
      </c>
      <c r="G16" s="234">
        <v>4008646.5699999994</v>
      </c>
      <c r="H16" s="234">
        <v>2712130.5999999996</v>
      </c>
      <c r="I16" s="234">
        <v>2720991.3499999996</v>
      </c>
      <c r="J16" s="220">
        <v>4122936.8</v>
      </c>
      <c r="K16" s="220">
        <f>SUM(C16:J16)</f>
        <v>30230324.529999997</v>
      </c>
    </row>
    <row r="17" spans="1:11" x14ac:dyDescent="0.2">
      <c r="A17" s="182" t="s">
        <v>104</v>
      </c>
      <c r="B17" s="214">
        <f t="shared" ref="B17:K17" si="2">SUM(B12:B16)</f>
        <v>42550</v>
      </c>
      <c r="C17" s="214">
        <f t="shared" si="2"/>
        <v>220481812.19</v>
      </c>
      <c r="D17" s="214">
        <f t="shared" si="2"/>
        <v>34635057.560000002</v>
      </c>
      <c r="E17" s="214">
        <f t="shared" si="2"/>
        <v>23405266.129999995</v>
      </c>
      <c r="F17" s="214">
        <f t="shared" si="2"/>
        <v>24903776.490000002</v>
      </c>
      <c r="G17" s="214">
        <f t="shared" si="2"/>
        <v>50088663.589999996</v>
      </c>
      <c r="H17" s="214">
        <f t="shared" si="2"/>
        <v>26054267.690000005</v>
      </c>
      <c r="I17" s="214">
        <f t="shared" si="2"/>
        <v>39400414.280000001</v>
      </c>
      <c r="J17" s="214">
        <f t="shared" si="2"/>
        <v>27967470.530000001</v>
      </c>
      <c r="K17" s="214">
        <f t="shared" si="2"/>
        <v>446936728.45999998</v>
      </c>
    </row>
    <row r="18" spans="1:11" x14ac:dyDescent="0.2">
      <c r="A18" s="33"/>
      <c r="B18" s="214"/>
      <c r="C18" s="214"/>
      <c r="D18" s="214"/>
      <c r="E18" s="214"/>
      <c r="F18" s="214"/>
      <c r="G18" s="214"/>
      <c r="H18" s="214"/>
      <c r="I18" s="214"/>
      <c r="J18" s="214"/>
      <c r="K18" s="182"/>
    </row>
    <row r="19" spans="1:11" x14ac:dyDescent="0.2">
      <c r="A19" s="33" t="s">
        <v>86</v>
      </c>
      <c r="B19" s="214">
        <v>10157</v>
      </c>
      <c r="C19" s="214">
        <v>48685679.68</v>
      </c>
      <c r="D19" s="214">
        <v>5235679.4000000004</v>
      </c>
      <c r="E19" s="214">
        <v>4168202.03</v>
      </c>
      <c r="F19" s="214">
        <v>5011695.66</v>
      </c>
      <c r="G19" s="214">
        <v>8231305.71</v>
      </c>
      <c r="H19" s="214">
        <v>5071599.3099999996</v>
      </c>
      <c r="I19" s="214">
        <v>7208487.0099999998</v>
      </c>
      <c r="J19" s="214">
        <v>4866794.42</v>
      </c>
      <c r="K19" s="214">
        <f>SUM(C19:J19)</f>
        <v>88479443.219999999</v>
      </c>
    </row>
    <row r="20" spans="1:11" x14ac:dyDescent="0.2">
      <c r="A20" s="33" t="s">
        <v>87</v>
      </c>
      <c r="B20" s="233">
        <v>7489</v>
      </c>
      <c r="C20" s="234">
        <v>49168865.249999993</v>
      </c>
      <c r="D20" s="234">
        <v>4302664.62</v>
      </c>
      <c r="E20" s="234">
        <v>8598094.4000000022</v>
      </c>
      <c r="F20" s="234">
        <v>3317009.0500000003</v>
      </c>
      <c r="G20" s="234">
        <v>12101520.66</v>
      </c>
      <c r="H20" s="234">
        <v>7714384.2399999993</v>
      </c>
      <c r="I20" s="234">
        <v>8176279.4699999997</v>
      </c>
      <c r="J20" s="220">
        <v>5548884.6299999999</v>
      </c>
      <c r="K20" s="220">
        <f>SUM(C20:J20)</f>
        <v>98927702.319999978</v>
      </c>
    </row>
    <row r="21" spans="1:11" x14ac:dyDescent="0.2">
      <c r="A21" s="182" t="s">
        <v>105</v>
      </c>
      <c r="B21" s="214">
        <f t="shared" ref="B21:K21" si="3">SUM(B19:B20)</f>
        <v>17646</v>
      </c>
      <c r="C21" s="214">
        <f t="shared" si="3"/>
        <v>97854544.929999992</v>
      </c>
      <c r="D21" s="214">
        <f t="shared" si="3"/>
        <v>9538344.0199999996</v>
      </c>
      <c r="E21" s="214">
        <f t="shared" si="3"/>
        <v>12766296.430000002</v>
      </c>
      <c r="F21" s="214">
        <f t="shared" si="3"/>
        <v>8328704.7100000009</v>
      </c>
      <c r="G21" s="214">
        <f t="shared" si="3"/>
        <v>20332826.370000001</v>
      </c>
      <c r="H21" s="214">
        <f t="shared" si="3"/>
        <v>12785983.549999999</v>
      </c>
      <c r="I21" s="214">
        <f t="shared" si="3"/>
        <v>15384766.48</v>
      </c>
      <c r="J21" s="214">
        <f t="shared" si="3"/>
        <v>10415679.050000001</v>
      </c>
      <c r="K21" s="214">
        <f t="shared" si="3"/>
        <v>187407145.53999996</v>
      </c>
    </row>
    <row r="22" spans="1:11" x14ac:dyDescent="0.2">
      <c r="A22" s="33"/>
      <c r="B22" s="214"/>
      <c r="C22" s="214"/>
      <c r="D22" s="214"/>
      <c r="E22" s="214"/>
      <c r="F22" s="214"/>
      <c r="G22" s="214"/>
      <c r="H22" s="214"/>
      <c r="I22" s="214"/>
      <c r="J22" s="214"/>
      <c r="K22" s="214"/>
    </row>
    <row r="23" spans="1:11" ht="13.5" thickBot="1" x14ac:dyDescent="0.25">
      <c r="A23" s="182" t="s">
        <v>209</v>
      </c>
      <c r="B23" s="222">
        <f t="shared" ref="B23:K23" si="4">B21+B17+B10</f>
        <v>149748</v>
      </c>
      <c r="C23" s="222">
        <f t="shared" si="4"/>
        <v>780107550.5</v>
      </c>
      <c r="D23" s="222">
        <f t="shared" si="4"/>
        <v>120752004.93000001</v>
      </c>
      <c r="E23" s="222">
        <f t="shared" si="4"/>
        <v>74005548.340000004</v>
      </c>
      <c r="F23" s="222">
        <f t="shared" si="4"/>
        <v>75480318.210000008</v>
      </c>
      <c r="G23" s="222">
        <f t="shared" si="4"/>
        <v>147634014.13</v>
      </c>
      <c r="H23" s="222">
        <f t="shared" si="4"/>
        <v>78813084.460000008</v>
      </c>
      <c r="I23" s="222">
        <f t="shared" si="4"/>
        <v>93849597.730000004</v>
      </c>
      <c r="J23" s="222">
        <f t="shared" si="4"/>
        <v>77356555.210000008</v>
      </c>
      <c r="K23" s="222">
        <f t="shared" si="4"/>
        <v>1447998673.51</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626</v>
      </c>
      <c r="B26" s="22"/>
      <c r="C26" s="22"/>
      <c r="D26" s="22"/>
      <c r="E26" s="22"/>
      <c r="F26" s="22"/>
      <c r="G26" s="22"/>
      <c r="H26" s="22"/>
      <c r="I26" s="22"/>
      <c r="J26" s="22"/>
      <c r="K26" s="22"/>
    </row>
    <row r="27" spans="1:11" ht="33.75" x14ac:dyDescent="0.2">
      <c r="A27" s="21" t="s">
        <v>245</v>
      </c>
      <c r="B27" s="21" t="s">
        <v>624</v>
      </c>
      <c r="C27" s="12" t="s">
        <v>615</v>
      </c>
      <c r="D27" s="12" t="s">
        <v>616</v>
      </c>
      <c r="E27" s="12" t="s">
        <v>617</v>
      </c>
      <c r="F27" s="12" t="s">
        <v>618</v>
      </c>
      <c r="G27" s="12" t="s">
        <v>619</v>
      </c>
      <c r="H27" s="12" t="s">
        <v>620</v>
      </c>
      <c r="I27" s="12" t="s">
        <v>621</v>
      </c>
      <c r="J27" s="12" t="s">
        <v>622</v>
      </c>
      <c r="K27" s="12" t="s">
        <v>623</v>
      </c>
    </row>
    <row r="28" spans="1:11" x14ac:dyDescent="0.2">
      <c r="A28" s="182" t="s">
        <v>102</v>
      </c>
      <c r="B28" s="214">
        <f t="shared" ref="B28:B33" si="5">B4</f>
        <v>37242</v>
      </c>
      <c r="C28" s="182">
        <f t="shared" ref="C28:K28" si="6">C4/$B28</f>
        <v>4797.5294911658884</v>
      </c>
      <c r="D28" s="182">
        <f t="shared" si="6"/>
        <v>933.05526770850122</v>
      </c>
      <c r="E28" s="182">
        <f t="shared" si="6"/>
        <v>258.64983217872299</v>
      </c>
      <c r="F28" s="182">
        <f t="shared" si="6"/>
        <v>467.47566108157457</v>
      </c>
      <c r="G28" s="182">
        <f t="shared" si="6"/>
        <v>747.7221674453574</v>
      </c>
      <c r="H28" s="182">
        <f t="shared" si="6"/>
        <v>357.49865474464315</v>
      </c>
      <c r="I28" s="182">
        <f t="shared" si="6"/>
        <v>277.99408651522475</v>
      </c>
      <c r="J28" s="182">
        <f t="shared" si="6"/>
        <v>306.12026206970626</v>
      </c>
      <c r="K28" s="182">
        <f t="shared" si="6"/>
        <v>8146.0454229096176</v>
      </c>
    </row>
    <row r="29" spans="1:11" x14ac:dyDescent="0.2">
      <c r="A29" s="182" t="s">
        <v>76</v>
      </c>
      <c r="B29" s="214">
        <f t="shared" si="5"/>
        <v>18748</v>
      </c>
      <c r="C29" s="182">
        <f t="shared" ref="C29:K29" si="7">C5/$B29</f>
        <v>5133.7030333902285</v>
      </c>
      <c r="D29" s="182">
        <f t="shared" si="7"/>
        <v>1056.5601669511416</v>
      </c>
      <c r="E29" s="182">
        <f t="shared" si="7"/>
        <v>332.19260827821631</v>
      </c>
      <c r="F29" s="182">
        <f t="shared" si="7"/>
        <v>545.56947407723487</v>
      </c>
      <c r="G29" s="182">
        <f t="shared" si="7"/>
        <v>844.09379880520589</v>
      </c>
      <c r="H29" s="182">
        <f t="shared" si="7"/>
        <v>452.43589396202265</v>
      </c>
      <c r="I29" s="182">
        <f t="shared" si="7"/>
        <v>468.89853797738419</v>
      </c>
      <c r="J29" s="182">
        <f t="shared" si="7"/>
        <v>565.29245946234266</v>
      </c>
      <c r="K29" s="182">
        <f t="shared" si="7"/>
        <v>9398.7459729037764</v>
      </c>
    </row>
    <row r="30" spans="1:11" x14ac:dyDescent="0.2">
      <c r="A30" s="182" t="s">
        <v>77</v>
      </c>
      <c r="B30" s="214">
        <f t="shared" si="5"/>
        <v>11756</v>
      </c>
      <c r="C30" s="182">
        <f t="shared" ref="C30:K30" si="8">C6/$B30</f>
        <v>5487.7917684586591</v>
      </c>
      <c r="D30" s="182">
        <f t="shared" si="8"/>
        <v>939.17364834977889</v>
      </c>
      <c r="E30" s="182">
        <f t="shared" si="8"/>
        <v>489.24019819666552</v>
      </c>
      <c r="F30" s="182">
        <f t="shared" si="8"/>
        <v>532.32360837019394</v>
      </c>
      <c r="G30" s="182">
        <f t="shared" si="8"/>
        <v>908.99304440285812</v>
      </c>
      <c r="H30" s="182">
        <f t="shared" si="8"/>
        <v>414.90933821027556</v>
      </c>
      <c r="I30" s="182">
        <f t="shared" si="8"/>
        <v>462.64189775433823</v>
      </c>
      <c r="J30" s="182">
        <f t="shared" si="8"/>
        <v>437.46165107179314</v>
      </c>
      <c r="K30" s="182">
        <f t="shared" si="8"/>
        <v>9672.5351548145645</v>
      </c>
    </row>
    <row r="31" spans="1:11" x14ac:dyDescent="0.2">
      <c r="A31" s="182" t="s">
        <v>78</v>
      </c>
      <c r="B31" s="214">
        <f t="shared" si="5"/>
        <v>14373</v>
      </c>
      <c r="C31" s="182">
        <f t="shared" ref="C31:K31" si="9">C7/$B31</f>
        <v>5304.1172302233354</v>
      </c>
      <c r="D31" s="182">
        <f t="shared" si="9"/>
        <v>579.22418005983434</v>
      </c>
      <c r="E31" s="182">
        <f t="shared" si="9"/>
        <v>633.40237041675357</v>
      </c>
      <c r="F31" s="182">
        <f t="shared" si="9"/>
        <v>399.03838516663188</v>
      </c>
      <c r="G31" s="182">
        <f t="shared" si="9"/>
        <v>921.35560912822655</v>
      </c>
      <c r="H31" s="182">
        <f t="shared" si="9"/>
        <v>479.63864468099911</v>
      </c>
      <c r="I31" s="182">
        <f t="shared" si="9"/>
        <v>663.48819661865991</v>
      </c>
      <c r="J31" s="182">
        <f t="shared" si="9"/>
        <v>475.78335977179438</v>
      </c>
      <c r="K31" s="182">
        <f t="shared" si="9"/>
        <v>9456.0479760662329</v>
      </c>
    </row>
    <row r="32" spans="1:11" x14ac:dyDescent="0.2">
      <c r="A32" s="182" t="s">
        <v>79</v>
      </c>
      <c r="B32" s="214">
        <f t="shared" si="5"/>
        <v>5804</v>
      </c>
      <c r="C32" s="182">
        <f t="shared" ref="C32:K32" si="10">C8/$B32</f>
        <v>6147.2308339076499</v>
      </c>
      <c r="D32" s="182">
        <f t="shared" si="10"/>
        <v>371.42974672639559</v>
      </c>
      <c r="E32" s="182">
        <f t="shared" si="10"/>
        <v>917.40586319779459</v>
      </c>
      <c r="F32" s="182">
        <f t="shared" si="10"/>
        <v>419.48781185389385</v>
      </c>
      <c r="G32" s="182">
        <f t="shared" si="10"/>
        <v>1279.5640075809786</v>
      </c>
      <c r="H32" s="182">
        <f t="shared" si="10"/>
        <v>843.09507580978641</v>
      </c>
      <c r="I32" s="182">
        <f t="shared" si="10"/>
        <v>731.38452274293581</v>
      </c>
      <c r="J32" s="182">
        <f t="shared" si="10"/>
        <v>791.18133700895942</v>
      </c>
      <c r="K32" s="182">
        <f t="shared" si="10"/>
        <v>11500.779198828393</v>
      </c>
    </row>
    <row r="33" spans="1:11" x14ac:dyDescent="0.2">
      <c r="A33" s="182" t="s">
        <v>80</v>
      </c>
      <c r="B33" s="220">
        <f t="shared" si="5"/>
        <v>1629</v>
      </c>
      <c r="C33" s="183">
        <f t="shared" ref="C33:K33" si="11">C9/$B33</f>
        <v>6400.1539963167588</v>
      </c>
      <c r="D33" s="183">
        <f t="shared" si="11"/>
        <v>306.61526089625539</v>
      </c>
      <c r="E33" s="183">
        <f t="shared" si="11"/>
        <v>1100.9073296500922</v>
      </c>
      <c r="F33" s="183">
        <f t="shared" si="11"/>
        <v>111.53445672191529</v>
      </c>
      <c r="G33" s="183">
        <f t="shared" si="11"/>
        <v>1341.5768999386128</v>
      </c>
      <c r="H33" s="183">
        <f t="shared" si="11"/>
        <v>928.02697360343768</v>
      </c>
      <c r="I33" s="183">
        <f t="shared" si="11"/>
        <v>429.93348066298341</v>
      </c>
      <c r="J33" s="183">
        <f t="shared" si="11"/>
        <v>246.48368324125229</v>
      </c>
      <c r="K33" s="183">
        <f t="shared" si="11"/>
        <v>10865.232081031309</v>
      </c>
    </row>
    <row r="34" spans="1:11" x14ac:dyDescent="0.2">
      <c r="A34" s="182" t="s">
        <v>219</v>
      </c>
      <c r="B34" s="214">
        <f>SUM(B28:B33)</f>
        <v>89552</v>
      </c>
      <c r="C34" s="182">
        <f t="shared" ref="C34:K34" si="12">C10/$B34</f>
        <v>5156.4587432999815</v>
      </c>
      <c r="D34" s="182">
        <f t="shared" si="12"/>
        <v>855.13001775504745</v>
      </c>
      <c r="E34" s="182">
        <f t="shared" si="12"/>
        <v>422.480634491692</v>
      </c>
      <c r="F34" s="182">
        <f t="shared" si="12"/>
        <v>471.76877132839019</v>
      </c>
      <c r="G34" s="182">
        <f t="shared" si="12"/>
        <v>862.20881912185098</v>
      </c>
      <c r="H34" s="182">
        <f t="shared" si="12"/>
        <v>446.36449459531889</v>
      </c>
      <c r="I34" s="182">
        <f t="shared" si="12"/>
        <v>436.22048608629621</v>
      </c>
      <c r="J34" s="182">
        <f t="shared" si="12"/>
        <v>435.20419007950699</v>
      </c>
      <c r="K34" s="182">
        <f t="shared" si="12"/>
        <v>9085.8361567580851</v>
      </c>
    </row>
    <row r="35" spans="1:11" x14ac:dyDescent="0.2">
      <c r="A35" s="182"/>
      <c r="B35" s="214"/>
      <c r="C35" s="182"/>
      <c r="D35" s="182"/>
      <c r="E35" s="182"/>
      <c r="F35" s="182"/>
      <c r="G35" s="182"/>
      <c r="H35" s="182"/>
      <c r="I35" s="182"/>
      <c r="J35" s="182"/>
      <c r="K35" s="182"/>
    </row>
    <row r="36" spans="1:11" x14ac:dyDescent="0.2">
      <c r="A36" s="182" t="s">
        <v>81</v>
      </c>
      <c r="B36" s="214">
        <f>B12</f>
        <v>22505</v>
      </c>
      <c r="C36" s="182">
        <f t="shared" ref="C36:K36" si="13">C12/$B36</f>
        <v>5182.410255054433</v>
      </c>
      <c r="D36" s="182">
        <f t="shared" si="13"/>
        <v>872.53368940235498</v>
      </c>
      <c r="E36" s="182">
        <f t="shared" si="13"/>
        <v>369.89482737169516</v>
      </c>
      <c r="F36" s="182">
        <f t="shared" si="13"/>
        <v>528.27382803821376</v>
      </c>
      <c r="G36" s="182">
        <f t="shared" si="13"/>
        <v>913.22463185958679</v>
      </c>
      <c r="H36" s="182">
        <f t="shared" si="13"/>
        <v>364.06991601866252</v>
      </c>
      <c r="I36" s="182">
        <f t="shared" si="13"/>
        <v>763.00135525438793</v>
      </c>
      <c r="J36" s="182">
        <f t="shared" si="13"/>
        <v>534.79239991113093</v>
      </c>
      <c r="K36" s="182">
        <f t="shared" si="13"/>
        <v>9528.2009029104647</v>
      </c>
    </row>
    <row r="37" spans="1:11" x14ac:dyDescent="0.2">
      <c r="A37" s="182" t="s">
        <v>82</v>
      </c>
      <c r="B37" s="214">
        <f>B13</f>
        <v>7979</v>
      </c>
      <c r="C37" s="182">
        <f t="shared" ref="C37:K37" si="14">C13/$B37</f>
        <v>4672.7309136483273</v>
      </c>
      <c r="D37" s="182">
        <f t="shared" si="14"/>
        <v>804.45355808998625</v>
      </c>
      <c r="E37" s="182">
        <f t="shared" si="14"/>
        <v>441.45106278982325</v>
      </c>
      <c r="F37" s="182">
        <f t="shared" si="14"/>
        <v>676.28799849605218</v>
      </c>
      <c r="G37" s="182">
        <f t="shared" si="14"/>
        <v>1134.7059857124955</v>
      </c>
      <c r="H37" s="182">
        <f t="shared" si="14"/>
        <v>593.16504073192129</v>
      </c>
      <c r="I37" s="182">
        <f t="shared" si="14"/>
        <v>942.74239754355176</v>
      </c>
      <c r="J37" s="182">
        <f t="shared" si="14"/>
        <v>747.96665747587417</v>
      </c>
      <c r="K37" s="182">
        <f t="shared" si="14"/>
        <v>10013.503614488031</v>
      </c>
    </row>
    <row r="38" spans="1:11" x14ac:dyDescent="0.2">
      <c r="A38" s="182" t="s">
        <v>83</v>
      </c>
      <c r="B38" s="214">
        <f>B14</f>
        <v>5389</v>
      </c>
      <c r="C38" s="182">
        <f t="shared" ref="C38:K38" si="15">C14/$B38</f>
        <v>4898.847005010206</v>
      </c>
      <c r="D38" s="182">
        <f t="shared" si="15"/>
        <v>778.38473371683062</v>
      </c>
      <c r="E38" s="182">
        <f t="shared" si="15"/>
        <v>638.92340137316751</v>
      </c>
      <c r="F38" s="182">
        <f t="shared" si="15"/>
        <v>635.95434960103921</v>
      </c>
      <c r="G38" s="182">
        <f t="shared" si="15"/>
        <v>1470.3909946186677</v>
      </c>
      <c r="H38" s="182">
        <f t="shared" si="15"/>
        <v>875.11786787901292</v>
      </c>
      <c r="I38" s="182">
        <f t="shared" si="15"/>
        <v>1065.9263425496381</v>
      </c>
      <c r="J38" s="182">
        <f t="shared" si="15"/>
        <v>387.11711820374836</v>
      </c>
      <c r="K38" s="182">
        <f t="shared" si="15"/>
        <v>10750.66181295231</v>
      </c>
    </row>
    <row r="39" spans="1:11" x14ac:dyDescent="0.2">
      <c r="A39" s="182" t="s">
        <v>84</v>
      </c>
      <c r="B39" s="214">
        <f>B15</f>
        <v>5197</v>
      </c>
      <c r="C39" s="182">
        <f t="shared" ref="C39:K39" si="16">C15/$B39</f>
        <v>5476.3458341350779</v>
      </c>
      <c r="D39" s="182">
        <f t="shared" si="16"/>
        <v>678.23606888589575</v>
      </c>
      <c r="E39" s="182">
        <f t="shared" si="16"/>
        <v>928.93178949393882</v>
      </c>
      <c r="F39" s="182">
        <f t="shared" si="16"/>
        <v>650.69473350009616</v>
      </c>
      <c r="G39" s="182">
        <f t="shared" si="16"/>
        <v>1645.2069559361171</v>
      </c>
      <c r="H39" s="182">
        <f t="shared" si="16"/>
        <v>1096.7615124110064</v>
      </c>
      <c r="I39" s="182">
        <f t="shared" si="16"/>
        <v>1201.0118876274773</v>
      </c>
      <c r="J39" s="182">
        <f t="shared" si="16"/>
        <v>722.49964594958635</v>
      </c>
      <c r="K39" s="182">
        <f t="shared" si="16"/>
        <v>12399.688427939196</v>
      </c>
    </row>
    <row r="40" spans="1:11" x14ac:dyDescent="0.2">
      <c r="A40" s="182" t="s">
        <v>85</v>
      </c>
      <c r="B40" s="220">
        <f>B16</f>
        <v>1480</v>
      </c>
      <c r="C40" s="183">
        <f t="shared" ref="C40:K40" si="17">C16/$B40</f>
        <v>7910.4686689189193</v>
      </c>
      <c r="D40" s="183">
        <f t="shared" si="17"/>
        <v>581.38091891891895</v>
      </c>
      <c r="E40" s="183">
        <f t="shared" si="17"/>
        <v>2221.3704662162163</v>
      </c>
      <c r="F40" s="183">
        <f t="shared" si="17"/>
        <v>547.33346621621627</v>
      </c>
      <c r="G40" s="183">
        <f t="shared" si="17"/>
        <v>2708.5449797297292</v>
      </c>
      <c r="H40" s="183">
        <f t="shared" si="17"/>
        <v>1832.5206756756754</v>
      </c>
      <c r="I40" s="183">
        <f t="shared" si="17"/>
        <v>1838.5076689189186</v>
      </c>
      <c r="J40" s="183">
        <f t="shared" si="17"/>
        <v>2785.7681081081082</v>
      </c>
      <c r="K40" s="183">
        <f t="shared" si="17"/>
        <v>20425.8949527027</v>
      </c>
    </row>
    <row r="41" spans="1:11" x14ac:dyDescent="0.2">
      <c r="A41" s="182" t="s">
        <v>220</v>
      </c>
      <c r="B41" s="214">
        <f>SUM(B36:B40)</f>
        <v>42550</v>
      </c>
      <c r="C41" s="182">
        <f t="shared" ref="C41:K41" si="18">C17/$B41</f>
        <v>5181.7112148061105</v>
      </c>
      <c r="D41" s="182">
        <f t="shared" si="18"/>
        <v>813.98490152761462</v>
      </c>
      <c r="E41" s="182">
        <f t="shared" si="18"/>
        <v>550.06500893066971</v>
      </c>
      <c r="F41" s="182">
        <f t="shared" si="18"/>
        <v>585.2826437132785</v>
      </c>
      <c r="G41" s="182">
        <f t="shared" si="18"/>
        <v>1177.1718822561691</v>
      </c>
      <c r="H41" s="182">
        <f t="shared" si="18"/>
        <v>612.32121480611056</v>
      </c>
      <c r="I41" s="182">
        <f t="shared" si="18"/>
        <v>925.97918401880145</v>
      </c>
      <c r="J41" s="182">
        <f t="shared" si="18"/>
        <v>657.28485381903647</v>
      </c>
      <c r="K41" s="182">
        <f t="shared" si="18"/>
        <v>10503.800903877791</v>
      </c>
    </row>
    <row r="42" spans="1:11" x14ac:dyDescent="0.2">
      <c r="A42" s="182"/>
      <c r="B42" s="214"/>
      <c r="C42" s="182"/>
      <c r="D42" s="182"/>
      <c r="E42" s="182"/>
      <c r="F42" s="182"/>
      <c r="G42" s="182"/>
      <c r="H42" s="182"/>
      <c r="I42" s="182"/>
      <c r="J42" s="182"/>
      <c r="K42" s="182"/>
    </row>
    <row r="43" spans="1:11" x14ac:dyDescent="0.2">
      <c r="A43" s="182" t="s">
        <v>86</v>
      </c>
      <c r="B43" s="214">
        <f>B19</f>
        <v>10157</v>
      </c>
      <c r="C43" s="182">
        <f t="shared" ref="C43:K43" si="19">C19/$B43</f>
        <v>4793.3129546125829</v>
      </c>
      <c r="D43" s="182">
        <f t="shared" si="19"/>
        <v>515.47498277050317</v>
      </c>
      <c r="E43" s="182">
        <f t="shared" si="19"/>
        <v>410.37727970857537</v>
      </c>
      <c r="F43" s="182">
        <f t="shared" si="19"/>
        <v>493.42282760657673</v>
      </c>
      <c r="G43" s="182">
        <f t="shared" si="19"/>
        <v>810.40717830067933</v>
      </c>
      <c r="H43" s="182">
        <f t="shared" si="19"/>
        <v>499.32059761740669</v>
      </c>
      <c r="I43" s="182">
        <f t="shared" si="19"/>
        <v>709.70631190312099</v>
      </c>
      <c r="J43" s="182">
        <f t="shared" si="19"/>
        <v>479.15668209116865</v>
      </c>
      <c r="K43" s="182">
        <f t="shared" si="19"/>
        <v>8711.1788146106137</v>
      </c>
    </row>
    <row r="44" spans="1:11" x14ac:dyDescent="0.2">
      <c r="A44" s="182" t="s">
        <v>87</v>
      </c>
      <c r="B44" s="220">
        <f>B20</f>
        <v>7489</v>
      </c>
      <c r="C44" s="183">
        <f t="shared" ref="C44:K44" si="20">C20/$B44</f>
        <v>6565.4780678328207</v>
      </c>
      <c r="D44" s="183">
        <f t="shared" si="20"/>
        <v>574.53126185071437</v>
      </c>
      <c r="E44" s="183">
        <f t="shared" si="20"/>
        <v>1148.0964614768329</v>
      </c>
      <c r="F44" s="183">
        <f t="shared" si="20"/>
        <v>442.91748564561362</v>
      </c>
      <c r="G44" s="183">
        <f t="shared" si="20"/>
        <v>1615.9060835892642</v>
      </c>
      <c r="H44" s="183">
        <f t="shared" si="20"/>
        <v>1030.0953718787555</v>
      </c>
      <c r="I44" s="183">
        <f t="shared" si="20"/>
        <v>1091.7718613967152</v>
      </c>
      <c r="J44" s="183">
        <f t="shared" si="20"/>
        <v>740.93799305648281</v>
      </c>
      <c r="K44" s="183">
        <f t="shared" si="20"/>
        <v>13209.734586727196</v>
      </c>
    </row>
    <row r="45" spans="1:11" x14ac:dyDescent="0.2">
      <c r="A45" s="182" t="s">
        <v>221</v>
      </c>
      <c r="B45" s="214">
        <f>SUM(B43:B44)</f>
        <v>17646</v>
      </c>
      <c r="C45" s="182">
        <f t="shared" ref="C45:K45" si="21">C21/$B45</f>
        <v>5545.4236047829536</v>
      </c>
      <c r="D45" s="182">
        <f t="shared" si="21"/>
        <v>540.53859344894022</v>
      </c>
      <c r="E45" s="182">
        <f t="shared" si="21"/>
        <v>723.46687237900949</v>
      </c>
      <c r="F45" s="182">
        <f t="shared" si="21"/>
        <v>471.98825286183842</v>
      </c>
      <c r="G45" s="182">
        <f t="shared" si="21"/>
        <v>1152.2626300578036</v>
      </c>
      <c r="H45" s="182">
        <f t="shared" si="21"/>
        <v>724.58254278590039</v>
      </c>
      <c r="I45" s="182">
        <f t="shared" si="21"/>
        <v>871.85574521137937</v>
      </c>
      <c r="J45" s="182">
        <f t="shared" si="21"/>
        <v>590.2572282670294</v>
      </c>
      <c r="K45" s="182">
        <f t="shared" si="21"/>
        <v>10620.375469794852</v>
      </c>
    </row>
    <row r="46" spans="1:11" x14ac:dyDescent="0.2">
      <c r="A46" s="182"/>
      <c r="B46" s="214"/>
      <c r="C46" s="182"/>
      <c r="D46" s="182"/>
      <c r="E46" s="182"/>
      <c r="F46" s="182"/>
      <c r="G46" s="182"/>
      <c r="H46" s="182"/>
      <c r="I46" s="182"/>
      <c r="J46" s="182"/>
      <c r="K46" s="182"/>
    </row>
    <row r="47" spans="1:11" ht="13.5" thickBot="1" x14ac:dyDescent="0.25">
      <c r="A47" s="182" t="s">
        <v>222</v>
      </c>
      <c r="B47" s="222">
        <f>B45+B41+B34</f>
        <v>149748</v>
      </c>
      <c r="C47" s="192">
        <f t="shared" ref="C47:K47" si="22">C23/$B47</f>
        <v>5209.4689111039879</v>
      </c>
      <c r="D47" s="192">
        <f t="shared" si="22"/>
        <v>806.36806454844145</v>
      </c>
      <c r="E47" s="192">
        <f t="shared" si="22"/>
        <v>494.20057923978953</v>
      </c>
      <c r="F47" s="192">
        <f t="shared" si="22"/>
        <v>504.04892359163398</v>
      </c>
      <c r="G47" s="192">
        <f t="shared" si="22"/>
        <v>985.88304438122714</v>
      </c>
      <c r="H47" s="192">
        <f t="shared" si="22"/>
        <v>526.30475505515938</v>
      </c>
      <c r="I47" s="192">
        <f t="shared" si="22"/>
        <v>626.71686920693435</v>
      </c>
      <c r="J47" s="192">
        <f t="shared" si="22"/>
        <v>516.57821947538537</v>
      </c>
      <c r="K47" s="192">
        <f t="shared" si="22"/>
        <v>9669.5693666025581</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625</v>
      </c>
      <c r="B50" s="182"/>
      <c r="C50" s="182"/>
      <c r="D50" s="182"/>
      <c r="E50" s="182"/>
      <c r="F50" s="182"/>
      <c r="G50" s="182"/>
      <c r="H50" s="182"/>
      <c r="I50" s="182"/>
      <c r="J50" s="182"/>
      <c r="K50" s="182"/>
    </row>
    <row r="51" spans="1:11" ht="33.75" x14ac:dyDescent="0.2">
      <c r="A51" s="21" t="s">
        <v>245</v>
      </c>
      <c r="B51" s="21" t="s">
        <v>624</v>
      </c>
      <c r="C51" s="12" t="s">
        <v>615</v>
      </c>
      <c r="D51" s="12" t="s">
        <v>616</v>
      </c>
      <c r="E51" s="12" t="s">
        <v>617</v>
      </c>
      <c r="F51" s="12" t="s">
        <v>618</v>
      </c>
      <c r="G51" s="12" t="s">
        <v>619</v>
      </c>
      <c r="H51" s="12" t="s">
        <v>620</v>
      </c>
      <c r="I51" s="12" t="s">
        <v>621</v>
      </c>
      <c r="J51" s="12" t="s">
        <v>622</v>
      </c>
      <c r="K51" s="12" t="s">
        <v>623</v>
      </c>
    </row>
    <row r="52" spans="1:11" x14ac:dyDescent="0.2">
      <c r="A52" s="182" t="s">
        <v>102</v>
      </c>
      <c r="B52" s="214">
        <f t="shared" ref="B52:B57" si="23">B4</f>
        <v>37242</v>
      </c>
      <c r="C52" s="191">
        <f t="shared" ref="C52:K52" si="24">C28/$K28</f>
        <v>0.58893969307776084</v>
      </c>
      <c r="D52" s="191">
        <f t="shared" si="24"/>
        <v>0.11454088692955397</v>
      </c>
      <c r="E52" s="191">
        <f t="shared" si="24"/>
        <v>3.1751582363057584E-2</v>
      </c>
      <c r="F52" s="191">
        <f t="shared" si="24"/>
        <v>5.7386822293780046E-2</v>
      </c>
      <c r="G52" s="191">
        <f t="shared" si="24"/>
        <v>9.178958974897107E-2</v>
      </c>
      <c r="H52" s="191">
        <f t="shared" si="24"/>
        <v>4.3886160239080915E-2</v>
      </c>
      <c r="I52" s="191">
        <f t="shared" si="24"/>
        <v>3.412626275485834E-2</v>
      </c>
      <c r="J52" s="191">
        <f t="shared" si="24"/>
        <v>3.7579002592937387E-2</v>
      </c>
      <c r="K52" s="191">
        <f t="shared" si="24"/>
        <v>1</v>
      </c>
    </row>
    <row r="53" spans="1:11" x14ac:dyDescent="0.2">
      <c r="A53" s="182" t="s">
        <v>76</v>
      </c>
      <c r="B53" s="214">
        <f t="shared" si="23"/>
        <v>18748</v>
      </c>
      <c r="C53" s="191">
        <f t="shared" ref="C53:K53" si="25">C29/$K29</f>
        <v>0.54621148908487338</v>
      </c>
      <c r="D53" s="191">
        <f t="shared" si="25"/>
        <v>0.11241501472613091</v>
      </c>
      <c r="E53" s="191">
        <f t="shared" si="25"/>
        <v>3.5344354367690629E-2</v>
      </c>
      <c r="F53" s="191">
        <f t="shared" si="25"/>
        <v>5.8047049643653599E-2</v>
      </c>
      <c r="G53" s="191">
        <f t="shared" si="25"/>
        <v>8.9809193826356826E-2</v>
      </c>
      <c r="H53" s="191">
        <f t="shared" si="25"/>
        <v>4.8137900020532309E-2</v>
      </c>
      <c r="I53" s="191">
        <f t="shared" si="25"/>
        <v>4.9889478801661481E-2</v>
      </c>
      <c r="J53" s="191">
        <f t="shared" si="25"/>
        <v>6.0145519529100917E-2</v>
      </c>
      <c r="K53" s="191">
        <f t="shared" si="25"/>
        <v>1</v>
      </c>
    </row>
    <row r="54" spans="1:11" x14ac:dyDescent="0.2">
      <c r="A54" s="182" t="s">
        <v>77</v>
      </c>
      <c r="B54" s="214">
        <f t="shared" si="23"/>
        <v>11756</v>
      </c>
      <c r="C54" s="191">
        <f t="shared" ref="C54:K54" si="26">C30/$K30</f>
        <v>0.56735816211813683</v>
      </c>
      <c r="D54" s="191">
        <f t="shared" si="26"/>
        <v>9.7096948557721122E-2</v>
      </c>
      <c r="E54" s="191">
        <f t="shared" si="26"/>
        <v>5.0580348416014095E-2</v>
      </c>
      <c r="F54" s="191">
        <f t="shared" si="26"/>
        <v>5.5034548838545867E-2</v>
      </c>
      <c r="G54" s="191">
        <f t="shared" si="26"/>
        <v>9.3976711364073068E-2</v>
      </c>
      <c r="H54" s="191">
        <f t="shared" si="26"/>
        <v>4.2895614393683737E-2</v>
      </c>
      <c r="I54" s="191">
        <f t="shared" si="26"/>
        <v>4.7830469504580232E-2</v>
      </c>
      <c r="J54" s="191">
        <f t="shared" si="26"/>
        <v>4.5227196807244879E-2</v>
      </c>
      <c r="K54" s="191">
        <f t="shared" si="26"/>
        <v>1</v>
      </c>
    </row>
    <row r="55" spans="1:11" x14ac:dyDescent="0.2">
      <c r="A55" s="182" t="s">
        <v>78</v>
      </c>
      <c r="B55" s="214">
        <f t="shared" si="23"/>
        <v>14373</v>
      </c>
      <c r="C55" s="191">
        <f t="shared" ref="C55:K55" si="27">C31/$K31</f>
        <v>0.56092325712055835</v>
      </c>
      <c r="D55" s="191">
        <f t="shared" si="27"/>
        <v>6.1254361391342556E-2</v>
      </c>
      <c r="E55" s="191">
        <f t="shared" si="27"/>
        <v>6.698383637857265E-2</v>
      </c>
      <c r="F55" s="191">
        <f t="shared" si="27"/>
        <v>4.2199276714396917E-2</v>
      </c>
      <c r="G55" s="191">
        <f t="shared" si="27"/>
        <v>9.7435589525373317E-2</v>
      </c>
      <c r="H55" s="191">
        <f t="shared" si="27"/>
        <v>5.0722949576291317E-2</v>
      </c>
      <c r="I55" s="191">
        <f t="shared" si="27"/>
        <v>7.0165485443600142E-2</v>
      </c>
      <c r="J55" s="191">
        <f t="shared" si="27"/>
        <v>5.0315243849864945E-2</v>
      </c>
      <c r="K55" s="191">
        <f t="shared" si="27"/>
        <v>1</v>
      </c>
    </row>
    <row r="56" spans="1:11" x14ac:dyDescent="0.2">
      <c r="A56" s="182" t="s">
        <v>79</v>
      </c>
      <c r="B56" s="214">
        <f t="shared" si="23"/>
        <v>5804</v>
      </c>
      <c r="C56" s="191">
        <f t="shared" ref="C56:K56" si="28">C32/$K32</f>
        <v>0.53450559545859988</v>
      </c>
      <c r="D56" s="191">
        <f t="shared" si="28"/>
        <v>3.2296050581010531E-2</v>
      </c>
      <c r="E56" s="191">
        <f t="shared" si="28"/>
        <v>7.9769018023687688E-2</v>
      </c>
      <c r="F56" s="191">
        <f t="shared" si="28"/>
        <v>3.6474729633678024E-2</v>
      </c>
      <c r="G56" s="191">
        <f t="shared" si="28"/>
        <v>0.11125889693729014</v>
      </c>
      <c r="H56" s="191">
        <f t="shared" si="28"/>
        <v>7.3307648224015476E-2</v>
      </c>
      <c r="I56" s="191">
        <f t="shared" si="28"/>
        <v>6.359434522640374E-2</v>
      </c>
      <c r="J56" s="191">
        <f t="shared" si="28"/>
        <v>6.8793715915314552E-2</v>
      </c>
      <c r="K56" s="191">
        <f t="shared" si="28"/>
        <v>1</v>
      </c>
    </row>
    <row r="57" spans="1:11" x14ac:dyDescent="0.2">
      <c r="A57" s="182" t="s">
        <v>80</v>
      </c>
      <c r="B57" s="220">
        <f t="shared" si="23"/>
        <v>1629</v>
      </c>
      <c r="C57" s="193">
        <f t="shared" ref="C57:K57" si="29">C33/$K33</f>
        <v>0.58904899118448173</v>
      </c>
      <c r="D57" s="193">
        <f t="shared" si="29"/>
        <v>2.8219853806118793E-2</v>
      </c>
      <c r="E57" s="193">
        <f t="shared" si="29"/>
        <v>0.10132386693994998</v>
      </c>
      <c r="F57" s="193">
        <f t="shared" si="29"/>
        <v>1.0265262250277551E-2</v>
      </c>
      <c r="G57" s="193">
        <f t="shared" si="29"/>
        <v>0.12347429764346761</v>
      </c>
      <c r="H57" s="193">
        <f t="shared" si="29"/>
        <v>8.5412531152795318E-2</v>
      </c>
      <c r="I57" s="193">
        <f t="shared" si="29"/>
        <v>3.9569654606234135E-2</v>
      </c>
      <c r="J57" s="193">
        <f t="shared" si="29"/>
        <v>2.2685542416674868E-2</v>
      </c>
      <c r="K57" s="193">
        <f t="shared" si="29"/>
        <v>1</v>
      </c>
    </row>
    <row r="58" spans="1:11" x14ac:dyDescent="0.2">
      <c r="A58" s="182" t="s">
        <v>219</v>
      </c>
      <c r="B58" s="214">
        <f>SUM(B52:B57)</f>
        <v>89552</v>
      </c>
      <c r="C58" s="191">
        <f t="shared" ref="C58:K58" si="30">C34/$K34</f>
        <v>0.56752715483038785</v>
      </c>
      <c r="D58" s="191">
        <f t="shared" si="30"/>
        <v>9.411682128110993E-2</v>
      </c>
      <c r="E58" s="191">
        <f t="shared" si="30"/>
        <v>4.6498817192234865E-2</v>
      </c>
      <c r="F58" s="191">
        <f t="shared" si="30"/>
        <v>5.1923539362691069E-2</v>
      </c>
      <c r="G58" s="191">
        <f t="shared" si="30"/>
        <v>9.4895924188610453E-2</v>
      </c>
      <c r="H58" s="191">
        <f t="shared" si="30"/>
        <v>4.9127508673300367E-2</v>
      </c>
      <c r="I58" s="191">
        <f t="shared" si="30"/>
        <v>4.8011044725017792E-2</v>
      </c>
      <c r="J58" s="191">
        <f t="shared" si="30"/>
        <v>4.7899189746647607E-2</v>
      </c>
      <c r="K58" s="191">
        <f t="shared" si="30"/>
        <v>1</v>
      </c>
    </row>
    <row r="59" spans="1:11" x14ac:dyDescent="0.2">
      <c r="A59" s="182"/>
      <c r="B59" s="214"/>
      <c r="C59" s="191"/>
      <c r="D59" s="191"/>
      <c r="E59" s="191"/>
      <c r="F59" s="191"/>
      <c r="G59" s="191"/>
      <c r="H59" s="191"/>
      <c r="I59" s="191"/>
      <c r="J59" s="191"/>
      <c r="K59" s="191"/>
    </row>
    <row r="60" spans="1:11" x14ac:dyDescent="0.2">
      <c r="A60" s="182" t="s">
        <v>81</v>
      </c>
      <c r="B60" s="214">
        <f>B36</f>
        <v>22505</v>
      </c>
      <c r="C60" s="191">
        <f t="shared" ref="C60:K60" si="31">C36/$K36</f>
        <v>0.54390228626176684</v>
      </c>
      <c r="D60" s="191">
        <f t="shared" si="31"/>
        <v>9.1573813177662181E-2</v>
      </c>
      <c r="E60" s="191">
        <f t="shared" si="31"/>
        <v>3.8821056686442014E-2</v>
      </c>
      <c r="F60" s="191">
        <f t="shared" si="31"/>
        <v>5.5443187378306467E-2</v>
      </c>
      <c r="G60" s="191">
        <f t="shared" si="31"/>
        <v>9.5844392993501545E-2</v>
      </c>
      <c r="H60" s="191">
        <f t="shared" si="31"/>
        <v>3.8209722877217508E-2</v>
      </c>
      <c r="I60" s="191">
        <f t="shared" si="31"/>
        <v>8.0078218651049124E-2</v>
      </c>
      <c r="J60" s="191">
        <f t="shared" si="31"/>
        <v>5.6127321974054338E-2</v>
      </c>
      <c r="K60" s="191">
        <f t="shared" si="31"/>
        <v>1</v>
      </c>
    </row>
    <row r="61" spans="1:11" x14ac:dyDescent="0.2">
      <c r="A61" s="182" t="s">
        <v>82</v>
      </c>
      <c r="B61" s="214">
        <f>B37</f>
        <v>7979</v>
      </c>
      <c r="C61" s="191">
        <f t="shared" ref="C61:K61" si="32">C37/$K37</f>
        <v>0.46664295470843892</v>
      </c>
      <c r="D61" s="191">
        <f t="shared" si="32"/>
        <v>8.0336871994140316E-2</v>
      </c>
      <c r="E61" s="191">
        <f t="shared" si="32"/>
        <v>4.4085574818299368E-2</v>
      </c>
      <c r="F61" s="191">
        <f t="shared" si="32"/>
        <v>6.753759967865447E-2</v>
      </c>
      <c r="G61" s="191">
        <f t="shared" si="32"/>
        <v>0.1133175788812566</v>
      </c>
      <c r="H61" s="191">
        <f t="shared" si="32"/>
        <v>5.9236513369176888E-2</v>
      </c>
      <c r="I61" s="191">
        <f t="shared" si="32"/>
        <v>9.414710713037E-2</v>
      </c>
      <c r="J61" s="191">
        <f t="shared" si="32"/>
        <v>7.4695799419663575E-2</v>
      </c>
      <c r="K61" s="191">
        <f t="shared" si="32"/>
        <v>1</v>
      </c>
    </row>
    <row r="62" spans="1:11" x14ac:dyDescent="0.2">
      <c r="A62" s="182" t="s">
        <v>83</v>
      </c>
      <c r="B62" s="214">
        <f>B38</f>
        <v>5389</v>
      </c>
      <c r="C62" s="191">
        <f t="shared" ref="C62:K62" si="33">C38/$K38</f>
        <v>0.45567864474242087</v>
      </c>
      <c r="D62" s="191">
        <f t="shared" si="33"/>
        <v>7.240342476209595E-2</v>
      </c>
      <c r="E62" s="191">
        <f t="shared" si="33"/>
        <v>5.9431076196946105E-2</v>
      </c>
      <c r="F62" s="191">
        <f t="shared" si="33"/>
        <v>5.9154902336788842E-2</v>
      </c>
      <c r="G62" s="191">
        <f t="shared" si="33"/>
        <v>0.13677213739968572</v>
      </c>
      <c r="H62" s="191">
        <f t="shared" si="33"/>
        <v>8.1401301901681808E-2</v>
      </c>
      <c r="I62" s="191">
        <f t="shared" si="33"/>
        <v>9.9149834781838142E-2</v>
      </c>
      <c r="J62" s="191">
        <f t="shared" si="33"/>
        <v>3.6008677878542582E-2</v>
      </c>
      <c r="K62" s="191">
        <f t="shared" si="33"/>
        <v>1</v>
      </c>
    </row>
    <row r="63" spans="1:11" x14ac:dyDescent="0.2">
      <c r="A63" s="182" t="s">
        <v>84</v>
      </c>
      <c r="B63" s="214">
        <f>B39</f>
        <v>5197</v>
      </c>
      <c r="C63" s="191">
        <f t="shared" ref="C63:K63" si="34">C39/$K39</f>
        <v>0.44165189036489649</v>
      </c>
      <c r="D63" s="191">
        <f t="shared" si="34"/>
        <v>5.4697831548547807E-2</v>
      </c>
      <c r="E63" s="191">
        <f t="shared" si="34"/>
        <v>7.4915736382605666E-2</v>
      </c>
      <c r="F63" s="191">
        <f t="shared" si="34"/>
        <v>5.2476700304335017E-2</v>
      </c>
      <c r="G63" s="191">
        <f t="shared" si="34"/>
        <v>0.13268131417150031</v>
      </c>
      <c r="H63" s="191">
        <f t="shared" si="34"/>
        <v>8.8450731547396313E-2</v>
      </c>
      <c r="I63" s="191">
        <f t="shared" si="34"/>
        <v>9.6858231124689886E-2</v>
      </c>
      <c r="J63" s="191">
        <f t="shared" si="34"/>
        <v>5.8267564556028474E-2</v>
      </c>
      <c r="K63" s="191">
        <f t="shared" si="34"/>
        <v>1</v>
      </c>
    </row>
    <row r="64" spans="1:11" x14ac:dyDescent="0.2">
      <c r="A64" s="182" t="s">
        <v>85</v>
      </c>
      <c r="B64" s="220">
        <f>B40</f>
        <v>1480</v>
      </c>
      <c r="C64" s="193">
        <f t="shared" ref="C64:K64" si="35">C40/$K40</f>
        <v>0.38727647856977876</v>
      </c>
      <c r="D64" s="193">
        <f t="shared" si="35"/>
        <v>2.8462934929663494E-2</v>
      </c>
      <c r="E64" s="193">
        <f t="shared" si="35"/>
        <v>0.1087526628017976</v>
      </c>
      <c r="F64" s="193">
        <f t="shared" si="35"/>
        <v>2.6796058017707302E-2</v>
      </c>
      <c r="G64" s="193">
        <f t="shared" si="35"/>
        <v>0.13260349110780784</v>
      </c>
      <c r="H64" s="193">
        <f t="shared" si="35"/>
        <v>8.9715563500105108E-2</v>
      </c>
      <c r="I64" s="193">
        <f t="shared" si="35"/>
        <v>9.0008671501350904E-2</v>
      </c>
      <c r="J64" s="193">
        <f t="shared" si="35"/>
        <v>0.13638413957178913</v>
      </c>
      <c r="K64" s="193">
        <f t="shared" si="35"/>
        <v>1</v>
      </c>
    </row>
    <row r="65" spans="1:11" x14ac:dyDescent="0.2">
      <c r="A65" s="182" t="s">
        <v>220</v>
      </c>
      <c r="B65" s="214">
        <f>SUM(B60:B64)</f>
        <v>42550</v>
      </c>
      <c r="C65" s="191">
        <f t="shared" ref="C65:K65" si="36">C41/$K41</f>
        <v>0.49331772966994525</v>
      </c>
      <c r="D65" s="191">
        <f t="shared" si="36"/>
        <v>7.749431933987895E-2</v>
      </c>
      <c r="E65" s="191">
        <f t="shared" si="36"/>
        <v>5.2368186903428149E-2</v>
      </c>
      <c r="F65" s="191">
        <f t="shared" si="36"/>
        <v>5.5721033659082778E-2</v>
      </c>
      <c r="G65" s="191">
        <f t="shared" si="36"/>
        <v>0.11207103914370473</v>
      </c>
      <c r="H65" s="191">
        <f t="shared" si="36"/>
        <v>5.8295203841882984E-2</v>
      </c>
      <c r="I65" s="191">
        <f t="shared" si="36"/>
        <v>8.8156581840479156E-2</v>
      </c>
      <c r="J65" s="191">
        <f t="shared" si="36"/>
        <v>6.2575905601598009E-2</v>
      </c>
      <c r="K65" s="191">
        <f t="shared" si="36"/>
        <v>1</v>
      </c>
    </row>
    <row r="66" spans="1:11" x14ac:dyDescent="0.2">
      <c r="A66" s="182"/>
      <c r="B66" s="214"/>
      <c r="C66" s="191"/>
      <c r="D66" s="191"/>
      <c r="E66" s="191"/>
      <c r="F66" s="191"/>
      <c r="G66" s="191"/>
      <c r="H66" s="191"/>
      <c r="I66" s="191"/>
      <c r="J66" s="191"/>
      <c r="K66" s="191"/>
    </row>
    <row r="67" spans="1:11" x14ac:dyDescent="0.2">
      <c r="A67" s="182" t="s">
        <v>86</v>
      </c>
      <c r="B67" s="214">
        <f>B43</f>
        <v>10157</v>
      </c>
      <c r="C67" s="191">
        <f t="shared" ref="C67:K67" si="37">C43/$K43</f>
        <v>0.55024848606862653</v>
      </c>
      <c r="D67" s="191">
        <f t="shared" si="37"/>
        <v>5.9173964137429397E-2</v>
      </c>
      <c r="E67" s="191">
        <f t="shared" si="37"/>
        <v>4.7109270563965466E-2</v>
      </c>
      <c r="F67" s="191">
        <f t="shared" si="37"/>
        <v>5.6642486408268335E-2</v>
      </c>
      <c r="G67" s="191">
        <f t="shared" si="37"/>
        <v>9.3030713241868429E-2</v>
      </c>
      <c r="H67" s="191">
        <f t="shared" si="37"/>
        <v>5.7319521071009738E-2</v>
      </c>
      <c r="I67" s="191">
        <f t="shared" si="37"/>
        <v>8.1470754648358637E-2</v>
      </c>
      <c r="J67" s="191">
        <f t="shared" si="37"/>
        <v>5.5004803860473475E-2</v>
      </c>
      <c r="K67" s="191">
        <f t="shared" si="37"/>
        <v>1</v>
      </c>
    </row>
    <row r="68" spans="1:11" x14ac:dyDescent="0.2">
      <c r="A68" s="182" t="s">
        <v>87</v>
      </c>
      <c r="B68" s="220">
        <f>B44</f>
        <v>7489</v>
      </c>
      <c r="C68" s="193">
        <f t="shared" ref="C68:K68" si="38">C44/$K44</f>
        <v>0.49701816677146909</v>
      </c>
      <c r="D68" s="193">
        <f t="shared" si="38"/>
        <v>4.3493020853574808E-2</v>
      </c>
      <c r="E68" s="193">
        <f t="shared" si="38"/>
        <v>8.6912909107985478E-2</v>
      </c>
      <c r="F68" s="193">
        <f t="shared" si="38"/>
        <v>3.3529627922323724E-2</v>
      </c>
      <c r="G68" s="193">
        <f t="shared" si="38"/>
        <v>0.12232691527450411</v>
      </c>
      <c r="H68" s="193">
        <f t="shared" si="38"/>
        <v>7.7980020349066592E-2</v>
      </c>
      <c r="I68" s="193">
        <f t="shared" si="38"/>
        <v>8.2649038421536467E-2</v>
      </c>
      <c r="J68" s="193">
        <f t="shared" si="38"/>
        <v>5.6090301299539992E-2</v>
      </c>
      <c r="K68" s="193">
        <f t="shared" si="38"/>
        <v>1</v>
      </c>
    </row>
    <row r="69" spans="1:11" x14ac:dyDescent="0.2">
      <c r="A69" s="182" t="s">
        <v>221</v>
      </c>
      <c r="B69" s="214">
        <f>SUM(B67:B68)</f>
        <v>17646</v>
      </c>
      <c r="C69" s="191">
        <f t="shared" ref="C69:K69" si="39">C45/$K45</f>
        <v>0.52214948713956078</v>
      </c>
      <c r="D69" s="191">
        <f t="shared" si="39"/>
        <v>5.0896373201331037E-2</v>
      </c>
      <c r="E69" s="191">
        <f t="shared" si="39"/>
        <v>6.8120649259209701E-2</v>
      </c>
      <c r="F69" s="191">
        <f t="shared" si="39"/>
        <v>4.444176707350965E-2</v>
      </c>
      <c r="G69" s="191">
        <f t="shared" si="39"/>
        <v>0.10849547017757756</v>
      </c>
      <c r="H69" s="191">
        <f t="shared" si="39"/>
        <v>6.8225699255800118E-2</v>
      </c>
      <c r="I69" s="191">
        <f t="shared" si="39"/>
        <v>8.2092742171969615E-2</v>
      </c>
      <c r="J69" s="191">
        <f t="shared" si="39"/>
        <v>5.5577811721041828E-2</v>
      </c>
      <c r="K69" s="191">
        <f t="shared" si="39"/>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149748</v>
      </c>
      <c r="C71" s="195">
        <f t="shared" ref="C71:K71" si="40">C47/$K47</f>
        <v>0.538748801895648</v>
      </c>
      <c r="D71" s="195">
        <f t="shared" si="40"/>
        <v>8.339234499248048E-2</v>
      </c>
      <c r="E71" s="195">
        <f t="shared" si="40"/>
        <v>5.1108850922223531E-2</v>
      </c>
      <c r="F71" s="195">
        <f t="shared" si="40"/>
        <v>5.2127339334526498E-2</v>
      </c>
      <c r="G71" s="195">
        <f t="shared" si="40"/>
        <v>0.10195728548019312</v>
      </c>
      <c r="H71" s="195">
        <f t="shared" si="40"/>
        <v>5.4428975593571717E-2</v>
      </c>
      <c r="I71" s="195">
        <f t="shared" si="40"/>
        <v>6.4813317475288332E-2</v>
      </c>
      <c r="J71" s="195">
        <f t="shared" si="40"/>
        <v>5.3423084306068451E-2</v>
      </c>
      <c r="K71" s="195">
        <f t="shared" si="40"/>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honeticPr fontId="7"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2"/>
  <dimension ref="A1:W75"/>
  <sheetViews>
    <sheetView topLeftCell="A22" zoomScaleNormal="100" workbookViewId="0">
      <selection activeCell="K28" sqref="K28"/>
    </sheetView>
  </sheetViews>
  <sheetFormatPr defaultColWidth="9.140625"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 min="16" max="16" width="10.7109375" bestFit="1" customWidth="1"/>
    <col min="17" max="21" width="9.85546875" bestFit="1" customWidth="1"/>
    <col min="22" max="22" width="12" bestFit="1" customWidth="1"/>
    <col min="23" max="23" width="17" customWidth="1"/>
    <col min="24" max="24" width="11" bestFit="1" customWidth="1"/>
  </cols>
  <sheetData>
    <row r="1" spans="1:23" x14ac:dyDescent="0.2">
      <c r="A1" s="36" t="s">
        <v>247</v>
      </c>
      <c r="B1" s="22"/>
      <c r="C1" s="22"/>
      <c r="D1" s="22"/>
      <c r="E1" s="22"/>
      <c r="F1" s="22"/>
      <c r="G1" s="22"/>
      <c r="H1" s="22"/>
      <c r="I1" s="22"/>
      <c r="J1" s="22"/>
      <c r="K1" s="22"/>
    </row>
    <row r="2" spans="1:23" x14ac:dyDescent="0.2">
      <c r="A2" s="22" t="s">
        <v>594</v>
      </c>
      <c r="B2" s="22"/>
      <c r="C2" s="22"/>
      <c r="D2" s="22"/>
      <c r="E2" s="22"/>
      <c r="F2" s="22"/>
      <c r="G2" s="22"/>
      <c r="H2" s="22"/>
      <c r="I2" s="22"/>
      <c r="J2" s="22"/>
      <c r="K2" s="22"/>
    </row>
    <row r="3" spans="1:23" ht="33.75" x14ac:dyDescent="0.2">
      <c r="A3" s="21" t="s">
        <v>245</v>
      </c>
      <c r="B3" s="21" t="s">
        <v>593</v>
      </c>
      <c r="C3" s="12" t="s">
        <v>595</v>
      </c>
      <c r="D3" s="12" t="s">
        <v>596</v>
      </c>
      <c r="E3" s="12" t="s">
        <v>597</v>
      </c>
      <c r="F3" s="12" t="s">
        <v>598</v>
      </c>
      <c r="G3" s="12" t="s">
        <v>599</v>
      </c>
      <c r="H3" s="12" t="s">
        <v>600</v>
      </c>
      <c r="I3" s="12" t="s">
        <v>589</v>
      </c>
      <c r="J3" s="12" t="s">
        <v>601</v>
      </c>
      <c r="K3" s="12" t="s">
        <v>602</v>
      </c>
      <c r="P3" s="235"/>
      <c r="Q3" s="236"/>
      <c r="R3" s="236"/>
      <c r="S3" s="236"/>
      <c r="T3" s="236"/>
      <c r="U3" s="236"/>
    </row>
    <row r="4" spans="1:23" x14ac:dyDescent="0.2">
      <c r="A4" s="33" t="s">
        <v>102</v>
      </c>
      <c r="B4" s="221">
        <v>37120</v>
      </c>
      <c r="C4" s="214">
        <v>177368900.44999999</v>
      </c>
      <c r="D4" s="214">
        <v>34106949.980000004</v>
      </c>
      <c r="E4" s="214">
        <v>9354730.6999999993</v>
      </c>
      <c r="F4" s="214">
        <v>17413091.030000001</v>
      </c>
      <c r="G4" s="214">
        <v>26132050.149999999</v>
      </c>
      <c r="H4" s="214">
        <v>12814274.57</v>
      </c>
      <c r="I4" s="214">
        <v>9989332.1499999985</v>
      </c>
      <c r="J4" s="214">
        <v>12931473.91</v>
      </c>
      <c r="K4" s="214">
        <f t="shared" ref="K4:K9" si="0">SUM(C4:J4)</f>
        <v>300110802.94</v>
      </c>
      <c r="P4" s="214"/>
      <c r="Q4" s="214"/>
      <c r="R4" s="214"/>
      <c r="S4" s="214"/>
      <c r="T4" s="214"/>
      <c r="U4" s="214"/>
      <c r="V4" s="214"/>
      <c r="W4" s="214"/>
    </row>
    <row r="5" spans="1:23" x14ac:dyDescent="0.2">
      <c r="A5" s="33" t="s">
        <v>76</v>
      </c>
      <c r="B5" s="221">
        <v>18592</v>
      </c>
      <c r="C5" s="214">
        <v>91811916.100000009</v>
      </c>
      <c r="D5" s="214">
        <v>18711253.239999998</v>
      </c>
      <c r="E5" s="214">
        <v>5904647.5499999998</v>
      </c>
      <c r="F5" s="214">
        <v>9725156.6700000018</v>
      </c>
      <c r="G5" s="214">
        <v>15669997.58</v>
      </c>
      <c r="H5" s="214">
        <v>7461485.6700000009</v>
      </c>
      <c r="I5" s="214">
        <v>8292179.7399999993</v>
      </c>
      <c r="J5" s="214">
        <v>19807804.689999998</v>
      </c>
      <c r="K5" s="214">
        <f t="shared" si="0"/>
        <v>177384441.24000001</v>
      </c>
      <c r="P5" s="214"/>
      <c r="Q5" s="214"/>
      <c r="R5" s="214"/>
      <c r="S5" s="214"/>
      <c r="T5" s="214"/>
      <c r="U5" s="214"/>
      <c r="V5" s="214"/>
      <c r="W5" s="214"/>
    </row>
    <row r="6" spans="1:23" x14ac:dyDescent="0.2">
      <c r="A6" s="33" t="s">
        <v>77</v>
      </c>
      <c r="B6" s="221">
        <v>11316</v>
      </c>
      <c r="C6" s="214">
        <v>60752368.010000005</v>
      </c>
      <c r="D6" s="214">
        <v>10222699.610000003</v>
      </c>
      <c r="E6" s="214">
        <v>5133506.05</v>
      </c>
      <c r="F6" s="214">
        <v>5975364.5899999989</v>
      </c>
      <c r="G6" s="214">
        <v>10451562.91</v>
      </c>
      <c r="H6" s="214">
        <v>5150508.5199999996</v>
      </c>
      <c r="I6" s="214">
        <v>5200124.5</v>
      </c>
      <c r="J6" s="214">
        <v>3966485.43</v>
      </c>
      <c r="K6" s="214">
        <f t="shared" si="0"/>
        <v>106852619.62</v>
      </c>
      <c r="P6" s="214"/>
      <c r="Q6" s="214"/>
      <c r="R6" s="214"/>
      <c r="S6" s="214"/>
      <c r="T6" s="214"/>
      <c r="U6" s="214"/>
      <c r="V6" s="214"/>
      <c r="W6" s="214"/>
    </row>
    <row r="7" spans="1:23" x14ac:dyDescent="0.2">
      <c r="A7" s="33" t="s">
        <v>78</v>
      </c>
      <c r="B7" s="221">
        <v>15720</v>
      </c>
      <c r="C7" s="214">
        <v>79765434.699999988</v>
      </c>
      <c r="D7" s="214">
        <v>9132398.1700000018</v>
      </c>
      <c r="E7" s="214">
        <v>10026341.460000001</v>
      </c>
      <c r="F7" s="214">
        <v>6052054.0500000007</v>
      </c>
      <c r="G7" s="214">
        <v>14682443.919999998</v>
      </c>
      <c r="H7" s="214">
        <v>7646095.8600000022</v>
      </c>
      <c r="I7" s="214">
        <v>9846416.5799999982</v>
      </c>
      <c r="J7" s="214">
        <v>7562131.71</v>
      </c>
      <c r="K7" s="214">
        <f t="shared" si="0"/>
        <v>144713316.44999999</v>
      </c>
      <c r="P7" s="214"/>
      <c r="Q7" s="214"/>
      <c r="R7" s="214"/>
      <c r="S7" s="214"/>
      <c r="T7" s="214"/>
      <c r="U7" s="214"/>
      <c r="V7" s="214"/>
      <c r="W7" s="214"/>
    </row>
    <row r="8" spans="1:23" x14ac:dyDescent="0.2">
      <c r="A8" s="33" t="s">
        <v>79</v>
      </c>
      <c r="B8" s="221">
        <v>5238</v>
      </c>
      <c r="C8" s="214">
        <v>30965310.629999995</v>
      </c>
      <c r="D8" s="214">
        <v>2067967.29</v>
      </c>
      <c r="E8" s="214">
        <v>4971772.53</v>
      </c>
      <c r="F8" s="214">
        <v>2281057.11</v>
      </c>
      <c r="G8" s="214">
        <v>6698914.509999997</v>
      </c>
      <c r="H8" s="214">
        <v>4118960.68</v>
      </c>
      <c r="I8" s="214">
        <v>3914104.04</v>
      </c>
      <c r="J8" s="214">
        <v>3026148.75</v>
      </c>
      <c r="K8" s="214">
        <f t="shared" si="0"/>
        <v>58044235.539999992</v>
      </c>
      <c r="P8" s="214"/>
      <c r="Q8" s="214"/>
      <c r="R8" s="214"/>
      <c r="S8" s="214"/>
      <c r="T8" s="214"/>
      <c r="U8" s="214"/>
      <c r="V8" s="214"/>
      <c r="W8" s="214"/>
    </row>
    <row r="9" spans="1:23" x14ac:dyDescent="0.2">
      <c r="A9" s="33" t="s">
        <v>80</v>
      </c>
      <c r="B9" s="233">
        <v>1630</v>
      </c>
      <c r="C9" s="234">
        <v>9785034.9700000007</v>
      </c>
      <c r="D9" s="220">
        <v>413958.34</v>
      </c>
      <c r="E9" s="220">
        <v>1675935.86</v>
      </c>
      <c r="F9" s="220">
        <v>231132.12</v>
      </c>
      <c r="G9" s="220">
        <v>2158073.89</v>
      </c>
      <c r="H9" s="220">
        <v>1248479.67</v>
      </c>
      <c r="I9" s="220">
        <v>527397.31000000006</v>
      </c>
      <c r="J9" s="220">
        <v>384192.18</v>
      </c>
      <c r="K9" s="220">
        <f t="shared" si="0"/>
        <v>16424204.34</v>
      </c>
      <c r="P9" s="214"/>
      <c r="Q9" s="214"/>
      <c r="R9" s="214"/>
      <c r="S9" s="214"/>
      <c r="T9" s="214"/>
      <c r="U9" s="214"/>
      <c r="V9" s="214"/>
      <c r="W9" s="214"/>
    </row>
    <row r="10" spans="1:23" x14ac:dyDescent="0.2">
      <c r="A10" s="182" t="s">
        <v>103</v>
      </c>
      <c r="B10" s="221">
        <f>SUM(B4:B9)</f>
        <v>89616</v>
      </c>
      <c r="C10" s="214">
        <f>SUM(C4:C9)</f>
        <v>450448964.86000001</v>
      </c>
      <c r="D10" s="214">
        <f t="shared" ref="D10:J10" si="1">SUM(D4:D9)</f>
        <v>74655226.63000001</v>
      </c>
      <c r="E10" s="214">
        <f t="shared" si="1"/>
        <v>37066934.149999999</v>
      </c>
      <c r="F10" s="214">
        <f t="shared" si="1"/>
        <v>41677855.57</v>
      </c>
      <c r="G10" s="214">
        <f t="shared" si="1"/>
        <v>75793042.959999993</v>
      </c>
      <c r="H10" s="214">
        <f t="shared" si="1"/>
        <v>38439804.970000006</v>
      </c>
      <c r="I10" s="214">
        <f t="shared" si="1"/>
        <v>37769554.32</v>
      </c>
      <c r="J10" s="214">
        <f t="shared" si="1"/>
        <v>47678236.670000002</v>
      </c>
      <c r="K10" s="214">
        <f>SUM(K4:K9)</f>
        <v>803529620.13</v>
      </c>
      <c r="P10" s="214"/>
      <c r="Q10" s="214"/>
      <c r="R10" s="214"/>
      <c r="S10" s="214"/>
      <c r="T10" s="214"/>
      <c r="U10" s="214"/>
      <c r="V10" s="214"/>
      <c r="W10" s="214"/>
    </row>
    <row r="11" spans="1:23" x14ac:dyDescent="0.2">
      <c r="A11" s="33"/>
      <c r="B11" s="182"/>
      <c r="C11" s="214"/>
      <c r="D11" s="214"/>
      <c r="E11" s="214"/>
      <c r="F11" s="214"/>
      <c r="G11" s="214"/>
      <c r="H11" s="214"/>
      <c r="I11" s="214"/>
      <c r="J11" s="214"/>
      <c r="K11" s="182"/>
      <c r="P11" s="214"/>
      <c r="Q11" s="214"/>
      <c r="R11" s="214"/>
      <c r="S11" s="214"/>
      <c r="T11" s="214"/>
      <c r="U11" s="214"/>
      <c r="V11" s="214"/>
      <c r="W11" s="214"/>
    </row>
    <row r="12" spans="1:23" x14ac:dyDescent="0.2">
      <c r="A12" s="33" t="s">
        <v>81</v>
      </c>
      <c r="B12" s="221">
        <v>22683</v>
      </c>
      <c r="C12" s="214">
        <v>108766840.78000002</v>
      </c>
      <c r="D12" s="214">
        <v>18597883.190000001</v>
      </c>
      <c r="E12" s="214">
        <v>8443982.5099999998</v>
      </c>
      <c r="F12" s="214">
        <v>11564968.41</v>
      </c>
      <c r="G12" s="214">
        <v>19670731.899999999</v>
      </c>
      <c r="H12" s="214">
        <v>8279052.4799999995</v>
      </c>
      <c r="I12" s="214">
        <v>16514428.069999998</v>
      </c>
      <c r="J12" s="214">
        <v>12020664.859999999</v>
      </c>
      <c r="K12" s="214">
        <f>SUM(C12:J12)</f>
        <v>203858552.19999999</v>
      </c>
      <c r="P12" s="214"/>
      <c r="Q12" s="214"/>
      <c r="R12" s="214"/>
      <c r="S12" s="214"/>
      <c r="T12" s="214"/>
      <c r="U12" s="214"/>
      <c r="V12" s="214"/>
      <c r="W12" s="214"/>
    </row>
    <row r="13" spans="1:23" x14ac:dyDescent="0.2">
      <c r="A13" s="33" t="s">
        <v>82</v>
      </c>
      <c r="B13" s="221">
        <v>8960</v>
      </c>
      <c r="C13" s="214">
        <v>39765217.300000004</v>
      </c>
      <c r="D13" s="214">
        <v>7173047.4499999993</v>
      </c>
      <c r="E13" s="214">
        <v>3684186.48</v>
      </c>
      <c r="F13" s="214">
        <v>5685042.7699999996</v>
      </c>
      <c r="G13" s="214">
        <v>9773692.2199999988</v>
      </c>
      <c r="H13" s="214">
        <v>5712896.8899999997</v>
      </c>
      <c r="I13" s="214">
        <v>7210659.7199999997</v>
      </c>
      <c r="J13" s="214">
        <v>5699274.5099999998</v>
      </c>
      <c r="K13" s="214">
        <f>SUM(C13:J13)</f>
        <v>84704017.340000004</v>
      </c>
      <c r="P13" s="214"/>
      <c r="Q13" s="214"/>
      <c r="R13" s="214"/>
      <c r="S13" s="214"/>
      <c r="T13" s="214"/>
      <c r="U13" s="214"/>
      <c r="V13" s="214"/>
      <c r="W13" s="214"/>
    </row>
    <row r="14" spans="1:23" x14ac:dyDescent="0.2">
      <c r="A14" s="33" t="s">
        <v>83</v>
      </c>
      <c r="B14" s="221">
        <v>4842</v>
      </c>
      <c r="C14" s="214">
        <v>24258794.890000004</v>
      </c>
      <c r="D14" s="214">
        <v>3680896.3</v>
      </c>
      <c r="E14" s="214">
        <v>3108009.97</v>
      </c>
      <c r="F14" s="214">
        <v>2930729.46</v>
      </c>
      <c r="G14" s="214">
        <v>6148915</v>
      </c>
      <c r="H14" s="214">
        <v>4044236.07</v>
      </c>
      <c r="I14" s="214">
        <v>5143752.29</v>
      </c>
      <c r="J14" s="214">
        <v>3433178.05</v>
      </c>
      <c r="K14" s="214">
        <f>SUM(C14:J14)</f>
        <v>52748512.030000001</v>
      </c>
      <c r="P14" s="214"/>
      <c r="Q14" s="214"/>
      <c r="R14" s="214"/>
      <c r="S14" s="214"/>
      <c r="T14" s="214"/>
      <c r="U14" s="214"/>
      <c r="V14" s="214"/>
      <c r="W14" s="214"/>
    </row>
    <row r="15" spans="1:23" x14ac:dyDescent="0.2">
      <c r="A15" s="33" t="s">
        <v>84</v>
      </c>
      <c r="B15" s="221">
        <v>4878</v>
      </c>
      <c r="C15" s="214">
        <v>26891941.390000004</v>
      </c>
      <c r="D15" s="214">
        <v>3100628.61</v>
      </c>
      <c r="E15" s="214">
        <v>4459051.79</v>
      </c>
      <c r="F15" s="214">
        <v>3276204.51</v>
      </c>
      <c r="G15" s="214">
        <v>8520741.200000003</v>
      </c>
      <c r="H15" s="214">
        <v>5599096.1200000001</v>
      </c>
      <c r="I15" s="214">
        <v>5959263.6600000001</v>
      </c>
      <c r="J15" s="214">
        <v>2695099.08</v>
      </c>
      <c r="K15" s="214">
        <f>SUM(C15:J15)</f>
        <v>60502026.359999999</v>
      </c>
      <c r="P15" s="214"/>
      <c r="Q15" s="214"/>
      <c r="R15" s="214"/>
      <c r="S15" s="214"/>
      <c r="T15" s="214"/>
      <c r="U15" s="214"/>
      <c r="V15" s="214"/>
      <c r="W15" s="214"/>
    </row>
    <row r="16" spans="1:23" x14ac:dyDescent="0.2">
      <c r="A16" s="33" t="s">
        <v>85</v>
      </c>
      <c r="B16" s="233">
        <v>1657</v>
      </c>
      <c r="C16" s="234">
        <v>12463150.000000006</v>
      </c>
      <c r="D16" s="220">
        <v>915737.61</v>
      </c>
      <c r="E16" s="220">
        <v>3238305.06</v>
      </c>
      <c r="F16" s="220">
        <v>822768.06</v>
      </c>
      <c r="G16" s="220">
        <v>4477223.9000000004</v>
      </c>
      <c r="H16" s="220">
        <v>2510222.9500000002</v>
      </c>
      <c r="I16" s="220">
        <v>2683506.2200000002</v>
      </c>
      <c r="J16" s="220">
        <v>2629472.56</v>
      </c>
      <c r="K16" s="220">
        <f>SUM(C16:J16)</f>
        <v>29740386.359999999</v>
      </c>
      <c r="P16" s="214"/>
      <c r="Q16" s="214"/>
      <c r="R16" s="214"/>
      <c r="S16" s="214"/>
      <c r="T16" s="214"/>
      <c r="U16" s="214"/>
      <c r="V16" s="214"/>
      <c r="W16" s="214"/>
    </row>
    <row r="17" spans="1:23" x14ac:dyDescent="0.2">
      <c r="A17" s="182" t="s">
        <v>104</v>
      </c>
      <c r="B17" s="221">
        <f>SUM(B12:B16)</f>
        <v>43020</v>
      </c>
      <c r="C17" s="214">
        <f>SUM(C12:C16)</f>
        <v>212145944.36000004</v>
      </c>
      <c r="D17" s="214">
        <f t="shared" ref="D17:K17" si="2">SUM(D12:D16)</f>
        <v>33468193.16</v>
      </c>
      <c r="E17" s="214">
        <f t="shared" si="2"/>
        <v>22933535.809999999</v>
      </c>
      <c r="F17" s="214">
        <f t="shared" si="2"/>
        <v>24279713.209999997</v>
      </c>
      <c r="G17" s="214">
        <f t="shared" si="2"/>
        <v>48591304.219999999</v>
      </c>
      <c r="H17" s="214">
        <f t="shared" si="2"/>
        <v>26145504.509999998</v>
      </c>
      <c r="I17" s="214">
        <f t="shared" si="2"/>
        <v>37511609.959999993</v>
      </c>
      <c r="J17" s="214">
        <f t="shared" si="2"/>
        <v>26477689.059999999</v>
      </c>
      <c r="K17" s="214">
        <f t="shared" si="2"/>
        <v>431553494.28999996</v>
      </c>
      <c r="P17" s="214"/>
      <c r="Q17" s="214"/>
      <c r="R17" s="214"/>
      <c r="S17" s="214"/>
      <c r="T17" s="214"/>
      <c r="U17" s="214"/>
      <c r="V17" s="214"/>
      <c r="W17" s="214"/>
    </row>
    <row r="18" spans="1:23" x14ac:dyDescent="0.2">
      <c r="A18" s="33"/>
      <c r="B18" s="182"/>
      <c r="C18" s="214"/>
      <c r="D18" s="214"/>
      <c r="E18" s="214"/>
      <c r="F18" s="214"/>
      <c r="G18" s="214"/>
      <c r="H18" s="214"/>
      <c r="I18" s="214"/>
      <c r="J18" s="214"/>
      <c r="K18" s="182"/>
      <c r="P18" s="214"/>
      <c r="Q18" s="214"/>
      <c r="R18" s="214"/>
      <c r="S18" s="214"/>
      <c r="T18" s="214"/>
      <c r="U18" s="214"/>
      <c r="V18" s="214"/>
      <c r="W18" s="214"/>
    </row>
    <row r="19" spans="1:23" x14ac:dyDescent="0.2">
      <c r="A19" s="33" t="s">
        <v>86</v>
      </c>
      <c r="B19" s="221">
        <v>10550</v>
      </c>
      <c r="C19" s="214">
        <v>49550878.230000004</v>
      </c>
      <c r="D19" s="214">
        <v>5178851.53</v>
      </c>
      <c r="E19" s="214">
        <v>3959785.51</v>
      </c>
      <c r="F19" s="214">
        <v>5046208.22</v>
      </c>
      <c r="G19" s="214">
        <v>8791038.5800000001</v>
      </c>
      <c r="H19" s="214">
        <v>5275556.1500000004</v>
      </c>
      <c r="I19" s="214">
        <v>6572123.7299999995</v>
      </c>
      <c r="J19" s="214">
        <v>4640316.92</v>
      </c>
      <c r="K19" s="214">
        <f>SUM(C19:J19)</f>
        <v>89014758.87000002</v>
      </c>
      <c r="P19" s="214"/>
      <c r="Q19" s="214"/>
      <c r="R19" s="214"/>
      <c r="S19" s="214"/>
      <c r="T19" s="214"/>
      <c r="U19" s="214"/>
      <c r="V19" s="214"/>
      <c r="W19" s="214"/>
    </row>
    <row r="20" spans="1:23" x14ac:dyDescent="0.2">
      <c r="A20" s="33" t="s">
        <v>87</v>
      </c>
      <c r="B20" s="233">
        <v>6971</v>
      </c>
      <c r="C20" s="234">
        <v>44377305.199999988</v>
      </c>
      <c r="D20" s="220">
        <v>3801292.51</v>
      </c>
      <c r="E20" s="220">
        <v>8067419.629999999</v>
      </c>
      <c r="F20" s="220">
        <v>3062890.35</v>
      </c>
      <c r="G20" s="220">
        <v>10701782.909999996</v>
      </c>
      <c r="H20" s="220">
        <v>7054928.5699999994</v>
      </c>
      <c r="I20" s="220">
        <v>7388487.8599999985</v>
      </c>
      <c r="J20" s="220">
        <v>3422964.9</v>
      </c>
      <c r="K20" s="220">
        <f>SUM(C20:J20)</f>
        <v>87877071.929999992</v>
      </c>
      <c r="P20" s="214"/>
      <c r="Q20" s="214"/>
      <c r="R20" s="214"/>
      <c r="S20" s="214"/>
      <c r="T20" s="214"/>
      <c r="U20" s="214"/>
      <c r="V20" s="214"/>
      <c r="W20" s="214"/>
    </row>
    <row r="21" spans="1:23" x14ac:dyDescent="0.2">
      <c r="A21" s="182" t="s">
        <v>105</v>
      </c>
      <c r="B21" s="221">
        <f>SUM(B19:B20)</f>
        <v>17521</v>
      </c>
      <c r="C21" s="214">
        <f>SUM(C19:C20)</f>
        <v>93928183.429999992</v>
      </c>
      <c r="D21" s="214">
        <f t="shared" ref="D21:K21" si="3">SUM(D19:D20)</f>
        <v>8980144.0399999991</v>
      </c>
      <c r="E21" s="214">
        <f t="shared" si="3"/>
        <v>12027205.139999999</v>
      </c>
      <c r="F21" s="214">
        <f t="shared" si="3"/>
        <v>8109098.5700000003</v>
      </c>
      <c r="G21" s="214">
        <f t="shared" si="3"/>
        <v>19492821.489999995</v>
      </c>
      <c r="H21" s="214">
        <f t="shared" si="3"/>
        <v>12330484.719999999</v>
      </c>
      <c r="I21" s="214">
        <f t="shared" si="3"/>
        <v>13960611.589999998</v>
      </c>
      <c r="J21" s="214">
        <f t="shared" si="3"/>
        <v>8063281.8200000003</v>
      </c>
      <c r="K21" s="214">
        <f t="shared" si="3"/>
        <v>176891830.80000001</v>
      </c>
    </row>
    <row r="22" spans="1:23" x14ac:dyDescent="0.2">
      <c r="A22" s="33"/>
      <c r="B22" s="214"/>
      <c r="C22" s="214"/>
      <c r="D22" s="214"/>
      <c r="E22" s="214"/>
      <c r="F22" s="214"/>
      <c r="G22" s="214"/>
      <c r="H22" s="214"/>
      <c r="I22" s="214"/>
      <c r="J22" s="214"/>
      <c r="K22" s="214"/>
    </row>
    <row r="23" spans="1:23" ht="13.5" thickBot="1" x14ac:dyDescent="0.25">
      <c r="A23" s="182" t="s">
        <v>209</v>
      </c>
      <c r="B23" s="222">
        <f>B21+B17+B10</f>
        <v>150157</v>
      </c>
      <c r="C23" s="222">
        <f t="shared" ref="C23:K23" si="4">C21+C17+C10</f>
        <v>756523092.6500001</v>
      </c>
      <c r="D23" s="222">
        <f t="shared" si="4"/>
        <v>117103563.83000001</v>
      </c>
      <c r="E23" s="222">
        <f t="shared" si="4"/>
        <v>72027675.099999994</v>
      </c>
      <c r="F23" s="222">
        <f t="shared" si="4"/>
        <v>74066667.349999994</v>
      </c>
      <c r="G23" s="222">
        <f t="shared" si="4"/>
        <v>143877168.66999999</v>
      </c>
      <c r="H23" s="222">
        <f t="shared" si="4"/>
        <v>76915794.200000003</v>
      </c>
      <c r="I23" s="222">
        <f t="shared" si="4"/>
        <v>89241775.86999999</v>
      </c>
      <c r="J23" s="222">
        <f t="shared" si="4"/>
        <v>82219207.549999997</v>
      </c>
      <c r="K23" s="222">
        <f t="shared" si="4"/>
        <v>1411974945.2199998</v>
      </c>
    </row>
    <row r="24" spans="1:23" ht="13.5" thickTop="1" x14ac:dyDescent="0.2">
      <c r="A24" s="33"/>
      <c r="B24" s="182"/>
      <c r="C24" s="182"/>
      <c r="D24" s="182"/>
      <c r="E24" s="182"/>
      <c r="F24" s="182"/>
      <c r="G24" s="182"/>
      <c r="H24" s="182"/>
      <c r="I24" s="182"/>
      <c r="J24" s="182"/>
      <c r="K24" s="182"/>
    </row>
    <row r="25" spans="1:23" x14ac:dyDescent="0.2">
      <c r="A25" s="36" t="s">
        <v>247</v>
      </c>
      <c r="B25" s="22"/>
      <c r="C25" s="22"/>
      <c r="D25" s="22"/>
      <c r="E25" s="22"/>
      <c r="F25" s="22"/>
      <c r="G25" s="22"/>
      <c r="H25" s="22"/>
      <c r="I25" s="22"/>
      <c r="J25" s="22"/>
      <c r="K25" s="22"/>
    </row>
    <row r="26" spans="1:23" x14ac:dyDescent="0.2">
      <c r="A26" s="36" t="s">
        <v>592</v>
      </c>
      <c r="B26" s="22"/>
      <c r="C26" s="22"/>
      <c r="D26" s="22"/>
      <c r="E26" s="22"/>
      <c r="F26" s="22"/>
      <c r="G26" s="22"/>
      <c r="H26" s="22"/>
      <c r="I26" s="22"/>
      <c r="J26" s="22"/>
      <c r="K26" s="22"/>
    </row>
    <row r="27" spans="1:23" ht="33.75" x14ac:dyDescent="0.2">
      <c r="A27" s="21" t="s">
        <v>245</v>
      </c>
      <c r="B27" s="21" t="s">
        <v>593</v>
      </c>
      <c r="C27" s="12" t="s">
        <v>595</v>
      </c>
      <c r="D27" s="12" t="s">
        <v>596</v>
      </c>
      <c r="E27" s="12" t="s">
        <v>597</v>
      </c>
      <c r="F27" s="12" t="s">
        <v>598</v>
      </c>
      <c r="G27" s="12" t="s">
        <v>599</v>
      </c>
      <c r="H27" s="12" t="s">
        <v>600</v>
      </c>
      <c r="I27" s="12" t="s">
        <v>589</v>
      </c>
      <c r="J27" s="12" t="s">
        <v>601</v>
      </c>
      <c r="K27" s="12" t="s">
        <v>602</v>
      </c>
    </row>
    <row r="28" spans="1:23" x14ac:dyDescent="0.2">
      <c r="A28" s="182" t="s">
        <v>102</v>
      </c>
      <c r="B28" s="214">
        <f t="shared" ref="B28:B33" si="5">B4</f>
        <v>37120</v>
      </c>
      <c r="C28" s="182">
        <f t="shared" ref="C28:K28" si="6">C4/$B28</f>
        <v>4778.2570164331892</v>
      </c>
      <c r="D28" s="182">
        <f t="shared" si="6"/>
        <v>918.82947144396564</v>
      </c>
      <c r="E28" s="182">
        <f t="shared" si="6"/>
        <v>252.0132192887931</v>
      </c>
      <c r="F28" s="182">
        <f t="shared" si="6"/>
        <v>469.10266783405177</v>
      </c>
      <c r="G28" s="182">
        <f t="shared" si="6"/>
        <v>703.9884199892241</v>
      </c>
      <c r="H28" s="182">
        <f t="shared" si="6"/>
        <v>345.21213820043107</v>
      </c>
      <c r="I28" s="182">
        <f t="shared" si="6"/>
        <v>269.10916352370685</v>
      </c>
      <c r="J28" s="182">
        <f t="shared" si="6"/>
        <v>348.36944800646552</v>
      </c>
      <c r="K28" s="182">
        <f t="shared" si="6"/>
        <v>8084.8815447198276</v>
      </c>
    </row>
    <row r="29" spans="1:23" x14ac:dyDescent="0.2">
      <c r="A29" s="182" t="s">
        <v>76</v>
      </c>
      <c r="B29" s="214">
        <f t="shared" si="5"/>
        <v>18592</v>
      </c>
      <c r="C29" s="182">
        <f t="shared" ref="C29:K29" si="7">C5/$B29</f>
        <v>4938.2484993545613</v>
      </c>
      <c r="D29" s="182">
        <f t="shared" si="7"/>
        <v>1006.4142233218588</v>
      </c>
      <c r="E29" s="182">
        <f t="shared" si="7"/>
        <v>317.59076753442338</v>
      </c>
      <c r="F29" s="182">
        <f t="shared" si="7"/>
        <v>523.0828673623065</v>
      </c>
      <c r="G29" s="182">
        <f t="shared" si="7"/>
        <v>842.8354980636833</v>
      </c>
      <c r="H29" s="182">
        <f t="shared" si="7"/>
        <v>401.32775763769365</v>
      </c>
      <c r="I29" s="182">
        <f t="shared" si="7"/>
        <v>446.00794642857142</v>
      </c>
      <c r="J29" s="182">
        <f t="shared" si="7"/>
        <v>1065.3939699870912</v>
      </c>
      <c r="K29" s="182">
        <f t="shared" si="7"/>
        <v>9540.9015296901907</v>
      </c>
    </row>
    <row r="30" spans="1:23" x14ac:dyDescent="0.2">
      <c r="A30" s="182" t="s">
        <v>77</v>
      </c>
      <c r="B30" s="214">
        <f t="shared" si="5"/>
        <v>11316</v>
      </c>
      <c r="C30" s="182">
        <f t="shared" ref="C30:K30" si="8">C6/$B30</f>
        <v>5368.7140341109935</v>
      </c>
      <c r="D30" s="182">
        <f t="shared" si="8"/>
        <v>903.38455372923318</v>
      </c>
      <c r="E30" s="182">
        <f t="shared" si="8"/>
        <v>453.65023418168965</v>
      </c>
      <c r="F30" s="182">
        <f t="shared" si="8"/>
        <v>528.04565129020841</v>
      </c>
      <c r="G30" s="182">
        <f t="shared" si="8"/>
        <v>923.60930629197594</v>
      </c>
      <c r="H30" s="182">
        <f t="shared" si="8"/>
        <v>455.1527500883704</v>
      </c>
      <c r="I30" s="182">
        <f t="shared" si="8"/>
        <v>459.53733651466951</v>
      </c>
      <c r="J30" s="182">
        <f t="shared" si="8"/>
        <v>350.52009809119829</v>
      </c>
      <c r="K30" s="182">
        <f t="shared" si="8"/>
        <v>9442.6139642983399</v>
      </c>
    </row>
    <row r="31" spans="1:23" x14ac:dyDescent="0.2">
      <c r="A31" s="182" t="s">
        <v>78</v>
      </c>
      <c r="B31" s="214">
        <f t="shared" si="5"/>
        <v>15720</v>
      </c>
      <c r="C31" s="182">
        <f t="shared" ref="C31:K31" si="9">C7/$B31</f>
        <v>5074.1370674300251</v>
      </c>
      <c r="D31" s="182">
        <f t="shared" si="9"/>
        <v>580.94135941475838</v>
      </c>
      <c r="E31" s="182">
        <f t="shared" si="9"/>
        <v>637.8079809160306</v>
      </c>
      <c r="F31" s="182">
        <f t="shared" si="9"/>
        <v>384.99071564885503</v>
      </c>
      <c r="G31" s="182">
        <f t="shared" si="9"/>
        <v>933.99770483460543</v>
      </c>
      <c r="H31" s="182">
        <f t="shared" si="9"/>
        <v>486.39286641221389</v>
      </c>
      <c r="I31" s="182">
        <f t="shared" si="9"/>
        <v>626.36237786259528</v>
      </c>
      <c r="J31" s="182">
        <f t="shared" si="9"/>
        <v>481.05163549618322</v>
      </c>
      <c r="K31" s="182">
        <f t="shared" si="9"/>
        <v>9205.6817080152668</v>
      </c>
    </row>
    <row r="32" spans="1:23" x14ac:dyDescent="0.2">
      <c r="A32" s="182" t="s">
        <v>79</v>
      </c>
      <c r="B32" s="214">
        <f t="shared" si="5"/>
        <v>5238</v>
      </c>
      <c r="C32" s="182">
        <f t="shared" ref="C32:K32" si="10">C8/$B32</f>
        <v>5911.6667869415796</v>
      </c>
      <c r="D32" s="182">
        <f t="shared" si="10"/>
        <v>394.80093356242844</v>
      </c>
      <c r="E32" s="182">
        <f t="shared" si="10"/>
        <v>949.17383161512032</v>
      </c>
      <c r="F32" s="182">
        <f t="shared" si="10"/>
        <v>435.48245704467354</v>
      </c>
      <c r="G32" s="182">
        <f t="shared" si="10"/>
        <v>1278.9069320351273</v>
      </c>
      <c r="H32" s="182">
        <f t="shared" si="10"/>
        <v>786.36133638793433</v>
      </c>
      <c r="I32" s="182">
        <f t="shared" si="10"/>
        <v>747.25163039327992</v>
      </c>
      <c r="J32" s="182">
        <f t="shared" si="10"/>
        <v>577.72981099656363</v>
      </c>
      <c r="K32" s="182">
        <f t="shared" si="10"/>
        <v>11081.373718976707</v>
      </c>
    </row>
    <row r="33" spans="1:11" x14ac:dyDescent="0.2">
      <c r="A33" s="182" t="s">
        <v>80</v>
      </c>
      <c r="B33" s="220">
        <f t="shared" si="5"/>
        <v>1630</v>
      </c>
      <c r="C33" s="183">
        <f t="shared" ref="C33:K33" si="11">C9/$B33</f>
        <v>6003.0889386503068</v>
      </c>
      <c r="D33" s="183">
        <f t="shared" si="11"/>
        <v>253.96217177914113</v>
      </c>
      <c r="E33" s="183">
        <f t="shared" si="11"/>
        <v>1028.181509202454</v>
      </c>
      <c r="F33" s="183">
        <f t="shared" si="11"/>
        <v>141.79884662576686</v>
      </c>
      <c r="G33" s="183">
        <f t="shared" si="11"/>
        <v>1323.9717116564418</v>
      </c>
      <c r="H33" s="183">
        <f t="shared" si="11"/>
        <v>765.93844785276065</v>
      </c>
      <c r="I33" s="183">
        <f t="shared" si="11"/>
        <v>323.55663190184055</v>
      </c>
      <c r="J33" s="183">
        <f t="shared" si="11"/>
        <v>235.70072392638036</v>
      </c>
      <c r="K33" s="183">
        <f t="shared" si="11"/>
        <v>10076.198981595091</v>
      </c>
    </row>
    <row r="34" spans="1:11" x14ac:dyDescent="0.2">
      <c r="A34" s="182" t="s">
        <v>219</v>
      </c>
      <c r="B34" s="214">
        <f>SUM(B28:B33)</f>
        <v>89616</v>
      </c>
      <c r="C34" s="182">
        <f t="shared" ref="C34:K34" si="12">C10/$B34</f>
        <v>5026.4346194875916</v>
      </c>
      <c r="D34" s="182">
        <f t="shared" si="12"/>
        <v>833.05689419300131</v>
      </c>
      <c r="E34" s="182">
        <f t="shared" si="12"/>
        <v>413.61960085252633</v>
      </c>
      <c r="F34" s="182">
        <f t="shared" si="12"/>
        <v>465.07158955990002</v>
      </c>
      <c r="G34" s="182">
        <f t="shared" si="12"/>
        <v>845.75346991608637</v>
      </c>
      <c r="H34" s="182">
        <f t="shared" si="12"/>
        <v>428.93908420371372</v>
      </c>
      <c r="I34" s="182">
        <f t="shared" si="12"/>
        <v>421.45994376004285</v>
      </c>
      <c r="J34" s="182">
        <f t="shared" si="12"/>
        <v>532.02817208980537</v>
      </c>
      <c r="K34" s="182">
        <f t="shared" si="12"/>
        <v>8966.3633740626665</v>
      </c>
    </row>
    <row r="35" spans="1:11" x14ac:dyDescent="0.2">
      <c r="A35" s="182"/>
      <c r="B35" s="214"/>
      <c r="C35" s="182"/>
      <c r="D35" s="182"/>
      <c r="E35" s="182"/>
      <c r="F35" s="182"/>
      <c r="G35" s="182"/>
      <c r="H35" s="182"/>
      <c r="I35" s="182"/>
      <c r="J35" s="182"/>
      <c r="K35" s="182"/>
    </row>
    <row r="36" spans="1:11" x14ac:dyDescent="0.2">
      <c r="A36" s="182" t="s">
        <v>81</v>
      </c>
      <c r="B36" s="214">
        <f>B12</f>
        <v>22683</v>
      </c>
      <c r="C36" s="182">
        <f t="shared" ref="C36:K36" si="13">C12/$B36</f>
        <v>4795.0818136930748</v>
      </c>
      <c r="D36" s="182">
        <f t="shared" si="13"/>
        <v>819.90403341709657</v>
      </c>
      <c r="E36" s="182">
        <f t="shared" si="13"/>
        <v>372.26039368690209</v>
      </c>
      <c r="F36" s="182">
        <f t="shared" si="13"/>
        <v>509.85180134902794</v>
      </c>
      <c r="G36" s="182">
        <f t="shared" si="13"/>
        <v>867.20151214565965</v>
      </c>
      <c r="H36" s="182">
        <f t="shared" si="13"/>
        <v>364.98930829255386</v>
      </c>
      <c r="I36" s="182">
        <f t="shared" si="13"/>
        <v>728.05308248468009</v>
      </c>
      <c r="J36" s="182">
        <f t="shared" si="13"/>
        <v>529.94158003791381</v>
      </c>
      <c r="K36" s="182">
        <f t="shared" si="13"/>
        <v>8987.2835251069082</v>
      </c>
    </row>
    <row r="37" spans="1:11" x14ac:dyDescent="0.2">
      <c r="A37" s="182" t="s">
        <v>82</v>
      </c>
      <c r="B37" s="214">
        <f>B13</f>
        <v>8960</v>
      </c>
      <c r="C37" s="182">
        <f t="shared" ref="C37:K37" si="14">C13/$B37</f>
        <v>4438.0822879464295</v>
      </c>
      <c r="D37" s="182">
        <f t="shared" si="14"/>
        <v>800.56333147321425</v>
      </c>
      <c r="E37" s="182">
        <f t="shared" si="14"/>
        <v>411.18152678571431</v>
      </c>
      <c r="F37" s="182">
        <f t="shared" si="14"/>
        <v>634.49138058035714</v>
      </c>
      <c r="G37" s="182">
        <f t="shared" si="14"/>
        <v>1090.8138638392857</v>
      </c>
      <c r="H37" s="182">
        <f t="shared" si="14"/>
        <v>637.60009933035712</v>
      </c>
      <c r="I37" s="182">
        <f t="shared" si="14"/>
        <v>804.76112946428566</v>
      </c>
      <c r="J37" s="182">
        <f t="shared" si="14"/>
        <v>636.07974441964279</v>
      </c>
      <c r="K37" s="182">
        <f t="shared" si="14"/>
        <v>9453.5733638392867</v>
      </c>
    </row>
    <row r="38" spans="1:11" x14ac:dyDescent="0.2">
      <c r="A38" s="182" t="s">
        <v>83</v>
      </c>
      <c r="B38" s="214">
        <f>B14</f>
        <v>4842</v>
      </c>
      <c r="C38" s="182">
        <f t="shared" ref="C38:K38" si="15">C14/$B38</f>
        <v>5010.0774246179271</v>
      </c>
      <c r="D38" s="182">
        <f t="shared" si="15"/>
        <v>760.20163155720775</v>
      </c>
      <c r="E38" s="182">
        <f t="shared" si="15"/>
        <v>641.88557827344073</v>
      </c>
      <c r="F38" s="182">
        <f t="shared" si="15"/>
        <v>605.27250309789338</v>
      </c>
      <c r="G38" s="182">
        <f t="shared" si="15"/>
        <v>1269.9122263527468</v>
      </c>
      <c r="H38" s="182">
        <f t="shared" si="15"/>
        <v>835.24082403965303</v>
      </c>
      <c r="I38" s="182">
        <f t="shared" si="15"/>
        <v>1062.3197624948368</v>
      </c>
      <c r="J38" s="182">
        <f t="shared" si="15"/>
        <v>709.04131557207756</v>
      </c>
      <c r="K38" s="182">
        <f t="shared" si="15"/>
        <v>10893.951266005783</v>
      </c>
    </row>
    <row r="39" spans="1:11" x14ac:dyDescent="0.2">
      <c r="A39" s="182" t="s">
        <v>84</v>
      </c>
      <c r="B39" s="214">
        <f>B15</f>
        <v>4878</v>
      </c>
      <c r="C39" s="182">
        <f t="shared" ref="C39:K39" si="16">C15/$B39</f>
        <v>5512.9031139811405</v>
      </c>
      <c r="D39" s="182">
        <f t="shared" si="16"/>
        <v>635.63522140221403</v>
      </c>
      <c r="E39" s="182">
        <f t="shared" si="16"/>
        <v>914.11475809758099</v>
      </c>
      <c r="F39" s="182">
        <f t="shared" si="16"/>
        <v>671.62864083640829</v>
      </c>
      <c r="G39" s="182">
        <f t="shared" si="16"/>
        <v>1746.7694136941375</v>
      </c>
      <c r="H39" s="182">
        <f t="shared" si="16"/>
        <v>1147.8261828618286</v>
      </c>
      <c r="I39" s="182">
        <f t="shared" si="16"/>
        <v>1221.6612669126691</v>
      </c>
      <c r="J39" s="182">
        <f t="shared" si="16"/>
        <v>552.50083640836408</v>
      </c>
      <c r="K39" s="182">
        <f t="shared" si="16"/>
        <v>12403.039434194341</v>
      </c>
    </row>
    <row r="40" spans="1:11" x14ac:dyDescent="0.2">
      <c r="A40" s="182" t="s">
        <v>85</v>
      </c>
      <c r="B40" s="220">
        <f>B16</f>
        <v>1657</v>
      </c>
      <c r="C40" s="183">
        <f t="shared" ref="C40:K40" si="17">C16/$B40</f>
        <v>7521.5147857573966</v>
      </c>
      <c r="D40" s="183">
        <f t="shared" si="17"/>
        <v>552.647923958962</v>
      </c>
      <c r="E40" s="183">
        <f t="shared" si="17"/>
        <v>1954.3180808690404</v>
      </c>
      <c r="F40" s="183">
        <f t="shared" si="17"/>
        <v>496.54077248038629</v>
      </c>
      <c r="G40" s="183">
        <f t="shared" si="17"/>
        <v>2702.0059746529873</v>
      </c>
      <c r="H40" s="183">
        <f t="shared" si="17"/>
        <v>1514.9203077851539</v>
      </c>
      <c r="I40" s="183">
        <f t="shared" si="17"/>
        <v>1619.496813518407</v>
      </c>
      <c r="J40" s="183">
        <f t="shared" si="17"/>
        <v>1586.8874834037417</v>
      </c>
      <c r="K40" s="183">
        <f t="shared" si="17"/>
        <v>17948.332142426072</v>
      </c>
    </row>
    <row r="41" spans="1:11" x14ac:dyDescent="0.2">
      <c r="A41" s="182" t="s">
        <v>220</v>
      </c>
      <c r="B41" s="214">
        <f>SUM(B36:B40)</f>
        <v>43020</v>
      </c>
      <c r="C41" s="182">
        <f t="shared" ref="C41:K41" si="18">C17/$B41</f>
        <v>4931.3329697814979</v>
      </c>
      <c r="D41" s="182">
        <f t="shared" si="18"/>
        <v>777.96822780102275</v>
      </c>
      <c r="E41" s="182">
        <f t="shared" si="18"/>
        <v>533.09009321245924</v>
      </c>
      <c r="F41" s="182">
        <f t="shared" si="18"/>
        <v>564.38199000464897</v>
      </c>
      <c r="G41" s="182">
        <f t="shared" si="18"/>
        <v>1129.5049795443979</v>
      </c>
      <c r="H41" s="182">
        <f t="shared" si="18"/>
        <v>607.75231311018126</v>
      </c>
      <c r="I41" s="182">
        <f t="shared" si="18"/>
        <v>871.9574607159459</v>
      </c>
      <c r="J41" s="182">
        <f t="shared" si="18"/>
        <v>615.47394374709438</v>
      </c>
      <c r="K41" s="182">
        <f t="shared" si="18"/>
        <v>10031.461977917246</v>
      </c>
    </row>
    <row r="42" spans="1:11" x14ac:dyDescent="0.2">
      <c r="A42" s="182"/>
      <c r="B42" s="214"/>
      <c r="C42" s="182"/>
      <c r="D42" s="182"/>
      <c r="E42" s="182"/>
      <c r="F42" s="182"/>
      <c r="G42" s="182"/>
      <c r="H42" s="182"/>
      <c r="I42" s="182"/>
      <c r="J42" s="182"/>
      <c r="K42" s="182"/>
    </row>
    <row r="43" spans="1:11" x14ac:dyDescent="0.2">
      <c r="A43" s="182" t="s">
        <v>86</v>
      </c>
      <c r="B43" s="214">
        <f>B19</f>
        <v>10550</v>
      </c>
      <c r="C43" s="182">
        <f t="shared" ref="C43:K43" si="19">C19/$B43</f>
        <v>4696.7657090047396</v>
      </c>
      <c r="D43" s="182">
        <f t="shared" si="19"/>
        <v>490.88640094786734</v>
      </c>
      <c r="E43" s="182">
        <f t="shared" si="19"/>
        <v>375.33511943127962</v>
      </c>
      <c r="F43" s="182">
        <f t="shared" si="19"/>
        <v>478.31357535545021</v>
      </c>
      <c r="G43" s="182">
        <f t="shared" si="19"/>
        <v>833.27379905213274</v>
      </c>
      <c r="H43" s="182">
        <f t="shared" si="19"/>
        <v>500.05271563981046</v>
      </c>
      <c r="I43" s="182">
        <f t="shared" si="19"/>
        <v>622.95011658767771</v>
      </c>
      <c r="J43" s="182">
        <f t="shared" si="19"/>
        <v>439.84046635071087</v>
      </c>
      <c r="K43" s="182">
        <f t="shared" si="19"/>
        <v>8437.4179023696706</v>
      </c>
    </row>
    <row r="44" spans="1:11" x14ac:dyDescent="0.2">
      <c r="A44" s="182" t="s">
        <v>87</v>
      </c>
      <c r="B44" s="220">
        <f>B20</f>
        <v>6971</v>
      </c>
      <c r="C44" s="183">
        <f t="shared" ref="C44:K44" si="20">C20/$B44</f>
        <v>6365.9884091235099</v>
      </c>
      <c r="D44" s="183">
        <f t="shared" si="20"/>
        <v>545.30089083345285</v>
      </c>
      <c r="E44" s="183">
        <f t="shared" si="20"/>
        <v>1157.2829766174148</v>
      </c>
      <c r="F44" s="183">
        <f t="shared" si="20"/>
        <v>439.3760364366662</v>
      </c>
      <c r="G44" s="183">
        <f t="shared" si="20"/>
        <v>1535.1861870606795</v>
      </c>
      <c r="H44" s="183">
        <f t="shared" si="20"/>
        <v>1012.0396743652273</v>
      </c>
      <c r="I44" s="183">
        <f t="shared" si="20"/>
        <v>1059.8892354038155</v>
      </c>
      <c r="J44" s="183">
        <f t="shared" si="20"/>
        <v>491.02924974895996</v>
      </c>
      <c r="K44" s="183">
        <f t="shared" si="20"/>
        <v>12606.092659589727</v>
      </c>
    </row>
    <row r="45" spans="1:11" x14ac:dyDescent="0.2">
      <c r="A45" s="182" t="s">
        <v>221</v>
      </c>
      <c r="B45" s="214">
        <f>SUM(B43:B44)</f>
        <v>17521</v>
      </c>
      <c r="C45" s="182">
        <f t="shared" ref="C45:K45" si="21">C21/$B45</f>
        <v>5360.8916973917012</v>
      </c>
      <c r="D45" s="182">
        <f t="shared" si="21"/>
        <v>512.53604474630436</v>
      </c>
      <c r="E45" s="182">
        <f t="shared" si="21"/>
        <v>686.44513098567427</v>
      </c>
      <c r="F45" s="182">
        <f t="shared" si="21"/>
        <v>462.82167513269792</v>
      </c>
      <c r="G45" s="182">
        <f t="shared" si="21"/>
        <v>1112.540465156098</v>
      </c>
      <c r="H45" s="182">
        <f t="shared" si="21"/>
        <v>703.75462131156894</v>
      </c>
      <c r="I45" s="182">
        <f t="shared" si="21"/>
        <v>796.7930820158665</v>
      </c>
      <c r="J45" s="182">
        <f t="shared" si="21"/>
        <v>460.20671308715259</v>
      </c>
      <c r="K45" s="182">
        <f t="shared" si="21"/>
        <v>10095.989429827065</v>
      </c>
    </row>
    <row r="46" spans="1:11" x14ac:dyDescent="0.2">
      <c r="A46" s="182"/>
      <c r="B46" s="214"/>
      <c r="C46" s="182"/>
      <c r="D46" s="182"/>
      <c r="E46" s="182"/>
      <c r="F46" s="182"/>
      <c r="G46" s="182"/>
      <c r="H46" s="182"/>
      <c r="I46" s="182"/>
      <c r="J46" s="182"/>
      <c r="K46" s="182"/>
    </row>
    <row r="47" spans="1:11" ht="13.5" thickBot="1" x14ac:dyDescent="0.25">
      <c r="A47" s="182" t="s">
        <v>222</v>
      </c>
      <c r="B47" s="222">
        <f>B45+B41+B34</f>
        <v>150157</v>
      </c>
      <c r="C47" s="192">
        <f t="shared" ref="C47:K47" si="22">C23/$B47</f>
        <v>5038.213953728432</v>
      </c>
      <c r="D47" s="192">
        <f t="shared" si="22"/>
        <v>779.87415724874643</v>
      </c>
      <c r="E47" s="192">
        <f t="shared" si="22"/>
        <v>479.68243305340405</v>
      </c>
      <c r="F47" s="192">
        <f t="shared" si="22"/>
        <v>493.26150196128049</v>
      </c>
      <c r="G47" s="192">
        <f t="shared" si="22"/>
        <v>958.17823125129019</v>
      </c>
      <c r="H47" s="192">
        <f t="shared" si="22"/>
        <v>512.23582117383808</v>
      </c>
      <c r="I47" s="192">
        <f t="shared" si="22"/>
        <v>594.32311427372679</v>
      </c>
      <c r="J47" s="192">
        <f t="shared" si="22"/>
        <v>547.55494282650818</v>
      </c>
      <c r="K47" s="192">
        <f t="shared" si="22"/>
        <v>9403.3241555172244</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610</v>
      </c>
      <c r="B50" s="182"/>
      <c r="C50" s="182"/>
      <c r="D50" s="182"/>
      <c r="E50" s="182"/>
      <c r="F50" s="182"/>
      <c r="G50" s="182"/>
      <c r="H50" s="182"/>
      <c r="I50" s="182"/>
      <c r="J50" s="182"/>
      <c r="K50" s="182"/>
    </row>
    <row r="51" spans="1:11" ht="33.75" x14ac:dyDescent="0.2">
      <c r="A51" s="21" t="s">
        <v>245</v>
      </c>
      <c r="B51" s="21" t="s">
        <v>593</v>
      </c>
      <c r="C51" s="12" t="s">
        <v>595</v>
      </c>
      <c r="D51" s="12" t="s">
        <v>596</v>
      </c>
      <c r="E51" s="12" t="s">
        <v>597</v>
      </c>
      <c r="F51" s="12" t="s">
        <v>598</v>
      </c>
      <c r="G51" s="12" t="s">
        <v>599</v>
      </c>
      <c r="H51" s="12" t="s">
        <v>600</v>
      </c>
      <c r="I51" s="12" t="s">
        <v>589</v>
      </c>
      <c r="J51" s="12" t="s">
        <v>601</v>
      </c>
      <c r="K51" s="12" t="s">
        <v>602</v>
      </c>
    </row>
    <row r="52" spans="1:11" x14ac:dyDescent="0.2">
      <c r="A52" s="182" t="s">
        <v>102</v>
      </c>
      <c r="B52" s="214">
        <f t="shared" ref="B52:B57" si="23">B4</f>
        <v>37120</v>
      </c>
      <c r="C52" s="191">
        <f t="shared" ref="C52:K52" si="24">C28/$K28</f>
        <v>0.59101138217093996</v>
      </c>
      <c r="D52" s="191">
        <f t="shared" si="24"/>
        <v>0.11364785821061855</v>
      </c>
      <c r="E52" s="191">
        <f t="shared" si="24"/>
        <v>3.1170922900333766E-2</v>
      </c>
      <c r="F52" s="191">
        <f t="shared" si="24"/>
        <v>5.8022206663054826E-2</v>
      </c>
      <c r="G52" s="191">
        <f t="shared" si="24"/>
        <v>8.7074673400625566E-2</v>
      </c>
      <c r="H52" s="191">
        <f t="shared" si="24"/>
        <v>4.2698478176948232E-2</v>
      </c>
      <c r="I52" s="191">
        <f t="shared" si="24"/>
        <v>3.3285480069829836E-2</v>
      </c>
      <c r="J52" s="191">
        <f t="shared" si="24"/>
        <v>4.3088998407649258E-2</v>
      </c>
      <c r="K52" s="191">
        <f t="shared" si="24"/>
        <v>1</v>
      </c>
    </row>
    <row r="53" spans="1:11" x14ac:dyDescent="0.2">
      <c r="A53" s="182" t="s">
        <v>76</v>
      </c>
      <c r="B53" s="214">
        <f t="shared" si="23"/>
        <v>18592</v>
      </c>
      <c r="C53" s="191">
        <f t="shared" ref="C53:K53" si="25">C29/$K29</f>
        <v>0.51758719906995143</v>
      </c>
      <c r="D53" s="191">
        <f t="shared" si="25"/>
        <v>0.10548418513596573</v>
      </c>
      <c r="E53" s="191">
        <f t="shared" si="25"/>
        <v>3.3287291200534599E-2</v>
      </c>
      <c r="F53" s="191">
        <f t="shared" si="25"/>
        <v>5.4825308251482595E-2</v>
      </c>
      <c r="G53" s="191">
        <f t="shared" si="25"/>
        <v>8.8339188434224586E-2</v>
      </c>
      <c r="H53" s="191">
        <f t="shared" si="25"/>
        <v>4.2063924083988048E-2</v>
      </c>
      <c r="I53" s="191">
        <f t="shared" si="25"/>
        <v>4.6746939483721307E-2</v>
      </c>
      <c r="J53" s="191">
        <f t="shared" si="25"/>
        <v>0.11166596434013153</v>
      </c>
      <c r="K53" s="191">
        <f t="shared" si="25"/>
        <v>1</v>
      </c>
    </row>
    <row r="54" spans="1:11" x14ac:dyDescent="0.2">
      <c r="A54" s="182" t="s">
        <v>77</v>
      </c>
      <c r="B54" s="214">
        <f t="shared" si="23"/>
        <v>11316</v>
      </c>
      <c r="C54" s="191">
        <f t="shared" ref="C54:K54" si="26">C30/$K30</f>
        <v>0.56856227040622553</v>
      </c>
      <c r="D54" s="191">
        <f t="shared" si="26"/>
        <v>9.5671024691345807E-2</v>
      </c>
      <c r="E54" s="191">
        <f t="shared" si="26"/>
        <v>4.8042865661658912E-2</v>
      </c>
      <c r="F54" s="191">
        <f t="shared" si="26"/>
        <v>5.5921554485516486E-2</v>
      </c>
      <c r="G54" s="191">
        <f t="shared" si="26"/>
        <v>9.7812884206010989E-2</v>
      </c>
      <c r="H54" s="191">
        <f t="shared" si="26"/>
        <v>4.8201986421266538E-2</v>
      </c>
      <c r="I54" s="191">
        <f t="shared" si="26"/>
        <v>4.8666326745129912E-2</v>
      </c>
      <c r="J54" s="191">
        <f t="shared" si="26"/>
        <v>3.7121087382845759E-2</v>
      </c>
      <c r="K54" s="191">
        <f t="shared" si="26"/>
        <v>1</v>
      </c>
    </row>
    <row r="55" spans="1:11" x14ac:dyDescent="0.2">
      <c r="A55" s="182" t="s">
        <v>78</v>
      </c>
      <c r="B55" s="214">
        <f t="shared" si="23"/>
        <v>15720</v>
      </c>
      <c r="C55" s="191">
        <f t="shared" ref="C55:K55" si="27">C31/$K31</f>
        <v>0.55119623167201626</v>
      </c>
      <c r="D55" s="191">
        <f t="shared" si="27"/>
        <v>6.3106826614365813E-2</v>
      </c>
      <c r="E55" s="191">
        <f t="shared" si="27"/>
        <v>6.9284166142818029E-2</v>
      </c>
      <c r="F55" s="191">
        <f t="shared" si="27"/>
        <v>4.1820989239031436E-2</v>
      </c>
      <c r="G55" s="191">
        <f t="shared" si="27"/>
        <v>0.10145883101969361</v>
      </c>
      <c r="H55" s="191">
        <f t="shared" si="27"/>
        <v>5.2836159432790075E-2</v>
      </c>
      <c r="I55" s="191">
        <f t="shared" si="27"/>
        <v>6.8040846699840785E-2</v>
      </c>
      <c r="J55" s="191">
        <f t="shared" si="27"/>
        <v>5.2255949179444025E-2</v>
      </c>
      <c r="K55" s="191">
        <f t="shared" si="27"/>
        <v>1</v>
      </c>
    </row>
    <row r="56" spans="1:11" x14ac:dyDescent="0.2">
      <c r="A56" s="182" t="s">
        <v>79</v>
      </c>
      <c r="B56" s="214">
        <f t="shared" si="23"/>
        <v>5238</v>
      </c>
      <c r="C56" s="191">
        <f t="shared" ref="C56:K56" si="28">C32/$K32</f>
        <v>0.53347779227208336</v>
      </c>
      <c r="D56" s="191">
        <f t="shared" si="28"/>
        <v>3.5627436053919652E-2</v>
      </c>
      <c r="E56" s="191">
        <f t="shared" si="28"/>
        <v>8.565488861635201E-2</v>
      </c>
      <c r="F56" s="191">
        <f t="shared" si="28"/>
        <v>3.9298598539178907E-2</v>
      </c>
      <c r="G56" s="191">
        <f t="shared" si="28"/>
        <v>0.11541050455188745</v>
      </c>
      <c r="H56" s="191">
        <f t="shared" si="28"/>
        <v>7.096244169089802E-2</v>
      </c>
      <c r="I56" s="191">
        <f t="shared" si="28"/>
        <v>6.7433122403734239E-2</v>
      </c>
      <c r="J56" s="191">
        <f t="shared" si="28"/>
        <v>5.2135215871946354E-2</v>
      </c>
      <c r="K56" s="191">
        <f t="shared" si="28"/>
        <v>1</v>
      </c>
    </row>
    <row r="57" spans="1:11" x14ac:dyDescent="0.2">
      <c r="A57" s="182" t="s">
        <v>80</v>
      </c>
      <c r="B57" s="220">
        <f t="shared" si="23"/>
        <v>1630</v>
      </c>
      <c r="C57" s="193">
        <f t="shared" ref="C57:K57" si="29">C33/$K33</f>
        <v>0.59576919328562139</v>
      </c>
      <c r="D57" s="193">
        <f t="shared" si="29"/>
        <v>2.5204164014924823E-2</v>
      </c>
      <c r="E57" s="193">
        <f t="shared" si="29"/>
        <v>0.1020406118498158</v>
      </c>
      <c r="F57" s="193">
        <f t="shared" si="29"/>
        <v>1.4072652483815846E-2</v>
      </c>
      <c r="G57" s="193">
        <f t="shared" si="29"/>
        <v>0.1313959474276731</v>
      </c>
      <c r="H57" s="193">
        <f t="shared" si="29"/>
        <v>7.6014621113755579E-2</v>
      </c>
      <c r="I57" s="193">
        <f t="shared" si="29"/>
        <v>3.2110980786786786E-2</v>
      </c>
      <c r="J57" s="193">
        <f t="shared" si="29"/>
        <v>2.3391829037606823E-2</v>
      </c>
      <c r="K57" s="193">
        <f t="shared" si="29"/>
        <v>1</v>
      </c>
    </row>
    <row r="58" spans="1:11" x14ac:dyDescent="0.2">
      <c r="A58" s="182" t="s">
        <v>219</v>
      </c>
      <c r="B58" s="214">
        <f>SUM(B52:B57)</f>
        <v>89616</v>
      </c>
      <c r="C58" s="191">
        <f t="shared" ref="C58:K58" si="30">C34/$K34</f>
        <v>0.56058787825036693</v>
      </c>
      <c r="D58" s="191">
        <f t="shared" si="30"/>
        <v>9.2909115930190384E-2</v>
      </c>
      <c r="E58" s="191">
        <f t="shared" si="30"/>
        <v>4.6130140347537013E-2</v>
      </c>
      <c r="F58" s="191">
        <f t="shared" si="30"/>
        <v>5.1868474448094525E-2</v>
      </c>
      <c r="G58" s="191">
        <f t="shared" si="30"/>
        <v>9.4325138814095905E-2</v>
      </c>
      <c r="H58" s="191">
        <f t="shared" si="30"/>
        <v>4.7838690705366879E-2</v>
      </c>
      <c r="I58" s="191">
        <f t="shared" si="30"/>
        <v>4.7004557609076576E-2</v>
      </c>
      <c r="J58" s="191">
        <f t="shared" si="30"/>
        <v>5.9336003895271869E-2</v>
      </c>
      <c r="K58" s="191">
        <f t="shared" si="30"/>
        <v>1</v>
      </c>
    </row>
    <row r="59" spans="1:11" x14ac:dyDescent="0.2">
      <c r="A59" s="182"/>
      <c r="B59" s="214"/>
      <c r="C59" s="191"/>
      <c r="D59" s="191"/>
      <c r="E59" s="191"/>
      <c r="F59" s="191"/>
      <c r="G59" s="191"/>
      <c r="H59" s="191"/>
      <c r="I59" s="191"/>
      <c r="J59" s="191"/>
      <c r="K59" s="191"/>
    </row>
    <row r="60" spans="1:11" x14ac:dyDescent="0.2">
      <c r="A60" s="182" t="s">
        <v>81</v>
      </c>
      <c r="B60" s="214">
        <f>B36</f>
        <v>22683</v>
      </c>
      <c r="C60" s="191">
        <f t="shared" ref="C60:K60" si="31">C36/$K36</f>
        <v>0.53354073011021819</v>
      </c>
      <c r="D60" s="191">
        <f t="shared" si="31"/>
        <v>9.1229349906076701E-2</v>
      </c>
      <c r="E60" s="191">
        <f t="shared" si="31"/>
        <v>4.142079112636806E-2</v>
      </c>
      <c r="F60" s="191">
        <f t="shared" si="31"/>
        <v>5.6730356834153957E-2</v>
      </c>
      <c r="G60" s="191">
        <f t="shared" si="31"/>
        <v>9.6492061224400266E-2</v>
      </c>
      <c r="H60" s="191">
        <f t="shared" si="31"/>
        <v>4.0611749620774552E-2</v>
      </c>
      <c r="I60" s="191">
        <f t="shared" si="31"/>
        <v>8.1009248284065846E-2</v>
      </c>
      <c r="J60" s="191">
        <f t="shared" si="31"/>
        <v>5.8965712893942542E-2</v>
      </c>
      <c r="K60" s="191">
        <f t="shared" si="31"/>
        <v>1</v>
      </c>
    </row>
    <row r="61" spans="1:11" x14ac:dyDescent="0.2">
      <c r="A61" s="182" t="s">
        <v>82</v>
      </c>
      <c r="B61" s="214">
        <f>B37</f>
        <v>8960</v>
      </c>
      <c r="C61" s="191">
        <f t="shared" ref="C61:K61" si="32">C37/$K37</f>
        <v>0.4694608183739778</v>
      </c>
      <c r="D61" s="191">
        <f t="shared" si="32"/>
        <v>8.4683674697594913E-2</v>
      </c>
      <c r="E61" s="191">
        <f t="shared" si="32"/>
        <v>4.3494825814598133E-2</v>
      </c>
      <c r="F61" s="191">
        <f t="shared" si="32"/>
        <v>6.7116565996868452E-2</v>
      </c>
      <c r="G61" s="191">
        <f t="shared" si="32"/>
        <v>0.11538640700792999</v>
      </c>
      <c r="H61" s="191">
        <f t="shared" si="32"/>
        <v>6.7445406598232061E-2</v>
      </c>
      <c r="I61" s="191">
        <f t="shared" si="32"/>
        <v>8.5127718217384837E-2</v>
      </c>
      <c r="J61" s="191">
        <f t="shared" si="32"/>
        <v>6.728458329341383E-2</v>
      </c>
      <c r="K61" s="191">
        <f t="shared" si="32"/>
        <v>1</v>
      </c>
    </row>
    <row r="62" spans="1:11" x14ac:dyDescent="0.2">
      <c r="A62" s="182" t="s">
        <v>83</v>
      </c>
      <c r="B62" s="214">
        <f>B38</f>
        <v>4842</v>
      </c>
      <c r="C62" s="191">
        <f t="shared" ref="C62:K62" si="33">C38/$K38</f>
        <v>0.45989534029326068</v>
      </c>
      <c r="D62" s="191">
        <f t="shared" si="33"/>
        <v>6.9781993052364016E-2</v>
      </c>
      <c r="E62" s="191">
        <f t="shared" si="33"/>
        <v>5.8921282333658273E-2</v>
      </c>
      <c r="F62" s="191">
        <f t="shared" si="33"/>
        <v>5.556041956848351E-2</v>
      </c>
      <c r="G62" s="191">
        <f t="shared" si="33"/>
        <v>0.11657039721808433</v>
      </c>
      <c r="H62" s="191">
        <f t="shared" si="33"/>
        <v>7.6670145078213695E-2</v>
      </c>
      <c r="I62" s="191">
        <f t="shared" si="33"/>
        <v>9.7514642442891292E-2</v>
      </c>
      <c r="J62" s="191">
        <f t="shared" si="33"/>
        <v>6.5085780013044284E-2</v>
      </c>
      <c r="K62" s="191">
        <f t="shared" si="33"/>
        <v>1</v>
      </c>
    </row>
    <row r="63" spans="1:11" x14ac:dyDescent="0.2">
      <c r="A63" s="182" t="s">
        <v>84</v>
      </c>
      <c r="B63" s="214">
        <f>B39</f>
        <v>4878</v>
      </c>
      <c r="C63" s="191">
        <f t="shared" ref="C63:K63" si="34">C39/$K39</f>
        <v>0.44448001179311253</v>
      </c>
      <c r="D63" s="191">
        <f t="shared" si="34"/>
        <v>5.124834318028617E-2</v>
      </c>
      <c r="E63" s="191">
        <f t="shared" si="34"/>
        <v>7.3700866867957252E-2</v>
      </c>
      <c r="F63" s="191">
        <f t="shared" si="34"/>
        <v>5.4150326974271606E-2</v>
      </c>
      <c r="G63" s="191">
        <f t="shared" si="34"/>
        <v>0.14083398049017021</v>
      </c>
      <c r="H63" s="191">
        <f t="shared" si="34"/>
        <v>9.2543943680236107E-2</v>
      </c>
      <c r="I63" s="191">
        <f t="shared" si="34"/>
        <v>9.8496926773015941E-2</v>
      </c>
      <c r="J63" s="191">
        <f t="shared" si="34"/>
        <v>4.4545600240950348E-2</v>
      </c>
      <c r="K63" s="191">
        <f t="shared" si="34"/>
        <v>1</v>
      </c>
    </row>
    <row r="64" spans="1:11" x14ac:dyDescent="0.2">
      <c r="A64" s="182" t="s">
        <v>85</v>
      </c>
      <c r="B64" s="220">
        <f>B40</f>
        <v>1657</v>
      </c>
      <c r="C64" s="193">
        <f t="shared" ref="C64:K64" si="35">C40/$K40</f>
        <v>0.419064831543769</v>
      </c>
      <c r="D64" s="193">
        <f t="shared" si="35"/>
        <v>3.079104618599178E-2</v>
      </c>
      <c r="E64" s="193">
        <f t="shared" si="35"/>
        <v>0.10888577642540082</v>
      </c>
      <c r="F64" s="193">
        <f t="shared" si="35"/>
        <v>2.7665009123976965E-2</v>
      </c>
      <c r="G64" s="193">
        <f t="shared" si="35"/>
        <v>0.15054356879578884</v>
      </c>
      <c r="H64" s="193">
        <f t="shared" si="35"/>
        <v>8.4404517130825862E-2</v>
      </c>
      <c r="I64" s="193">
        <f t="shared" si="35"/>
        <v>9.0231047691069752E-2</v>
      </c>
      <c r="J64" s="193">
        <f t="shared" si="35"/>
        <v>8.8414203103177172E-2</v>
      </c>
      <c r="K64" s="193">
        <f t="shared" si="35"/>
        <v>1</v>
      </c>
    </row>
    <row r="65" spans="1:11" x14ac:dyDescent="0.2">
      <c r="A65" s="182" t="s">
        <v>220</v>
      </c>
      <c r="B65" s="214">
        <f>SUM(B60:B64)</f>
        <v>43020</v>
      </c>
      <c r="C65" s="191">
        <f t="shared" ref="C65:K65" si="36">C41/$K41</f>
        <v>0.49158666808856827</v>
      </c>
      <c r="D65" s="191">
        <f t="shared" si="36"/>
        <v>7.7552826249414369E-2</v>
      </c>
      <c r="E65" s="191">
        <f t="shared" si="36"/>
        <v>5.3141814661310273E-2</v>
      </c>
      <c r="F65" s="191">
        <f t="shared" si="36"/>
        <v>5.6261190168197917E-2</v>
      </c>
      <c r="G65" s="191">
        <f t="shared" si="36"/>
        <v>0.11259624788797816</v>
      </c>
      <c r="H65" s="191">
        <f t="shared" si="36"/>
        <v>6.058462011300611E-2</v>
      </c>
      <c r="I65" s="191">
        <f t="shared" si="36"/>
        <v>8.6922271413222618E-2</v>
      </c>
      <c r="J65" s="191">
        <f t="shared" si="36"/>
        <v>6.13543614183025E-2</v>
      </c>
      <c r="K65" s="191">
        <f t="shared" si="36"/>
        <v>1</v>
      </c>
    </row>
    <row r="66" spans="1:11" x14ac:dyDescent="0.2">
      <c r="A66" s="182"/>
      <c r="B66" s="214"/>
      <c r="C66" s="191"/>
      <c r="D66" s="191"/>
      <c r="E66" s="191"/>
      <c r="F66" s="191"/>
      <c r="G66" s="191"/>
      <c r="H66" s="191"/>
      <c r="I66" s="191"/>
      <c r="J66" s="191"/>
      <c r="K66" s="191"/>
    </row>
    <row r="67" spans="1:11" x14ac:dyDescent="0.2">
      <c r="A67" s="182" t="s">
        <v>86</v>
      </c>
      <c r="B67" s="214">
        <f>B43</f>
        <v>10550</v>
      </c>
      <c r="C67" s="191">
        <f t="shared" ref="C67:K67" si="37">C43/$K43</f>
        <v>0.55665913000298839</v>
      </c>
      <c r="D67" s="191">
        <f t="shared" si="37"/>
        <v>5.8179695094870275E-2</v>
      </c>
      <c r="E67" s="191">
        <f t="shared" si="37"/>
        <v>4.4484595142059491E-2</v>
      </c>
      <c r="F67" s="191">
        <f t="shared" si="37"/>
        <v>5.6689567932994595E-2</v>
      </c>
      <c r="G67" s="191">
        <f t="shared" si="37"/>
        <v>9.875933712114765E-2</v>
      </c>
      <c r="H67" s="191">
        <f t="shared" si="37"/>
        <v>5.9266083703092311E-2</v>
      </c>
      <c r="I67" s="191">
        <f t="shared" si="37"/>
        <v>7.3831843319354912E-2</v>
      </c>
      <c r="J67" s="191">
        <f t="shared" si="37"/>
        <v>5.2129747683492191E-2</v>
      </c>
      <c r="K67" s="191">
        <f t="shared" si="37"/>
        <v>1</v>
      </c>
    </row>
    <row r="68" spans="1:11" x14ac:dyDescent="0.2">
      <c r="A68" s="182" t="s">
        <v>87</v>
      </c>
      <c r="B68" s="220">
        <f>B44</f>
        <v>6971</v>
      </c>
      <c r="C68" s="193">
        <f t="shared" ref="C68:K68" si="38">C44/$K44</f>
        <v>0.50499298878949339</v>
      </c>
      <c r="D68" s="193">
        <f t="shared" si="38"/>
        <v>4.3256931831183287E-2</v>
      </c>
      <c r="E68" s="193">
        <f t="shared" si="38"/>
        <v>9.1803464234974083E-2</v>
      </c>
      <c r="F68" s="193">
        <f t="shared" si="38"/>
        <v>3.485426042005358E-2</v>
      </c>
      <c r="G68" s="193">
        <f t="shared" si="38"/>
        <v>0.12178128691548448</v>
      </c>
      <c r="H68" s="193">
        <f t="shared" si="38"/>
        <v>8.0281789266029774E-2</v>
      </c>
      <c r="I68" s="193">
        <f t="shared" si="38"/>
        <v>8.4077538062322182E-2</v>
      </c>
      <c r="J68" s="193">
        <f t="shared" si="38"/>
        <v>3.8951740480459136E-2</v>
      </c>
      <c r="K68" s="193">
        <f t="shared" si="38"/>
        <v>1</v>
      </c>
    </row>
    <row r="69" spans="1:11" x14ac:dyDescent="0.2">
      <c r="A69" s="182" t="s">
        <v>221</v>
      </c>
      <c r="B69" s="214">
        <f>SUM(B67:B68)</f>
        <v>17521</v>
      </c>
      <c r="C69" s="191">
        <f t="shared" ref="C69:K69" si="39">C45/$K45</f>
        <v>0.53099220583113549</v>
      </c>
      <c r="D69" s="191">
        <f t="shared" si="39"/>
        <v>5.0766301639747623E-2</v>
      </c>
      <c r="E69" s="191">
        <f t="shared" si="39"/>
        <v>6.799186308155955E-2</v>
      </c>
      <c r="F69" s="191">
        <f t="shared" si="39"/>
        <v>4.584213150673095E-2</v>
      </c>
      <c r="G69" s="191">
        <f t="shared" si="39"/>
        <v>0.11019627871927702</v>
      </c>
      <c r="H69" s="191">
        <f t="shared" si="39"/>
        <v>6.9706354805843293E-2</v>
      </c>
      <c r="I69" s="191">
        <f t="shared" si="39"/>
        <v>7.8921742891475563E-2</v>
      </c>
      <c r="J69" s="191">
        <f t="shared" si="39"/>
        <v>4.5583121524230392E-2</v>
      </c>
      <c r="K69" s="191">
        <f t="shared" si="39"/>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150157</v>
      </c>
      <c r="C71" s="195">
        <f t="shared" ref="C71:K71" si="40">C47/$K47</f>
        <v>0.53579073425564661</v>
      </c>
      <c r="D71" s="195">
        <f t="shared" si="40"/>
        <v>8.2936006921676714E-2</v>
      </c>
      <c r="E71" s="195">
        <f t="shared" si="40"/>
        <v>5.1012006511756733E-2</v>
      </c>
      <c r="F71" s="195">
        <f t="shared" si="40"/>
        <v>5.2456077638445391E-2</v>
      </c>
      <c r="G71" s="195">
        <f t="shared" si="40"/>
        <v>0.10189781989905103</v>
      </c>
      <c r="H71" s="195">
        <f t="shared" si="40"/>
        <v>5.4473908662745964E-2</v>
      </c>
      <c r="I71" s="195">
        <f t="shared" si="40"/>
        <v>6.3203512337179066E-2</v>
      </c>
      <c r="J71" s="195">
        <f t="shared" si="40"/>
        <v>5.8229933773498659E-2</v>
      </c>
      <c r="K71" s="195">
        <f t="shared" si="40"/>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honeticPr fontId="7"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43"/>
  <dimension ref="A1:K75"/>
  <sheetViews>
    <sheetView zoomScaleNormal="100" workbookViewId="0">
      <selection activeCell="X26" sqref="X26"/>
    </sheetView>
  </sheetViews>
  <sheetFormatPr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s>
  <sheetData>
    <row r="1" spans="1:11" x14ac:dyDescent="0.2">
      <c r="A1" s="36" t="s">
        <v>247</v>
      </c>
      <c r="B1" s="22"/>
      <c r="C1" s="22"/>
      <c r="D1" s="22"/>
      <c r="E1" s="22"/>
      <c r="F1" s="22"/>
      <c r="G1" s="22"/>
      <c r="H1" s="22"/>
      <c r="I1" s="22"/>
      <c r="J1" s="22"/>
      <c r="K1" s="22"/>
    </row>
    <row r="2" spans="1:11" x14ac:dyDescent="0.2">
      <c r="A2" s="22" t="s">
        <v>32</v>
      </c>
      <c r="B2" s="22"/>
      <c r="C2" s="22"/>
      <c r="D2" s="22"/>
      <c r="E2" s="22"/>
      <c r="F2" s="22"/>
      <c r="G2" s="22"/>
      <c r="H2" s="22"/>
      <c r="I2" s="22"/>
      <c r="J2" s="22"/>
      <c r="K2" s="22"/>
    </row>
    <row r="3" spans="1:11" ht="33.75" x14ac:dyDescent="0.2">
      <c r="A3" s="21" t="s">
        <v>245</v>
      </c>
      <c r="B3" s="12" t="s">
        <v>583</v>
      </c>
      <c r="C3" s="12" t="s">
        <v>33</v>
      </c>
      <c r="D3" s="12" t="s">
        <v>34</v>
      </c>
      <c r="E3" s="12" t="s">
        <v>35</v>
      </c>
      <c r="F3" s="12" t="s">
        <v>36</v>
      </c>
      <c r="G3" s="12" t="s">
        <v>37</v>
      </c>
      <c r="H3" s="12" t="s">
        <v>38</v>
      </c>
      <c r="I3" s="12" t="s">
        <v>39</v>
      </c>
      <c r="J3" s="12" t="s">
        <v>40</v>
      </c>
      <c r="K3" s="12" t="s">
        <v>41</v>
      </c>
    </row>
    <row r="4" spans="1:11" x14ac:dyDescent="0.2">
      <c r="A4" s="33" t="s">
        <v>102</v>
      </c>
      <c r="B4" s="212">
        <v>35547</v>
      </c>
      <c r="C4" s="227">
        <v>166864321.16</v>
      </c>
      <c r="D4" s="227">
        <v>32518714.649999999</v>
      </c>
      <c r="E4" s="227">
        <v>8456085.1300000008</v>
      </c>
      <c r="F4" s="227">
        <v>16435430.15</v>
      </c>
      <c r="G4" s="227">
        <v>24459972.91</v>
      </c>
      <c r="H4" s="227">
        <v>11963694.48</v>
      </c>
      <c r="I4" s="227">
        <v>9230714.5899999999</v>
      </c>
      <c r="J4" s="227">
        <v>11582311.1</v>
      </c>
      <c r="K4" s="208">
        <v>281511244.17000002</v>
      </c>
    </row>
    <row r="5" spans="1:11" x14ac:dyDescent="0.2">
      <c r="A5" s="33" t="s">
        <v>76</v>
      </c>
      <c r="B5" s="212">
        <v>17831</v>
      </c>
      <c r="C5" s="227">
        <v>87103002.790000007</v>
      </c>
      <c r="D5" s="227">
        <v>17647520.109999999</v>
      </c>
      <c r="E5" s="227">
        <v>5836422.6200000001</v>
      </c>
      <c r="F5" s="227">
        <v>9310654.5600000005</v>
      </c>
      <c r="G5" s="227">
        <v>14696042.220000001</v>
      </c>
      <c r="H5" s="227">
        <v>7156051.6900000004</v>
      </c>
      <c r="I5" s="227">
        <v>7425430.9800000004</v>
      </c>
      <c r="J5" s="227">
        <v>7923394.04</v>
      </c>
      <c r="K5" s="208">
        <v>157098519.00999999</v>
      </c>
    </row>
    <row r="6" spans="1:11" x14ac:dyDescent="0.2">
      <c r="A6" s="33" t="s">
        <v>77</v>
      </c>
      <c r="B6" s="212">
        <v>10574</v>
      </c>
      <c r="C6" s="227">
        <v>57108933.25</v>
      </c>
      <c r="D6" s="227">
        <v>9083446.2799999993</v>
      </c>
      <c r="E6" s="227">
        <v>4889024.8</v>
      </c>
      <c r="F6" s="227">
        <v>5410420.2999999998</v>
      </c>
      <c r="G6" s="227">
        <v>8594394.75</v>
      </c>
      <c r="H6" s="227">
        <v>4329542.28</v>
      </c>
      <c r="I6" s="227">
        <v>4754765.13</v>
      </c>
      <c r="J6" s="227">
        <v>2928406.17</v>
      </c>
      <c r="K6" s="208">
        <v>97098932.959999993</v>
      </c>
    </row>
    <row r="7" spans="1:11" x14ac:dyDescent="0.2">
      <c r="A7" s="33" t="s">
        <v>78</v>
      </c>
      <c r="B7" s="212">
        <v>15113</v>
      </c>
      <c r="C7" s="227">
        <v>77358800.5</v>
      </c>
      <c r="D7" s="227">
        <v>8468905.0500000007</v>
      </c>
      <c r="E7" s="227">
        <v>9566491.2599999998</v>
      </c>
      <c r="F7" s="227">
        <v>5485007.71</v>
      </c>
      <c r="G7" s="227">
        <v>13387889.07</v>
      </c>
      <c r="H7" s="227">
        <v>6458803.1399999997</v>
      </c>
      <c r="I7" s="227">
        <v>9383712.4900000002</v>
      </c>
      <c r="J7" s="227">
        <v>6766883.3399999999</v>
      </c>
      <c r="K7" s="208">
        <v>136876492.56</v>
      </c>
    </row>
    <row r="8" spans="1:11" x14ac:dyDescent="0.2">
      <c r="A8" s="33" t="s">
        <v>79</v>
      </c>
      <c r="B8" s="212">
        <v>5509</v>
      </c>
      <c r="C8" s="227">
        <v>31530581.52</v>
      </c>
      <c r="D8" s="227">
        <v>2049641.12</v>
      </c>
      <c r="E8" s="227">
        <v>5045493.59</v>
      </c>
      <c r="F8" s="227">
        <v>2263005.0699999998</v>
      </c>
      <c r="G8" s="227">
        <v>6023334.9699999997</v>
      </c>
      <c r="H8" s="227">
        <v>4344282.32</v>
      </c>
      <c r="I8" s="227">
        <v>3990871.12</v>
      </c>
      <c r="J8" s="227">
        <v>3108592.37</v>
      </c>
      <c r="K8" s="208">
        <v>58355802.079999998</v>
      </c>
    </row>
    <row r="9" spans="1:11" x14ac:dyDescent="0.2">
      <c r="A9" s="33" t="s">
        <v>80</v>
      </c>
      <c r="B9" s="209">
        <v>1723</v>
      </c>
      <c r="C9" s="228">
        <v>9851495.6400000006</v>
      </c>
      <c r="D9" s="228">
        <v>443572.84</v>
      </c>
      <c r="E9" s="228">
        <v>1583427.9</v>
      </c>
      <c r="F9" s="228">
        <v>229616.12</v>
      </c>
      <c r="G9" s="228">
        <v>2005630.42</v>
      </c>
      <c r="H9" s="228">
        <v>1269065.33</v>
      </c>
      <c r="I9" s="228">
        <v>631423.94999999995</v>
      </c>
      <c r="J9" s="228">
        <v>225534.66</v>
      </c>
      <c r="K9" s="209">
        <v>16239766.859999999</v>
      </c>
    </row>
    <row r="10" spans="1:11" x14ac:dyDescent="0.2">
      <c r="A10" s="182" t="s">
        <v>103</v>
      </c>
      <c r="B10" s="212">
        <f>SUM(B4:B9)</f>
        <v>86297</v>
      </c>
      <c r="C10" s="214">
        <f t="shared" ref="C10:K10" si="0">SUM(C4:C9)</f>
        <v>429817134.85999995</v>
      </c>
      <c r="D10" s="214">
        <f t="shared" si="0"/>
        <v>70211800.050000012</v>
      </c>
      <c r="E10" s="214">
        <f t="shared" si="0"/>
        <v>35376945.300000004</v>
      </c>
      <c r="F10" s="214">
        <f t="shared" si="0"/>
        <v>39134133.909999996</v>
      </c>
      <c r="G10" s="214">
        <f t="shared" si="0"/>
        <v>69167264.340000004</v>
      </c>
      <c r="H10" s="214">
        <f t="shared" si="0"/>
        <v>35521439.240000002</v>
      </c>
      <c r="I10" s="214">
        <f t="shared" si="0"/>
        <v>35416918.259999998</v>
      </c>
      <c r="J10" s="214">
        <f t="shared" si="0"/>
        <v>32535121.680000003</v>
      </c>
      <c r="K10" s="214">
        <f t="shared" si="0"/>
        <v>747180757.6400001</v>
      </c>
    </row>
    <row r="11" spans="1:11" x14ac:dyDescent="0.2">
      <c r="A11" s="33"/>
      <c r="B11" s="212"/>
      <c r="C11" s="214"/>
      <c r="D11" s="214"/>
      <c r="E11" s="214"/>
      <c r="F11" s="214"/>
      <c r="G11" s="214"/>
      <c r="H11" s="214"/>
      <c r="I11" s="214"/>
      <c r="J11" s="214"/>
      <c r="K11" s="182"/>
    </row>
    <row r="12" spans="1:11" x14ac:dyDescent="0.2">
      <c r="A12" s="33" t="s">
        <v>81</v>
      </c>
      <c r="B12" s="212">
        <v>22695</v>
      </c>
      <c r="C12" s="227">
        <v>105416909.92</v>
      </c>
      <c r="D12" s="227">
        <v>17861234.68</v>
      </c>
      <c r="E12" s="227">
        <v>8475273.8699999992</v>
      </c>
      <c r="F12" s="227">
        <v>10823297.869999999</v>
      </c>
      <c r="G12" s="227">
        <v>17696840.699999999</v>
      </c>
      <c r="H12" s="227">
        <v>7178460.0199999996</v>
      </c>
      <c r="I12" s="227">
        <v>14691597.15</v>
      </c>
      <c r="J12" s="227">
        <v>10799262.18</v>
      </c>
      <c r="K12" s="208">
        <v>192942876.39000002</v>
      </c>
    </row>
    <row r="13" spans="1:11" x14ac:dyDescent="0.2">
      <c r="A13" s="33" t="s">
        <v>82</v>
      </c>
      <c r="B13" s="212">
        <v>9003</v>
      </c>
      <c r="C13" s="227">
        <v>38504666.140000001</v>
      </c>
      <c r="D13" s="227">
        <v>6699960.4900000002</v>
      </c>
      <c r="E13" s="227">
        <v>3729057.45</v>
      </c>
      <c r="F13" s="227">
        <v>5535725.9100000001</v>
      </c>
      <c r="G13" s="227">
        <v>9364051.0099999998</v>
      </c>
      <c r="H13" s="227">
        <v>4522290.53</v>
      </c>
      <c r="I13" s="227">
        <v>6969169.75</v>
      </c>
      <c r="J13" s="227">
        <v>5540946.1399999997</v>
      </c>
      <c r="K13" s="208">
        <v>80865867.420000002</v>
      </c>
    </row>
    <row r="14" spans="1:11" x14ac:dyDescent="0.2">
      <c r="A14" s="33" t="s">
        <v>83</v>
      </c>
      <c r="B14" s="212">
        <v>4976</v>
      </c>
      <c r="C14" s="227">
        <v>23653549.52</v>
      </c>
      <c r="D14" s="227">
        <v>3564998.15</v>
      </c>
      <c r="E14" s="227">
        <v>3044803.74</v>
      </c>
      <c r="F14" s="227">
        <v>2916614.85</v>
      </c>
      <c r="G14" s="227">
        <v>5973560.6299999999</v>
      </c>
      <c r="H14" s="227">
        <v>3966647.66</v>
      </c>
      <c r="I14" s="227">
        <v>5063184.5</v>
      </c>
      <c r="J14" s="227">
        <v>2161561.14</v>
      </c>
      <c r="K14" s="208">
        <v>50344920.189999998</v>
      </c>
    </row>
    <row r="15" spans="1:11" x14ac:dyDescent="0.2">
      <c r="A15" s="33" t="s">
        <v>84</v>
      </c>
      <c r="B15" s="212">
        <v>5244</v>
      </c>
      <c r="C15" s="227">
        <v>28345533.649999999</v>
      </c>
      <c r="D15" s="227">
        <v>3108381.58</v>
      </c>
      <c r="E15" s="227">
        <v>4909178.75</v>
      </c>
      <c r="F15" s="227">
        <v>3139432.31</v>
      </c>
      <c r="G15" s="227">
        <v>8858168.1699999999</v>
      </c>
      <c r="H15" s="227">
        <v>5417882.1900000004</v>
      </c>
      <c r="I15" s="227">
        <v>5991740.25</v>
      </c>
      <c r="J15" s="227">
        <v>3226990.34</v>
      </c>
      <c r="K15" s="208">
        <v>62997307.239999995</v>
      </c>
    </row>
    <row r="16" spans="1:11" x14ac:dyDescent="0.2">
      <c r="A16" s="33" t="s">
        <v>85</v>
      </c>
      <c r="B16" s="209">
        <v>1341</v>
      </c>
      <c r="C16" s="228">
        <v>10280247.779999999</v>
      </c>
      <c r="D16" s="228">
        <v>698152.87</v>
      </c>
      <c r="E16" s="228">
        <v>2770810.15</v>
      </c>
      <c r="F16" s="228">
        <v>563169.68999999994</v>
      </c>
      <c r="G16" s="228">
        <v>3291719.81</v>
      </c>
      <c r="H16" s="228">
        <v>2037729.64</v>
      </c>
      <c r="I16" s="228">
        <v>2282295.2000000002</v>
      </c>
      <c r="J16" s="228">
        <v>1666668.38</v>
      </c>
      <c r="K16" s="209">
        <v>23590793.519999996</v>
      </c>
    </row>
    <row r="17" spans="1:11" x14ac:dyDescent="0.2">
      <c r="A17" s="182" t="s">
        <v>104</v>
      </c>
      <c r="B17" s="212">
        <f>SUM(B12:B16)</f>
        <v>43259</v>
      </c>
      <c r="C17" s="214">
        <f t="shared" ref="C17:K17" si="1">SUM(C12:C16)</f>
        <v>206200907.01000002</v>
      </c>
      <c r="D17" s="214">
        <f t="shared" si="1"/>
        <v>31932727.77</v>
      </c>
      <c r="E17" s="214">
        <f t="shared" si="1"/>
        <v>22929123.960000001</v>
      </c>
      <c r="F17" s="214">
        <f t="shared" si="1"/>
        <v>22978240.629999999</v>
      </c>
      <c r="G17" s="214">
        <f t="shared" si="1"/>
        <v>45184340.32</v>
      </c>
      <c r="H17" s="214">
        <f t="shared" si="1"/>
        <v>23123010.040000003</v>
      </c>
      <c r="I17" s="214">
        <f t="shared" si="1"/>
        <v>34997986.850000001</v>
      </c>
      <c r="J17" s="214">
        <f t="shared" si="1"/>
        <v>23395428.18</v>
      </c>
      <c r="K17" s="214">
        <f t="shared" si="1"/>
        <v>410741764.75999999</v>
      </c>
    </row>
    <row r="18" spans="1:11" x14ac:dyDescent="0.2">
      <c r="A18" s="33"/>
      <c r="B18" s="212"/>
      <c r="C18" s="214"/>
      <c r="D18" s="214"/>
      <c r="E18" s="214"/>
      <c r="F18" s="214"/>
      <c r="G18" s="214"/>
      <c r="H18" s="214"/>
      <c r="I18" s="214"/>
      <c r="J18" s="214"/>
      <c r="K18" s="182"/>
    </row>
    <row r="19" spans="1:11" x14ac:dyDescent="0.2">
      <c r="A19" s="33" t="s">
        <v>86</v>
      </c>
      <c r="B19" s="212">
        <v>10509</v>
      </c>
      <c r="C19" s="227">
        <v>47178846.93</v>
      </c>
      <c r="D19" s="227">
        <v>5324268.51</v>
      </c>
      <c r="E19" s="227">
        <v>3744553.73</v>
      </c>
      <c r="F19" s="227">
        <v>5009879.5999999996</v>
      </c>
      <c r="G19" s="227">
        <v>8253940.2999999998</v>
      </c>
      <c r="H19" s="227">
        <v>4643107.97</v>
      </c>
      <c r="I19" s="227">
        <v>6042383.4900000002</v>
      </c>
      <c r="J19" s="227">
        <v>4065437.62</v>
      </c>
      <c r="K19" s="208">
        <v>84262418.149999991</v>
      </c>
    </row>
    <row r="20" spans="1:11" x14ac:dyDescent="0.2">
      <c r="A20" s="33" t="s">
        <v>87</v>
      </c>
      <c r="B20" s="209">
        <v>6954</v>
      </c>
      <c r="C20" s="228">
        <v>43903737.960000001</v>
      </c>
      <c r="D20" s="228">
        <v>3966770.33</v>
      </c>
      <c r="E20" s="228">
        <v>7592030.96</v>
      </c>
      <c r="F20" s="228">
        <v>2920338.22</v>
      </c>
      <c r="G20" s="228">
        <v>10182879.949999999</v>
      </c>
      <c r="H20" s="228">
        <v>6362042.1699999999</v>
      </c>
      <c r="I20" s="228">
        <v>7167148.7199999997</v>
      </c>
      <c r="J20" s="228">
        <v>3512320.99</v>
      </c>
      <c r="K20" s="209">
        <v>85607269.299999997</v>
      </c>
    </row>
    <row r="21" spans="1:11" x14ac:dyDescent="0.2">
      <c r="A21" s="182" t="s">
        <v>105</v>
      </c>
      <c r="B21" s="212">
        <f>SUM(B19:B20)</f>
        <v>17463</v>
      </c>
      <c r="C21" s="214">
        <f t="shared" ref="C21:K21" si="2">SUM(C19:C20)</f>
        <v>91082584.890000001</v>
      </c>
      <c r="D21" s="214">
        <f t="shared" si="2"/>
        <v>9291038.8399999999</v>
      </c>
      <c r="E21" s="214">
        <f t="shared" si="2"/>
        <v>11336584.689999999</v>
      </c>
      <c r="F21" s="214">
        <f t="shared" si="2"/>
        <v>7930217.8200000003</v>
      </c>
      <c r="G21" s="214">
        <f t="shared" si="2"/>
        <v>18436820.25</v>
      </c>
      <c r="H21" s="214">
        <f t="shared" si="2"/>
        <v>11005150.140000001</v>
      </c>
      <c r="I21" s="214">
        <f t="shared" si="2"/>
        <v>13209532.210000001</v>
      </c>
      <c r="J21" s="214">
        <f t="shared" si="2"/>
        <v>7577758.6100000003</v>
      </c>
      <c r="K21" s="214">
        <f t="shared" si="2"/>
        <v>169869687.44999999</v>
      </c>
    </row>
    <row r="22" spans="1:11" x14ac:dyDescent="0.2">
      <c r="A22" s="33"/>
      <c r="B22" s="214"/>
      <c r="C22" s="214"/>
      <c r="D22" s="214"/>
      <c r="E22" s="214"/>
      <c r="F22" s="214"/>
      <c r="G22" s="214"/>
      <c r="H22" s="214"/>
      <c r="I22" s="214"/>
      <c r="J22" s="214"/>
      <c r="K22" s="214"/>
    </row>
    <row r="23" spans="1:11" ht="13.5" thickBot="1" x14ac:dyDescent="0.25">
      <c r="A23" s="182" t="s">
        <v>209</v>
      </c>
      <c r="B23" s="222">
        <f>B21+B17+B10</f>
        <v>147019</v>
      </c>
      <c r="C23" s="222">
        <f t="shared" ref="C23:K23" si="3">C21+C17+C10</f>
        <v>727100626.75999999</v>
      </c>
      <c r="D23" s="222">
        <f t="shared" si="3"/>
        <v>111435566.66000001</v>
      </c>
      <c r="E23" s="222">
        <f t="shared" si="3"/>
        <v>69642653.950000003</v>
      </c>
      <c r="F23" s="222">
        <f t="shared" si="3"/>
        <v>70042592.359999999</v>
      </c>
      <c r="G23" s="222">
        <f t="shared" si="3"/>
        <v>132788424.91</v>
      </c>
      <c r="H23" s="222">
        <f t="shared" si="3"/>
        <v>69649599.420000017</v>
      </c>
      <c r="I23" s="222">
        <f t="shared" si="3"/>
        <v>83624437.319999993</v>
      </c>
      <c r="J23" s="222">
        <f t="shared" si="3"/>
        <v>63508308.469999999</v>
      </c>
      <c r="K23" s="222">
        <f t="shared" si="3"/>
        <v>1327792209.8500001</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43</v>
      </c>
      <c r="B26" s="22"/>
      <c r="C26" s="22"/>
      <c r="D26" s="22"/>
      <c r="E26" s="22"/>
      <c r="F26" s="22"/>
      <c r="G26" s="22"/>
      <c r="H26" s="22"/>
      <c r="I26" s="22"/>
      <c r="J26" s="22"/>
      <c r="K26" s="22"/>
    </row>
    <row r="27" spans="1:11" ht="33.75" x14ac:dyDescent="0.2">
      <c r="A27" s="21" t="s">
        <v>245</v>
      </c>
      <c r="B27" s="12" t="s">
        <v>583</v>
      </c>
      <c r="C27" s="12" t="s">
        <v>33</v>
      </c>
      <c r="D27" s="12" t="s">
        <v>34</v>
      </c>
      <c r="E27" s="12" t="s">
        <v>35</v>
      </c>
      <c r="F27" s="12" t="s">
        <v>36</v>
      </c>
      <c r="G27" s="12" t="s">
        <v>37</v>
      </c>
      <c r="H27" s="12" t="s">
        <v>38</v>
      </c>
      <c r="I27" s="12" t="s">
        <v>39</v>
      </c>
      <c r="J27" s="12" t="s">
        <v>40</v>
      </c>
      <c r="K27" s="12" t="s">
        <v>41</v>
      </c>
    </row>
    <row r="28" spans="1:11" x14ac:dyDescent="0.2">
      <c r="A28" s="182" t="s">
        <v>102</v>
      </c>
      <c r="B28" s="214">
        <f t="shared" ref="B28:B33" si="4">B4</f>
        <v>35547</v>
      </c>
      <c r="C28" s="182">
        <f>C4/$B28</f>
        <v>4694.1885717500772</v>
      </c>
      <c r="D28" s="182">
        <f t="shared" ref="D28:K28" si="5">D4/$B28</f>
        <v>914.80897544096547</v>
      </c>
      <c r="E28" s="182">
        <f t="shared" si="5"/>
        <v>237.88463527161227</v>
      </c>
      <c r="F28" s="182">
        <f t="shared" si="5"/>
        <v>462.35772779700119</v>
      </c>
      <c r="G28" s="182">
        <f t="shared" si="5"/>
        <v>688.10231271274654</v>
      </c>
      <c r="H28" s="182">
        <f t="shared" si="5"/>
        <v>336.55989197400623</v>
      </c>
      <c r="I28" s="182">
        <f t="shared" si="5"/>
        <v>259.67633246124848</v>
      </c>
      <c r="J28" s="182">
        <f t="shared" si="5"/>
        <v>325.83090274847382</v>
      </c>
      <c r="K28" s="182">
        <f t="shared" si="5"/>
        <v>7919.4093501561319</v>
      </c>
    </row>
    <row r="29" spans="1:11" x14ac:dyDescent="0.2">
      <c r="A29" s="182" t="s">
        <v>76</v>
      </c>
      <c r="B29" s="214">
        <f t="shared" si="4"/>
        <v>17831</v>
      </c>
      <c r="C29" s="182">
        <f t="shared" ref="C29:K33" si="6">C5/$B29</f>
        <v>4884.9196786495431</v>
      </c>
      <c r="D29" s="182">
        <f t="shared" si="6"/>
        <v>989.71006169031455</v>
      </c>
      <c r="E29" s="182">
        <f t="shared" si="6"/>
        <v>327.31886153328475</v>
      </c>
      <c r="F29" s="182">
        <f t="shared" si="6"/>
        <v>522.16109920924237</v>
      </c>
      <c r="G29" s="182">
        <f t="shared" si="6"/>
        <v>824.18497111771637</v>
      </c>
      <c r="H29" s="182">
        <f t="shared" si="6"/>
        <v>401.32643654309913</v>
      </c>
      <c r="I29" s="182">
        <f t="shared" si="6"/>
        <v>416.4337939543492</v>
      </c>
      <c r="J29" s="182">
        <f t="shared" si="6"/>
        <v>444.36061017329371</v>
      </c>
      <c r="K29" s="182">
        <f t="shared" si="6"/>
        <v>8810.4155128708426</v>
      </c>
    </row>
    <row r="30" spans="1:11" x14ac:dyDescent="0.2">
      <c r="A30" s="182" t="s">
        <v>77</v>
      </c>
      <c r="B30" s="214">
        <f t="shared" si="4"/>
        <v>10574</v>
      </c>
      <c r="C30" s="182">
        <f t="shared" si="6"/>
        <v>5400.8826602988465</v>
      </c>
      <c r="D30" s="182">
        <f t="shared" si="6"/>
        <v>859.03596368450906</v>
      </c>
      <c r="E30" s="182">
        <f t="shared" si="6"/>
        <v>462.36285227917534</v>
      </c>
      <c r="F30" s="182">
        <f t="shared" si="6"/>
        <v>511.67205409494989</v>
      </c>
      <c r="G30" s="182">
        <f t="shared" si="6"/>
        <v>812.78558256099871</v>
      </c>
      <c r="H30" s="182">
        <f t="shared" si="6"/>
        <v>409.45170039720068</v>
      </c>
      <c r="I30" s="182">
        <f t="shared" si="6"/>
        <v>449.66570172120294</v>
      </c>
      <c r="J30" s="182">
        <f t="shared" si="6"/>
        <v>276.94402969547946</v>
      </c>
      <c r="K30" s="182">
        <f t="shared" si="6"/>
        <v>9182.8005447323612</v>
      </c>
    </row>
    <row r="31" spans="1:11" x14ac:dyDescent="0.2">
      <c r="A31" s="182" t="s">
        <v>78</v>
      </c>
      <c r="B31" s="214">
        <f t="shared" si="4"/>
        <v>15113</v>
      </c>
      <c r="C31" s="182">
        <f t="shared" si="6"/>
        <v>5118.6925494607294</v>
      </c>
      <c r="D31" s="182">
        <f t="shared" si="6"/>
        <v>560.37219943095351</v>
      </c>
      <c r="E31" s="182">
        <f t="shared" si="6"/>
        <v>632.99750281214847</v>
      </c>
      <c r="F31" s="182">
        <f t="shared" si="6"/>
        <v>362.93308476146365</v>
      </c>
      <c r="G31" s="182">
        <f t="shared" si="6"/>
        <v>885.85251571494746</v>
      </c>
      <c r="H31" s="182">
        <f t="shared" si="6"/>
        <v>427.36737510752329</v>
      </c>
      <c r="I31" s="182">
        <f t="shared" si="6"/>
        <v>620.9033606828558</v>
      </c>
      <c r="J31" s="182">
        <f t="shared" si="6"/>
        <v>447.75248726262157</v>
      </c>
      <c r="K31" s="182">
        <f t="shared" si="6"/>
        <v>9056.8710752332427</v>
      </c>
    </row>
    <row r="32" spans="1:11" x14ac:dyDescent="0.2">
      <c r="A32" s="182" t="s">
        <v>79</v>
      </c>
      <c r="B32" s="214">
        <f t="shared" si="4"/>
        <v>5509</v>
      </c>
      <c r="C32" s="182">
        <f t="shared" si="6"/>
        <v>5723.467329823924</v>
      </c>
      <c r="D32" s="182">
        <f t="shared" si="6"/>
        <v>372.05320747867131</v>
      </c>
      <c r="E32" s="182">
        <f t="shared" si="6"/>
        <v>915.86378471591934</v>
      </c>
      <c r="F32" s="182">
        <f t="shared" si="6"/>
        <v>410.7832764567072</v>
      </c>
      <c r="G32" s="182">
        <f t="shared" si="6"/>
        <v>1093.3626738064984</v>
      </c>
      <c r="H32" s="182">
        <f t="shared" si="6"/>
        <v>788.57911054637873</v>
      </c>
      <c r="I32" s="182">
        <f t="shared" si="6"/>
        <v>724.4275040842258</v>
      </c>
      <c r="J32" s="182">
        <f t="shared" si="6"/>
        <v>564.2752532220004</v>
      </c>
      <c r="K32" s="182">
        <f t="shared" si="6"/>
        <v>10592.812140134325</v>
      </c>
    </row>
    <row r="33" spans="1:11" x14ac:dyDescent="0.2">
      <c r="A33" s="182" t="s">
        <v>80</v>
      </c>
      <c r="B33" s="220">
        <f t="shared" si="4"/>
        <v>1723</v>
      </c>
      <c r="C33" s="183">
        <f t="shared" si="6"/>
        <v>5717.6411143354617</v>
      </c>
      <c r="D33" s="183">
        <f t="shared" si="6"/>
        <v>257.44215902495648</v>
      </c>
      <c r="E33" s="183">
        <f t="shared" si="6"/>
        <v>918.99471851421936</v>
      </c>
      <c r="F33" s="183">
        <f t="shared" si="6"/>
        <v>133.26530470110274</v>
      </c>
      <c r="G33" s="183">
        <f t="shared" si="6"/>
        <v>1164.0339059779453</v>
      </c>
      <c r="H33" s="183">
        <f t="shared" si="6"/>
        <v>736.54401044689496</v>
      </c>
      <c r="I33" s="183">
        <f t="shared" si="6"/>
        <v>366.46775972141609</v>
      </c>
      <c r="J33" s="183">
        <f t="shared" si="6"/>
        <v>130.89649448636101</v>
      </c>
      <c r="K33" s="183">
        <f t="shared" si="6"/>
        <v>9425.2854672083577</v>
      </c>
    </row>
    <row r="34" spans="1:11" x14ac:dyDescent="0.2">
      <c r="A34" s="182" t="s">
        <v>219</v>
      </c>
      <c r="B34" s="214">
        <f>SUM(B28:B33)</f>
        <v>86297</v>
      </c>
      <c r="C34" s="182">
        <f>C10/$B34</f>
        <v>4980.6729649929885</v>
      </c>
      <c r="D34" s="182">
        <f t="shared" ref="D34:K34" si="7">D10/$B34</f>
        <v>813.60649906717515</v>
      </c>
      <c r="E34" s="182">
        <f t="shared" si="7"/>
        <v>409.94409191513034</v>
      </c>
      <c r="F34" s="182">
        <f t="shared" si="7"/>
        <v>453.48197399677855</v>
      </c>
      <c r="G34" s="182">
        <f t="shared" si="7"/>
        <v>801.50253589348415</v>
      </c>
      <c r="H34" s="182">
        <f t="shared" si="7"/>
        <v>411.6184715575281</v>
      </c>
      <c r="I34" s="182">
        <f t="shared" si="7"/>
        <v>410.40729411219394</v>
      </c>
      <c r="J34" s="182">
        <f t="shared" si="7"/>
        <v>377.01335712713075</v>
      </c>
      <c r="K34" s="182">
        <f t="shared" si="7"/>
        <v>8658.2471886624116</v>
      </c>
    </row>
    <row r="35" spans="1:11" x14ac:dyDescent="0.2">
      <c r="A35" s="182"/>
      <c r="B35" s="214"/>
      <c r="C35" s="182"/>
      <c r="D35" s="182"/>
      <c r="E35" s="182"/>
      <c r="F35" s="182"/>
      <c r="G35" s="182"/>
      <c r="H35" s="182"/>
      <c r="I35" s="182"/>
      <c r="J35" s="182"/>
      <c r="K35" s="182"/>
    </row>
    <row r="36" spans="1:11" x14ac:dyDescent="0.2">
      <c r="A36" s="182" t="s">
        <v>81</v>
      </c>
      <c r="B36" s="214">
        <f>B12</f>
        <v>22695</v>
      </c>
      <c r="C36" s="182">
        <f t="shared" ref="C36:K36" si="8">C12/$B36</f>
        <v>4644.9398510685178</v>
      </c>
      <c r="D36" s="182">
        <f t="shared" si="8"/>
        <v>787.01188279356688</v>
      </c>
      <c r="E36" s="182">
        <f t="shared" si="8"/>
        <v>373.44233840052874</v>
      </c>
      <c r="F36" s="182">
        <f t="shared" si="8"/>
        <v>476.90230755673053</v>
      </c>
      <c r="G36" s="182">
        <f t="shared" si="8"/>
        <v>779.76826173165887</v>
      </c>
      <c r="H36" s="182">
        <f t="shared" si="8"/>
        <v>316.30138885217008</v>
      </c>
      <c r="I36" s="182">
        <f t="shared" si="8"/>
        <v>647.34951090548577</v>
      </c>
      <c r="J36" s="182">
        <f t="shared" si="8"/>
        <v>475.84323331130201</v>
      </c>
      <c r="K36" s="182">
        <f t="shared" si="8"/>
        <v>8501.5587746199617</v>
      </c>
    </row>
    <row r="37" spans="1:11" x14ac:dyDescent="0.2">
      <c r="A37" s="182" t="s">
        <v>82</v>
      </c>
      <c r="B37" s="214">
        <f>B13</f>
        <v>9003</v>
      </c>
      <c r="C37" s="182">
        <f t="shared" ref="C37:K37" si="9">C13/$B37</f>
        <v>4276.8706142396977</v>
      </c>
      <c r="D37" s="182">
        <f t="shared" si="9"/>
        <v>744.19199044762854</v>
      </c>
      <c r="E37" s="182">
        <f t="shared" si="9"/>
        <v>414.20164945018331</v>
      </c>
      <c r="F37" s="182">
        <f t="shared" si="9"/>
        <v>614.87569810063314</v>
      </c>
      <c r="G37" s="182">
        <f t="shared" si="9"/>
        <v>1040.1034110851938</v>
      </c>
      <c r="H37" s="182">
        <f t="shared" si="9"/>
        <v>502.30928912584699</v>
      </c>
      <c r="I37" s="182">
        <f t="shared" si="9"/>
        <v>774.09416305675882</v>
      </c>
      <c r="J37" s="182">
        <f t="shared" si="9"/>
        <v>615.45553037876255</v>
      </c>
      <c r="K37" s="182">
        <f t="shared" si="9"/>
        <v>8982.1023458847048</v>
      </c>
    </row>
    <row r="38" spans="1:11" x14ac:dyDescent="0.2">
      <c r="A38" s="182" t="s">
        <v>83</v>
      </c>
      <c r="B38" s="214">
        <f>B14</f>
        <v>4976</v>
      </c>
      <c r="C38" s="182">
        <f t="shared" ref="C38:K38" si="10">C14/$B38</f>
        <v>4753.5268327974272</v>
      </c>
      <c r="D38" s="182">
        <f t="shared" si="10"/>
        <v>716.43853496784561</v>
      </c>
      <c r="E38" s="182">
        <f t="shared" si="10"/>
        <v>611.8978577170418</v>
      </c>
      <c r="F38" s="182">
        <f t="shared" si="10"/>
        <v>586.13642483922831</v>
      </c>
      <c r="G38" s="182">
        <f t="shared" si="10"/>
        <v>1200.4744031350483</v>
      </c>
      <c r="H38" s="182">
        <f t="shared" si="10"/>
        <v>797.15588022508041</v>
      </c>
      <c r="I38" s="182">
        <f t="shared" si="10"/>
        <v>1017.5210008038586</v>
      </c>
      <c r="J38" s="182">
        <f t="shared" si="10"/>
        <v>434.39733520900324</v>
      </c>
      <c r="K38" s="182">
        <f t="shared" si="10"/>
        <v>10117.548269694533</v>
      </c>
    </row>
    <row r="39" spans="1:11" x14ac:dyDescent="0.2">
      <c r="A39" s="182" t="s">
        <v>84</v>
      </c>
      <c r="B39" s="214">
        <f>B15</f>
        <v>5244</v>
      </c>
      <c r="C39" s="182">
        <f t="shared" ref="C39:K39" si="11">C15/$B39</f>
        <v>5405.3267829900833</v>
      </c>
      <c r="D39" s="182">
        <f t="shared" si="11"/>
        <v>592.75011060259351</v>
      </c>
      <c r="E39" s="182">
        <f t="shared" si="11"/>
        <v>936.15155415713195</v>
      </c>
      <c r="F39" s="182">
        <f t="shared" si="11"/>
        <v>598.6713024408848</v>
      </c>
      <c r="G39" s="182">
        <f t="shared" si="11"/>
        <v>1689.2006426392068</v>
      </c>
      <c r="H39" s="182">
        <f t="shared" si="11"/>
        <v>1033.1583123569794</v>
      </c>
      <c r="I39" s="182">
        <f t="shared" si="11"/>
        <v>1142.5896739130435</v>
      </c>
      <c r="J39" s="182">
        <f t="shared" si="11"/>
        <v>615.36810450038138</v>
      </c>
      <c r="K39" s="182">
        <f t="shared" si="11"/>
        <v>12013.216483600305</v>
      </c>
    </row>
    <row r="40" spans="1:11" x14ac:dyDescent="0.2">
      <c r="A40" s="182" t="s">
        <v>85</v>
      </c>
      <c r="B40" s="220">
        <f>B16</f>
        <v>1341</v>
      </c>
      <c r="C40" s="183">
        <f t="shared" ref="C40:K40" si="12">C16/$B40</f>
        <v>7666.1057270693509</v>
      </c>
      <c r="D40" s="183">
        <f t="shared" si="12"/>
        <v>520.62108128262491</v>
      </c>
      <c r="E40" s="183">
        <f t="shared" si="12"/>
        <v>2066.2268083519762</v>
      </c>
      <c r="F40" s="183">
        <f t="shared" si="12"/>
        <v>419.96248322147648</v>
      </c>
      <c r="G40" s="183">
        <f t="shared" si="12"/>
        <v>2454.6754735272184</v>
      </c>
      <c r="H40" s="183">
        <f t="shared" si="12"/>
        <v>1519.5597613721102</v>
      </c>
      <c r="I40" s="183">
        <f t="shared" si="12"/>
        <v>1701.9352721849368</v>
      </c>
      <c r="J40" s="183">
        <f t="shared" si="12"/>
        <v>1242.8548695003728</v>
      </c>
      <c r="K40" s="183">
        <f t="shared" si="12"/>
        <v>17591.941476510063</v>
      </c>
    </row>
    <row r="41" spans="1:11" x14ac:dyDescent="0.2">
      <c r="A41" s="182" t="s">
        <v>220</v>
      </c>
      <c r="B41" s="214">
        <f>SUM(B36:B40)</f>
        <v>43259</v>
      </c>
      <c r="C41" s="182">
        <f t="shared" ref="C41:K41" si="13">C17/$B41</f>
        <v>4766.6591231882385</v>
      </c>
      <c r="D41" s="182">
        <f t="shared" si="13"/>
        <v>738.17535703553017</v>
      </c>
      <c r="E41" s="182">
        <f t="shared" si="13"/>
        <v>530.04285720890448</v>
      </c>
      <c r="F41" s="182">
        <f t="shared" si="13"/>
        <v>531.17826648789844</v>
      </c>
      <c r="G41" s="182">
        <f t="shared" si="13"/>
        <v>1044.5072775607389</v>
      </c>
      <c r="H41" s="182">
        <f t="shared" si="13"/>
        <v>534.52483968653928</v>
      </c>
      <c r="I41" s="182">
        <f t="shared" si="13"/>
        <v>809.03365426847597</v>
      </c>
      <c r="J41" s="182">
        <f t="shared" si="13"/>
        <v>540.82221456806678</v>
      </c>
      <c r="K41" s="182">
        <f t="shared" si="13"/>
        <v>9494.9435900043918</v>
      </c>
    </row>
    <row r="42" spans="1:11" x14ac:dyDescent="0.2">
      <c r="A42" s="182"/>
      <c r="B42" s="214"/>
      <c r="C42" s="182"/>
      <c r="D42" s="182"/>
      <c r="E42" s="182"/>
      <c r="F42" s="182"/>
      <c r="G42" s="182"/>
      <c r="H42" s="182"/>
      <c r="I42" s="182"/>
      <c r="J42" s="182"/>
      <c r="K42" s="182"/>
    </row>
    <row r="43" spans="1:11" x14ac:dyDescent="0.2">
      <c r="A43" s="182" t="s">
        <v>86</v>
      </c>
      <c r="B43" s="214">
        <f>B19</f>
        <v>10509</v>
      </c>
      <c r="C43" s="182">
        <f t="shared" ref="C43:K43" si="14">C19/$B43</f>
        <v>4489.3754810162718</v>
      </c>
      <c r="D43" s="182">
        <f t="shared" si="14"/>
        <v>506.6389294890094</v>
      </c>
      <c r="E43" s="182">
        <f t="shared" si="14"/>
        <v>356.3187486915977</v>
      </c>
      <c r="F43" s="182">
        <f t="shared" si="14"/>
        <v>476.72277095822625</v>
      </c>
      <c r="G43" s="182">
        <f t="shared" si="14"/>
        <v>785.41633837662948</v>
      </c>
      <c r="H43" s="182">
        <f t="shared" si="14"/>
        <v>441.82205442953654</v>
      </c>
      <c r="I43" s="182">
        <f t="shared" si="14"/>
        <v>574.97226091921209</v>
      </c>
      <c r="J43" s="182">
        <f t="shared" si="14"/>
        <v>386.85294699781139</v>
      </c>
      <c r="K43" s="182">
        <f t="shared" si="14"/>
        <v>8018.1195308782935</v>
      </c>
    </row>
    <row r="44" spans="1:11" x14ac:dyDescent="0.2">
      <c r="A44" s="182" t="s">
        <v>87</v>
      </c>
      <c r="B44" s="220">
        <f>B20</f>
        <v>6954</v>
      </c>
      <c r="C44" s="183">
        <f t="shared" ref="C44:K44" si="15">C20/$B44</f>
        <v>6313.4509577221743</v>
      </c>
      <c r="D44" s="183">
        <f t="shared" si="15"/>
        <v>570.4300158182341</v>
      </c>
      <c r="E44" s="183">
        <f t="shared" si="15"/>
        <v>1091.7502099511073</v>
      </c>
      <c r="F44" s="183">
        <f t="shared" si="15"/>
        <v>419.9508513085994</v>
      </c>
      <c r="G44" s="183">
        <f t="shared" si="15"/>
        <v>1464.3198087431692</v>
      </c>
      <c r="H44" s="183">
        <f t="shared" si="15"/>
        <v>914.87520419902216</v>
      </c>
      <c r="I44" s="183">
        <f t="shared" si="15"/>
        <v>1030.6512395743457</v>
      </c>
      <c r="J44" s="183">
        <f t="shared" si="15"/>
        <v>505.07923353465634</v>
      </c>
      <c r="K44" s="183">
        <f t="shared" si="15"/>
        <v>12310.507520851308</v>
      </c>
    </row>
    <row r="45" spans="1:11" x14ac:dyDescent="0.2">
      <c r="A45" s="182" t="s">
        <v>221</v>
      </c>
      <c r="B45" s="214">
        <f>SUM(B43:B44)</f>
        <v>17463</v>
      </c>
      <c r="C45" s="182">
        <f t="shared" ref="C45:K45" si="16">C21/$B45</f>
        <v>5215.7467153410071</v>
      </c>
      <c r="D45" s="182">
        <f t="shared" si="16"/>
        <v>532.04139265876427</v>
      </c>
      <c r="E45" s="182">
        <f t="shared" si="16"/>
        <v>649.1773859016206</v>
      </c>
      <c r="F45" s="182">
        <f t="shared" si="16"/>
        <v>454.11543377426563</v>
      </c>
      <c r="G45" s="182">
        <f t="shared" si="16"/>
        <v>1055.7647740937982</v>
      </c>
      <c r="H45" s="182">
        <f t="shared" si="16"/>
        <v>630.19814121285003</v>
      </c>
      <c r="I45" s="182">
        <f t="shared" si="16"/>
        <v>756.42972055202438</v>
      </c>
      <c r="J45" s="182">
        <f t="shared" si="16"/>
        <v>433.93223443852719</v>
      </c>
      <c r="K45" s="182">
        <f t="shared" si="16"/>
        <v>9727.4057979728568</v>
      </c>
    </row>
    <row r="46" spans="1:11" x14ac:dyDescent="0.2">
      <c r="A46" s="182"/>
      <c r="B46" s="214"/>
      <c r="C46" s="182"/>
      <c r="D46" s="182"/>
      <c r="E46" s="182"/>
      <c r="F46" s="182"/>
      <c r="G46" s="182"/>
      <c r="H46" s="182"/>
      <c r="I46" s="182"/>
      <c r="J46" s="182"/>
      <c r="K46" s="182"/>
    </row>
    <row r="47" spans="1:11" ht="13.5" thickBot="1" x14ac:dyDescent="0.25">
      <c r="A47" s="182" t="s">
        <v>222</v>
      </c>
      <c r="B47" s="222">
        <f>B45+B41+B34</f>
        <v>147019</v>
      </c>
      <c r="C47" s="192">
        <f t="shared" ref="C47:K47" si="17">C23/$B47</f>
        <v>4945.6235368217713</v>
      </c>
      <c r="D47" s="192">
        <f t="shared" si="17"/>
        <v>757.96711078159979</v>
      </c>
      <c r="E47" s="192">
        <f t="shared" si="17"/>
        <v>473.69832436623841</v>
      </c>
      <c r="F47" s="192">
        <f t="shared" si="17"/>
        <v>476.41864221631215</v>
      </c>
      <c r="G47" s="192">
        <f t="shared" si="17"/>
        <v>903.20587753963775</v>
      </c>
      <c r="H47" s="192">
        <f t="shared" si="17"/>
        <v>473.74556635536914</v>
      </c>
      <c r="I47" s="192">
        <f t="shared" si="17"/>
        <v>568.8002048714792</v>
      </c>
      <c r="J47" s="192">
        <f t="shared" si="17"/>
        <v>431.97347601330438</v>
      </c>
      <c r="K47" s="192">
        <f t="shared" si="17"/>
        <v>9031.4327389657137</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42</v>
      </c>
      <c r="B50" s="182"/>
      <c r="C50" s="182"/>
      <c r="D50" s="182"/>
      <c r="E50" s="182"/>
      <c r="F50" s="182"/>
      <c r="G50" s="182"/>
      <c r="H50" s="182"/>
      <c r="I50" s="182"/>
      <c r="J50" s="182"/>
      <c r="K50" s="182"/>
    </row>
    <row r="51" spans="1:11" ht="33.75" x14ac:dyDescent="0.2">
      <c r="A51" s="21" t="s">
        <v>245</v>
      </c>
      <c r="B51" s="12" t="s">
        <v>583</v>
      </c>
      <c r="C51" s="12" t="s">
        <v>33</v>
      </c>
      <c r="D51" s="12" t="s">
        <v>34</v>
      </c>
      <c r="E51" s="12" t="s">
        <v>35</v>
      </c>
      <c r="F51" s="12" t="s">
        <v>36</v>
      </c>
      <c r="G51" s="12" t="s">
        <v>37</v>
      </c>
      <c r="H51" s="12" t="s">
        <v>38</v>
      </c>
      <c r="I51" s="12" t="s">
        <v>39</v>
      </c>
      <c r="J51" s="12" t="s">
        <v>40</v>
      </c>
      <c r="K51" s="12" t="s">
        <v>41</v>
      </c>
    </row>
    <row r="52" spans="1:11" x14ac:dyDescent="0.2">
      <c r="A52" s="182" t="s">
        <v>102</v>
      </c>
      <c r="B52" s="214">
        <f t="shared" ref="B52:B57" si="18">B4</f>
        <v>35547</v>
      </c>
      <c r="C52" s="191">
        <f>C28/$K28</f>
        <v>0.59274478236909556</v>
      </c>
      <c r="D52" s="191">
        <f t="shared" ref="D52:K52" si="19">D28/$K28</f>
        <v>0.11551479851498393</v>
      </c>
      <c r="E52" s="191">
        <f t="shared" si="19"/>
        <v>3.0038178954207278E-2</v>
      </c>
      <c r="F52" s="191">
        <f t="shared" si="19"/>
        <v>5.8382855002675899E-2</v>
      </c>
      <c r="G52" s="191">
        <f t="shared" si="19"/>
        <v>8.6888084993255274E-2</v>
      </c>
      <c r="H52" s="191">
        <f t="shared" si="19"/>
        <v>4.2498105236518799E-2</v>
      </c>
      <c r="I52" s="191">
        <f t="shared" si="19"/>
        <v>3.2789861084290196E-2</v>
      </c>
      <c r="J52" s="191">
        <f t="shared" si="19"/>
        <v>4.1143333844972922E-2</v>
      </c>
      <c r="K52" s="191">
        <f t="shared" si="19"/>
        <v>1</v>
      </c>
    </row>
    <row r="53" spans="1:11" x14ac:dyDescent="0.2">
      <c r="A53" s="182" t="s">
        <v>76</v>
      </c>
      <c r="B53" s="214">
        <f t="shared" si="18"/>
        <v>17831</v>
      </c>
      <c r="C53" s="191">
        <f t="shared" ref="C53:K53" si="20">C29/$K29</f>
        <v>0.55444827448981571</v>
      </c>
      <c r="D53" s="191">
        <f t="shared" si="20"/>
        <v>0.11233409596227102</v>
      </c>
      <c r="E53" s="191">
        <f t="shared" si="20"/>
        <v>3.7151353537766239E-2</v>
      </c>
      <c r="F53" s="191">
        <f t="shared" si="20"/>
        <v>5.9266342029661891E-2</v>
      </c>
      <c r="G53" s="191">
        <f t="shared" si="20"/>
        <v>9.3546663027832461E-2</v>
      </c>
      <c r="H53" s="191">
        <f t="shared" si="20"/>
        <v>4.5551363151580614E-2</v>
      </c>
      <c r="I53" s="191">
        <f t="shared" si="20"/>
        <v>4.7266078807065903E-2</v>
      </c>
      <c r="J53" s="191">
        <f t="shared" si="20"/>
        <v>5.0435828994006254E-2</v>
      </c>
      <c r="K53" s="191">
        <f t="shared" si="20"/>
        <v>1</v>
      </c>
    </row>
    <row r="54" spans="1:11" x14ac:dyDescent="0.2">
      <c r="A54" s="182" t="s">
        <v>77</v>
      </c>
      <c r="B54" s="214">
        <f t="shared" si="18"/>
        <v>10574</v>
      </c>
      <c r="C54" s="191">
        <f t="shared" ref="C54:K54" si="21">C30/$K30</f>
        <v>0.58815201680461404</v>
      </c>
      <c r="D54" s="191">
        <f t="shared" si="21"/>
        <v>9.354836354115173E-2</v>
      </c>
      <c r="E54" s="191">
        <f t="shared" si="21"/>
        <v>5.0350963197649548E-2</v>
      </c>
      <c r="F54" s="191">
        <f t="shared" si="21"/>
        <v>5.5720697798284029E-2</v>
      </c>
      <c r="G54" s="191">
        <f t="shared" si="21"/>
        <v>8.85117321890702E-2</v>
      </c>
      <c r="H54" s="191">
        <f t="shared" si="21"/>
        <v>4.4588978972442052E-2</v>
      </c>
      <c r="I54" s="191">
        <f t="shared" si="21"/>
        <v>4.89682531522641E-2</v>
      </c>
      <c r="J54" s="191">
        <f t="shared" si="21"/>
        <v>3.0158994344524466E-2</v>
      </c>
      <c r="K54" s="191">
        <f t="shared" si="21"/>
        <v>1</v>
      </c>
    </row>
    <row r="55" spans="1:11" x14ac:dyDescent="0.2">
      <c r="A55" s="182" t="s">
        <v>78</v>
      </c>
      <c r="B55" s="214">
        <f t="shared" si="18"/>
        <v>15113</v>
      </c>
      <c r="C55" s="191">
        <f t="shared" ref="C55:K55" si="22">C31/$K31</f>
        <v>0.56517228819323861</v>
      </c>
      <c r="D55" s="191">
        <f t="shared" si="22"/>
        <v>6.1872604211330479E-2</v>
      </c>
      <c r="E55" s="191">
        <f t="shared" si="22"/>
        <v>6.9891411454793925E-2</v>
      </c>
      <c r="F55" s="191">
        <f t="shared" si="22"/>
        <v>4.007267871505138E-2</v>
      </c>
      <c r="G55" s="191">
        <f t="shared" si="22"/>
        <v>9.7809995124848781E-2</v>
      </c>
      <c r="H55" s="191">
        <f t="shared" si="22"/>
        <v>4.7187088295448355E-2</v>
      </c>
      <c r="I55" s="191">
        <f t="shared" si="22"/>
        <v>6.8556056007109012E-2</v>
      </c>
      <c r="J55" s="191">
        <f t="shared" si="22"/>
        <v>4.9437877998179468E-2</v>
      </c>
      <c r="K55" s="191">
        <f t="shared" si="22"/>
        <v>1</v>
      </c>
    </row>
    <row r="56" spans="1:11" x14ac:dyDescent="0.2">
      <c r="A56" s="182" t="s">
        <v>79</v>
      </c>
      <c r="B56" s="214">
        <f t="shared" si="18"/>
        <v>5509</v>
      </c>
      <c r="C56" s="191">
        <f t="shared" ref="C56:K56" si="23">C32/$K32</f>
        <v>0.54031613646188448</v>
      </c>
      <c r="D56" s="191">
        <f t="shared" si="23"/>
        <v>3.5123176221451745E-2</v>
      </c>
      <c r="E56" s="191">
        <f t="shared" si="23"/>
        <v>8.6460872957981619E-2</v>
      </c>
      <c r="F56" s="191">
        <f t="shared" si="23"/>
        <v>3.8779435623173257E-2</v>
      </c>
      <c r="G56" s="191">
        <f t="shared" si="23"/>
        <v>0.1032174137841959</v>
      </c>
      <c r="H56" s="191">
        <f t="shared" si="23"/>
        <v>7.4444736686926555E-2</v>
      </c>
      <c r="I56" s="191">
        <f t="shared" si="23"/>
        <v>6.8388591669580903E-2</v>
      </c>
      <c r="J56" s="191">
        <f t="shared" si="23"/>
        <v>5.3269636594805596E-2</v>
      </c>
      <c r="K56" s="191">
        <f t="shared" si="23"/>
        <v>1</v>
      </c>
    </row>
    <row r="57" spans="1:11" x14ac:dyDescent="0.2">
      <c r="A57" s="182" t="s">
        <v>80</v>
      </c>
      <c r="B57" s="220">
        <f t="shared" si="18"/>
        <v>1723</v>
      </c>
      <c r="C57" s="193">
        <f t="shared" ref="C57:K57" si="24">C33/$K33</f>
        <v>0.60662789835149156</v>
      </c>
      <c r="D57" s="193">
        <f t="shared" si="24"/>
        <v>2.7313990639395179E-2</v>
      </c>
      <c r="E57" s="193">
        <f t="shared" si="24"/>
        <v>9.7503117726408045E-2</v>
      </c>
      <c r="F57" s="193">
        <f t="shared" si="24"/>
        <v>1.4139126625368316E-2</v>
      </c>
      <c r="G57" s="193">
        <f t="shared" si="24"/>
        <v>0.12350118307055546</v>
      </c>
      <c r="H57" s="193">
        <f t="shared" si="24"/>
        <v>7.814553872234592E-2</v>
      </c>
      <c r="I57" s="193">
        <f t="shared" si="24"/>
        <v>3.8881343275638622E-2</v>
      </c>
      <c r="J57" s="193">
        <f t="shared" si="24"/>
        <v>1.3887801588796947E-2</v>
      </c>
      <c r="K57" s="193">
        <f t="shared" si="24"/>
        <v>1</v>
      </c>
    </row>
    <row r="58" spans="1:11" x14ac:dyDescent="0.2">
      <c r="A58" s="182" t="s">
        <v>219</v>
      </c>
      <c r="B58" s="214">
        <f>SUM(B52:B57)</f>
        <v>86297</v>
      </c>
      <c r="C58" s="191">
        <f t="shared" ref="C58:K58" si="25">C34/$K34</f>
        <v>0.5752518791003054</v>
      </c>
      <c r="D58" s="191">
        <f t="shared" si="25"/>
        <v>9.3968961770063184E-2</v>
      </c>
      <c r="E58" s="191">
        <f t="shared" si="25"/>
        <v>4.7347238186030753E-2</v>
      </c>
      <c r="F58" s="191">
        <f t="shared" si="25"/>
        <v>5.2375725030187746E-2</v>
      </c>
      <c r="G58" s="191">
        <f t="shared" si="25"/>
        <v>9.2570992537960334E-2</v>
      </c>
      <c r="H58" s="191">
        <f t="shared" si="25"/>
        <v>4.754062370690041E-2</v>
      </c>
      <c r="I58" s="191">
        <f t="shared" si="25"/>
        <v>4.740073656589569E-2</v>
      </c>
      <c r="J58" s="191">
        <f t="shared" si="25"/>
        <v>4.3543843102656264E-2</v>
      </c>
      <c r="K58" s="191">
        <f t="shared" si="25"/>
        <v>1</v>
      </c>
    </row>
    <row r="59" spans="1:11" x14ac:dyDescent="0.2">
      <c r="A59" s="182"/>
      <c r="B59" s="214"/>
      <c r="C59" s="191"/>
      <c r="D59" s="191"/>
      <c r="E59" s="191"/>
      <c r="F59" s="191"/>
      <c r="G59" s="191"/>
      <c r="H59" s="191"/>
      <c r="I59" s="191"/>
      <c r="J59" s="191"/>
      <c r="K59" s="191"/>
    </row>
    <row r="60" spans="1:11" x14ac:dyDescent="0.2">
      <c r="A60" s="182" t="s">
        <v>81</v>
      </c>
      <c r="B60" s="214">
        <f>B36</f>
        <v>22695</v>
      </c>
      <c r="C60" s="191">
        <f t="shared" ref="C60:K60" si="26">C36/$K36</f>
        <v>0.54636331691727402</v>
      </c>
      <c r="D60" s="191">
        <f t="shared" si="26"/>
        <v>9.2572656810073983E-2</v>
      </c>
      <c r="E60" s="191">
        <f t="shared" si="26"/>
        <v>4.3926337310680116E-2</v>
      </c>
      <c r="F60" s="191">
        <f t="shared" si="26"/>
        <v>5.6095866675702551E-2</v>
      </c>
      <c r="G60" s="191">
        <f t="shared" si="26"/>
        <v>9.172062234746077E-2</v>
      </c>
      <c r="H60" s="191">
        <f t="shared" si="26"/>
        <v>3.7205105232752972E-2</v>
      </c>
      <c r="I60" s="191">
        <f t="shared" si="26"/>
        <v>7.6144802155346358E-2</v>
      </c>
      <c r="J60" s="191">
        <f t="shared" si="26"/>
        <v>5.5971292550709123E-2</v>
      </c>
      <c r="K60" s="191">
        <f t="shared" si="26"/>
        <v>1</v>
      </c>
    </row>
    <row r="61" spans="1:11" x14ac:dyDescent="0.2">
      <c r="A61" s="182" t="s">
        <v>82</v>
      </c>
      <c r="B61" s="214">
        <f>B37</f>
        <v>9003</v>
      </c>
      <c r="C61" s="191">
        <f t="shared" ref="C61:K61" si="27">C37/$K37</f>
        <v>0.47615474078840964</v>
      </c>
      <c r="D61" s="191">
        <f t="shared" si="27"/>
        <v>8.2852762281047945E-2</v>
      </c>
      <c r="E61" s="191">
        <f t="shared" si="27"/>
        <v>4.6114109314280581E-2</v>
      </c>
      <c r="F61" s="191">
        <f t="shared" si="27"/>
        <v>6.8455654859282289E-2</v>
      </c>
      <c r="G61" s="191">
        <f t="shared" si="27"/>
        <v>0.11579732350319231</v>
      </c>
      <c r="H61" s="191">
        <f t="shared" si="27"/>
        <v>5.5923353996961314E-2</v>
      </c>
      <c r="I61" s="191">
        <f t="shared" si="27"/>
        <v>8.6181846214591684E-2</v>
      </c>
      <c r="J61" s="191">
        <f t="shared" si="27"/>
        <v>6.8520209042234242E-2</v>
      </c>
      <c r="K61" s="191">
        <f t="shared" si="27"/>
        <v>1</v>
      </c>
    </row>
    <row r="62" spans="1:11" x14ac:dyDescent="0.2">
      <c r="A62" s="182" t="s">
        <v>83</v>
      </c>
      <c r="B62" s="214">
        <f>B38</f>
        <v>4976</v>
      </c>
      <c r="C62" s="191">
        <f t="shared" ref="C62:K62" si="28">C38/$K38</f>
        <v>0.46982991393634782</v>
      </c>
      <c r="D62" s="191">
        <f t="shared" si="28"/>
        <v>7.0811476839089615E-2</v>
      </c>
      <c r="E62" s="191">
        <f t="shared" si="28"/>
        <v>6.047886715301197E-2</v>
      </c>
      <c r="F62" s="191">
        <f t="shared" si="28"/>
        <v>5.7932654158409549E-2</v>
      </c>
      <c r="G62" s="191">
        <f t="shared" si="28"/>
        <v>0.11865269837465206</v>
      </c>
      <c r="H62" s="191">
        <f t="shared" si="28"/>
        <v>7.8789431883693695E-2</v>
      </c>
      <c r="I62" s="191">
        <f t="shared" si="28"/>
        <v>0.10056991809484882</v>
      </c>
      <c r="J62" s="191">
        <f t="shared" si="28"/>
        <v>4.2935039559946521E-2</v>
      </c>
      <c r="K62" s="191">
        <f t="shared" si="28"/>
        <v>1</v>
      </c>
    </row>
    <row r="63" spans="1:11" x14ac:dyDescent="0.2">
      <c r="A63" s="182" t="s">
        <v>84</v>
      </c>
      <c r="B63" s="214">
        <f>B39</f>
        <v>5244</v>
      </c>
      <c r="C63" s="191">
        <f t="shared" ref="C63:K63" si="29">C39/$K39</f>
        <v>0.44994833734737893</v>
      </c>
      <c r="D63" s="191">
        <f t="shared" si="29"/>
        <v>4.9341499124050503E-2</v>
      </c>
      <c r="E63" s="191">
        <f t="shared" si="29"/>
        <v>7.7926802986952565E-2</v>
      </c>
      <c r="F63" s="191">
        <f t="shared" si="29"/>
        <v>4.9834388921414473E-2</v>
      </c>
      <c r="G63" s="191">
        <f t="shared" si="29"/>
        <v>0.14061185403136606</v>
      </c>
      <c r="H63" s="191">
        <f t="shared" si="29"/>
        <v>8.6001805908299644E-2</v>
      </c>
      <c r="I63" s="191">
        <f t="shared" si="29"/>
        <v>9.5111053353016298E-2</v>
      </c>
      <c r="J63" s="191">
        <f t="shared" si="29"/>
        <v>5.1224258327521491E-2</v>
      </c>
      <c r="K63" s="191">
        <f t="shared" si="29"/>
        <v>1</v>
      </c>
    </row>
    <row r="64" spans="1:11" x14ac:dyDescent="0.2">
      <c r="A64" s="182" t="s">
        <v>85</v>
      </c>
      <c r="B64" s="220">
        <f>B40</f>
        <v>1341</v>
      </c>
      <c r="C64" s="193">
        <f t="shared" ref="C64:K64" si="30">C40/$K40</f>
        <v>0.43577371703433915</v>
      </c>
      <c r="D64" s="193">
        <f t="shared" si="30"/>
        <v>2.9594293613231546E-2</v>
      </c>
      <c r="E64" s="193">
        <f t="shared" si="30"/>
        <v>0.11745302876950452</v>
      </c>
      <c r="F64" s="193">
        <f t="shared" si="30"/>
        <v>2.3872435215990143E-2</v>
      </c>
      <c r="G64" s="193">
        <f t="shared" si="30"/>
        <v>0.13953408592251546</v>
      </c>
      <c r="H64" s="193">
        <f t="shared" si="30"/>
        <v>8.6378172835620673E-2</v>
      </c>
      <c r="I64" s="193">
        <f t="shared" si="30"/>
        <v>9.6745164509413284E-2</v>
      </c>
      <c r="J64" s="193">
        <f t="shared" si="30"/>
        <v>7.0649102099385436E-2</v>
      </c>
      <c r="K64" s="193">
        <f t="shared" si="30"/>
        <v>1</v>
      </c>
    </row>
    <row r="65" spans="1:11" x14ac:dyDescent="0.2">
      <c r="A65" s="182" t="s">
        <v>220</v>
      </c>
      <c r="B65" s="214">
        <f>SUM(B60:B64)</f>
        <v>43259</v>
      </c>
      <c r="C65" s="191">
        <f t="shared" ref="C65:K65" si="31">C41/$K41</f>
        <v>0.5020207943316527</v>
      </c>
      <c r="D65" s="191">
        <f t="shared" si="31"/>
        <v>7.7744048717954387E-2</v>
      </c>
      <c r="E65" s="191">
        <f t="shared" si="31"/>
        <v>5.5823697337906916E-2</v>
      </c>
      <c r="F65" s="191">
        <f t="shared" si="31"/>
        <v>5.5943277751232298E-2</v>
      </c>
      <c r="G65" s="191">
        <f t="shared" si="31"/>
        <v>0.11000668594390836</v>
      </c>
      <c r="H65" s="191">
        <f t="shared" si="31"/>
        <v>5.6295736211561004E-2</v>
      </c>
      <c r="I65" s="191">
        <f t="shared" si="31"/>
        <v>8.5206788918700857E-2</v>
      </c>
      <c r="J65" s="191">
        <f t="shared" si="31"/>
        <v>5.6958970787083597E-2</v>
      </c>
      <c r="K65" s="191">
        <f t="shared" si="31"/>
        <v>1</v>
      </c>
    </row>
    <row r="66" spans="1:11" x14ac:dyDescent="0.2">
      <c r="A66" s="182"/>
      <c r="B66" s="214"/>
      <c r="C66" s="191"/>
      <c r="D66" s="191"/>
      <c r="E66" s="191"/>
      <c r="F66" s="191"/>
      <c r="G66" s="191"/>
      <c r="H66" s="191"/>
      <c r="I66" s="191"/>
      <c r="J66" s="191"/>
      <c r="K66" s="191"/>
    </row>
    <row r="67" spans="1:11" x14ac:dyDescent="0.2">
      <c r="A67" s="182" t="s">
        <v>86</v>
      </c>
      <c r="B67" s="214">
        <f>B43</f>
        <v>10509</v>
      </c>
      <c r="C67" s="191">
        <f t="shared" ref="C67:K67" si="32">C43/$K43</f>
        <v>0.55990378588488221</v>
      </c>
      <c r="D67" s="191">
        <f t="shared" si="32"/>
        <v>6.3186751898360996E-2</v>
      </c>
      <c r="E67" s="191">
        <f t="shared" si="32"/>
        <v>4.4439191423798471E-2</v>
      </c>
      <c r="F67" s="191">
        <f t="shared" si="32"/>
        <v>5.9455682734877703E-2</v>
      </c>
      <c r="G67" s="191">
        <f t="shared" si="32"/>
        <v>9.795517955948907E-2</v>
      </c>
      <c r="H67" s="191">
        <f t="shared" si="32"/>
        <v>5.5102951849002928E-2</v>
      </c>
      <c r="I67" s="191">
        <f t="shared" si="32"/>
        <v>7.1709115672940138E-2</v>
      </c>
      <c r="J67" s="191">
        <f t="shared" si="32"/>
        <v>4.8247340976648678E-2</v>
      </c>
      <c r="K67" s="191">
        <f t="shared" si="32"/>
        <v>1</v>
      </c>
    </row>
    <row r="68" spans="1:11" x14ac:dyDescent="0.2">
      <c r="A68" s="182" t="s">
        <v>87</v>
      </c>
      <c r="B68" s="220">
        <f>B44</f>
        <v>6954</v>
      </c>
      <c r="C68" s="193">
        <f t="shared" ref="C68:K68" si="33">C44/$K44</f>
        <v>0.51285058288852581</v>
      </c>
      <c r="D68" s="193">
        <f t="shared" si="33"/>
        <v>4.633683987861998E-2</v>
      </c>
      <c r="E68" s="193">
        <f t="shared" si="33"/>
        <v>8.8684419233075573E-2</v>
      </c>
      <c r="F68" s="193">
        <f t="shared" si="33"/>
        <v>3.4113203748691472E-2</v>
      </c>
      <c r="G68" s="193">
        <f t="shared" si="33"/>
        <v>0.11894877658479405</v>
      </c>
      <c r="H68" s="193">
        <f t="shared" si="33"/>
        <v>7.431661145159317E-2</v>
      </c>
      <c r="I68" s="193">
        <f t="shared" si="33"/>
        <v>8.372126314277846E-2</v>
      </c>
      <c r="J68" s="193">
        <f t="shared" si="33"/>
        <v>4.1028303071921492E-2</v>
      </c>
      <c r="K68" s="193">
        <f t="shared" si="33"/>
        <v>1</v>
      </c>
    </row>
    <row r="69" spans="1:11" x14ac:dyDescent="0.2">
      <c r="A69" s="182" t="s">
        <v>221</v>
      </c>
      <c r="B69" s="214">
        <f>SUM(B67:B68)</f>
        <v>17463</v>
      </c>
      <c r="C69" s="191">
        <f t="shared" ref="C69:K69" si="34">C45/$K45</f>
        <v>0.53619092527505563</v>
      </c>
      <c r="D69" s="191">
        <f t="shared" si="34"/>
        <v>5.4695095867146722E-2</v>
      </c>
      <c r="E69" s="191">
        <f t="shared" si="34"/>
        <v>6.6736949129531112E-2</v>
      </c>
      <c r="F69" s="191">
        <f t="shared" si="34"/>
        <v>4.6684125573223337E-2</v>
      </c>
      <c r="G69" s="191">
        <f t="shared" si="34"/>
        <v>0.10853508078318419</v>
      </c>
      <c r="H69" s="191">
        <f t="shared" si="34"/>
        <v>6.478583851659403E-2</v>
      </c>
      <c r="I69" s="191">
        <f t="shared" si="34"/>
        <v>7.776273924026697E-2</v>
      </c>
      <c r="J69" s="191">
        <f t="shared" si="34"/>
        <v>4.4609245614998044E-2</v>
      </c>
      <c r="K69" s="191">
        <f t="shared" si="34"/>
        <v>1</v>
      </c>
    </row>
    <row r="70" spans="1:11" x14ac:dyDescent="0.2">
      <c r="A70" s="182"/>
      <c r="B70" s="214"/>
      <c r="C70" s="191"/>
      <c r="D70" s="191"/>
      <c r="E70" s="191"/>
      <c r="F70" s="191"/>
      <c r="G70" s="191"/>
      <c r="H70" s="191"/>
      <c r="I70" s="191"/>
      <c r="J70" s="191"/>
      <c r="K70" s="191"/>
    </row>
    <row r="71" spans="1:11" ht="13.5" thickBot="1" x14ac:dyDescent="0.25">
      <c r="A71" s="182" t="s">
        <v>222</v>
      </c>
      <c r="B71" s="222">
        <f>B69+B65+B58</f>
        <v>147019</v>
      </c>
      <c r="C71" s="195">
        <f t="shared" ref="C71:K71" si="35">C47/$K47</f>
        <v>0.54760121453200872</v>
      </c>
      <c r="D71" s="195">
        <f t="shared" si="35"/>
        <v>8.3925455981240335E-2</v>
      </c>
      <c r="E71" s="195">
        <f t="shared" si="35"/>
        <v>5.2449964258991615E-2</v>
      </c>
      <c r="F71" s="195">
        <f t="shared" si="35"/>
        <v>5.2751169829436381E-2</v>
      </c>
      <c r="G71" s="195">
        <f t="shared" si="35"/>
        <v>0.10000693175101623</v>
      </c>
      <c r="H71" s="195">
        <f t="shared" si="35"/>
        <v>5.2455195100043761E-2</v>
      </c>
      <c r="I71" s="195">
        <f t="shared" si="35"/>
        <v>6.2980063220469562E-2</v>
      </c>
      <c r="J71" s="195">
        <f t="shared" si="35"/>
        <v>4.7830005326793178E-2</v>
      </c>
      <c r="K71" s="195">
        <f t="shared" si="35"/>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honeticPr fontId="7"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094F-1BB7-451F-ADA5-1ECE4E325DFF}">
  <dimension ref="A1:AC82"/>
  <sheetViews>
    <sheetView zoomScaleNormal="100" workbookViewId="0">
      <selection activeCell="C2" sqref="C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3.42578125" customWidth="1"/>
    <col min="9" max="9" width="14.28515625" customWidth="1"/>
    <col min="10" max="10" width="11.28515625" bestFit="1" customWidth="1"/>
    <col min="11" max="11" width="11.7109375" customWidth="1"/>
    <col min="12" max="12" width="11.28515625" bestFit="1" customWidth="1"/>
    <col min="13" max="13" width="11.42578125" bestFit="1" customWidth="1"/>
    <col min="14" max="14" width="8.85546875"/>
    <col min="15" max="15" width="7.140625" bestFit="1" customWidth="1"/>
    <col min="16" max="16" width="10.42578125" customWidth="1"/>
    <col min="17" max="17" width="8.85546875" customWidth="1"/>
    <col min="18" max="20" width="11.5703125" bestFit="1" customWidth="1"/>
    <col min="21" max="21" width="12.5703125" bestFit="1" customWidth="1"/>
    <col min="22" max="22" width="11.5703125" bestFit="1" customWidth="1"/>
    <col min="23" max="23" width="10.5703125" bestFit="1" customWidth="1"/>
    <col min="24" max="24" width="20.7109375" bestFit="1" customWidth="1"/>
  </cols>
  <sheetData>
    <row r="1" spans="1:29" x14ac:dyDescent="0.2">
      <c r="A1" s="36" t="s">
        <v>200</v>
      </c>
      <c r="B1" s="36"/>
      <c r="C1" s="22"/>
      <c r="D1" s="22"/>
      <c r="E1" s="22"/>
      <c r="F1" s="22"/>
      <c r="G1" s="22"/>
      <c r="H1" s="22"/>
      <c r="I1" s="22"/>
      <c r="J1" s="22"/>
      <c r="K1" s="22"/>
      <c r="L1" s="22"/>
    </row>
    <row r="2" spans="1:29" x14ac:dyDescent="0.2">
      <c r="A2" s="36" t="s">
        <v>8</v>
      </c>
      <c r="B2" s="239"/>
      <c r="C2" s="22" t="s">
        <v>1352</v>
      </c>
      <c r="D2" s="22"/>
      <c r="E2" s="22"/>
      <c r="F2" s="22"/>
      <c r="G2" s="22"/>
      <c r="H2" s="22"/>
      <c r="I2" s="22"/>
      <c r="J2" s="22"/>
      <c r="K2" s="22"/>
      <c r="L2" s="22"/>
    </row>
    <row r="3" spans="1:29" ht="33.75" x14ac:dyDescent="0.2">
      <c r="A3" s="20" t="s">
        <v>245</v>
      </c>
      <c r="B3" s="21" t="str">
        <f>"ANB"&amp;RIGHT(C2,2)</f>
        <v>ANB20</v>
      </c>
      <c r="C3" s="202" t="str">
        <f>RIGHT(C2,2)&amp;"/Pupil Property Tax"</f>
        <v>20/Pupil Property Tax</v>
      </c>
      <c r="D3" s="202" t="str">
        <f>RIGHT(C2,2)&amp;"/Pupil Non Levy Revenue"</f>
        <v>20/Pupil Non Levy Revenue</v>
      </c>
      <c r="E3" s="202" t="str">
        <f>RIGHT(C2,2)&amp;"/Pupil County Revenue"</f>
        <v>20/Pupil County Revenue</v>
      </c>
      <c r="F3" s="202" t="str">
        <f>RIGHT(C2,2)&amp;"/Pupil State Revenue"</f>
        <v>20/Pupil State Revenue</v>
      </c>
      <c r="G3" s="202" t="str">
        <f>RIGHT(C2,2)&amp;"/Pupil Federal Revenue"</f>
        <v>20/Pupil Federal Revenue</v>
      </c>
      <c r="H3" s="202" t="str">
        <f>RIGHT(C2,2)&amp;"Federal CARES Revenue"</f>
        <v>20Federal CARES Revenue</v>
      </c>
      <c r="I3" s="202" t="str">
        <f>RIGHT(C2,2)&amp;"/Pupil Total Revenue NO CARES"</f>
        <v>20/Pupil Total Revenue NO CARES</v>
      </c>
      <c r="J3" s="202" t="str">
        <f>RIGHT(C2,2)&amp;"/Pupil Total Revenue WITH CARES"</f>
        <v>20/Pupil Total Revenue WITH CARES</v>
      </c>
      <c r="K3" s="202" t="str">
        <f>RIGHT(C2,2)&amp;"/Rev Per ANB NO CARES"</f>
        <v>20/Rev Per ANB NO CARES</v>
      </c>
      <c r="L3" s="202" t="str">
        <f>RIGHT(C2,2)&amp;"/Rev Per ANB WITH CARES"</f>
        <v>20/Rev Per ANB WITH CARES</v>
      </c>
      <c r="M3" s="202"/>
      <c r="O3" s="287"/>
      <c r="P3" s="278"/>
      <c r="Q3" s="290"/>
      <c r="R3" s="290"/>
      <c r="S3" s="290"/>
      <c r="T3" s="290"/>
      <c r="U3" s="290"/>
      <c r="V3" s="290"/>
      <c r="W3" s="290"/>
    </row>
    <row r="4" spans="1:29" ht="15" x14ac:dyDescent="0.25">
      <c r="A4" s="33" t="s">
        <v>102</v>
      </c>
      <c r="B4" s="214">
        <v>41686</v>
      </c>
      <c r="C4" s="214">
        <v>156358569.11000001</v>
      </c>
      <c r="D4" s="214">
        <v>11036580.59</v>
      </c>
      <c r="E4" s="214">
        <v>44135124.789999999</v>
      </c>
      <c r="F4" s="214">
        <v>211041824.84</v>
      </c>
      <c r="G4" s="214">
        <v>42714951.050000004</v>
      </c>
      <c r="H4" s="214">
        <v>3691289.16</v>
      </c>
      <c r="I4" s="229">
        <f>SUM(C4:G4)</f>
        <v>465287050.38000005</v>
      </c>
      <c r="J4" s="229">
        <f>SUM(C4:H4)</f>
        <v>468978339.54000008</v>
      </c>
      <c r="K4" s="321">
        <f>I4/B4</f>
        <v>11161.710175598524</v>
      </c>
      <c r="L4" s="321">
        <f t="shared" ref="L4:L10" si="0">J4/B4</f>
        <v>11250.260028306868</v>
      </c>
      <c r="M4" s="221"/>
      <c r="O4" s="283"/>
      <c r="P4" s="289"/>
      <c r="Q4" s="289"/>
      <c r="R4" s="289"/>
      <c r="S4" s="289"/>
      <c r="T4" s="289"/>
      <c r="U4" s="289"/>
      <c r="V4" s="289"/>
      <c r="W4" s="289"/>
      <c r="X4" s="268"/>
      <c r="Y4" s="268"/>
      <c r="Z4" s="268"/>
      <c r="AA4" s="268"/>
      <c r="AB4" s="268"/>
      <c r="AC4" s="268"/>
    </row>
    <row r="5" spans="1:29" ht="15" x14ac:dyDescent="0.25">
      <c r="A5" s="33" t="s">
        <v>76</v>
      </c>
      <c r="B5" s="214">
        <v>18011</v>
      </c>
      <c r="C5" s="214">
        <v>57512261.770000003</v>
      </c>
      <c r="D5" s="214">
        <v>6602856.0599999996</v>
      </c>
      <c r="E5" s="214">
        <v>19677728.169999998</v>
      </c>
      <c r="F5" s="214">
        <v>95092664.629999995</v>
      </c>
      <c r="G5" s="214">
        <v>41608473.749999993</v>
      </c>
      <c r="H5" s="214">
        <v>861806.37</v>
      </c>
      <c r="I5" s="229">
        <f t="shared" ref="I5:I9" si="1">SUM(C5:G5)</f>
        <v>220493984.38</v>
      </c>
      <c r="J5" s="229">
        <f t="shared" ref="J5:J9" si="2">SUM(C5:H5)</f>
        <v>221355790.75</v>
      </c>
      <c r="K5" s="321">
        <f t="shared" ref="K5:K22" si="3">I5/B5</f>
        <v>12242.184463938704</v>
      </c>
      <c r="L5" s="321">
        <f t="shared" si="0"/>
        <v>12290.033354616624</v>
      </c>
      <c r="M5" s="221"/>
      <c r="O5" s="283"/>
      <c r="P5" s="289"/>
      <c r="Q5" s="289"/>
      <c r="R5" s="289"/>
      <c r="S5" s="289"/>
      <c r="T5" s="289"/>
      <c r="U5" s="289"/>
      <c r="V5" s="289"/>
      <c r="W5" s="289"/>
      <c r="X5" s="268"/>
      <c r="Y5" s="268"/>
      <c r="Z5" s="268"/>
      <c r="AA5" s="268"/>
      <c r="AB5" s="268"/>
      <c r="AC5" s="268"/>
    </row>
    <row r="6" spans="1:29" ht="15" x14ac:dyDescent="0.25">
      <c r="A6" s="33" t="s">
        <v>77</v>
      </c>
      <c r="B6" s="214">
        <v>16102</v>
      </c>
      <c r="C6" s="214">
        <v>46485685.590000004</v>
      </c>
      <c r="D6" s="214">
        <v>8335230.1900000013</v>
      </c>
      <c r="E6" s="214">
        <v>15762887.709999999</v>
      </c>
      <c r="F6" s="214">
        <v>85251465.350000009</v>
      </c>
      <c r="G6" s="214">
        <v>36289551.890000001</v>
      </c>
      <c r="H6" s="214">
        <v>548269.08000000007</v>
      </c>
      <c r="I6" s="229">
        <f t="shared" si="1"/>
        <v>192124820.73000002</v>
      </c>
      <c r="J6" s="229">
        <f t="shared" si="2"/>
        <v>192673089.81000003</v>
      </c>
      <c r="K6" s="321">
        <f t="shared" si="3"/>
        <v>11931.736475593096</v>
      </c>
      <c r="L6" s="321">
        <f t="shared" si="0"/>
        <v>11965.786225934669</v>
      </c>
      <c r="M6" s="221"/>
      <c r="O6" s="283"/>
      <c r="P6" s="289"/>
      <c r="Q6" s="289"/>
      <c r="R6" s="289"/>
      <c r="S6" s="289"/>
      <c r="T6" s="289"/>
      <c r="U6" s="289"/>
      <c r="V6" s="289"/>
      <c r="W6" s="289"/>
      <c r="X6" s="268"/>
      <c r="Y6" s="268"/>
      <c r="Z6" s="268"/>
      <c r="AA6" s="268"/>
      <c r="AB6" s="268"/>
      <c r="AC6" s="268"/>
    </row>
    <row r="7" spans="1:29" ht="15" x14ac:dyDescent="0.25">
      <c r="A7" s="33" t="s">
        <v>78</v>
      </c>
      <c r="B7" s="214">
        <v>11739</v>
      </c>
      <c r="C7" s="214">
        <v>36559754.660000004</v>
      </c>
      <c r="D7" s="214">
        <v>6717439.7000000002</v>
      </c>
      <c r="E7" s="214">
        <v>11675109.780000001</v>
      </c>
      <c r="F7" s="214">
        <v>62297360.399999991</v>
      </c>
      <c r="G7" s="214">
        <v>19928623.740000002</v>
      </c>
      <c r="H7" s="214">
        <v>386991.15</v>
      </c>
      <c r="I7" s="229">
        <f t="shared" si="1"/>
        <v>137178288.28</v>
      </c>
      <c r="J7" s="229">
        <f t="shared" si="2"/>
        <v>137565279.43000001</v>
      </c>
      <c r="K7" s="321">
        <f t="shared" si="3"/>
        <v>11685.687731493314</v>
      </c>
      <c r="L7" s="321">
        <f t="shared" si="0"/>
        <v>11718.654010563081</v>
      </c>
      <c r="M7" s="221"/>
      <c r="O7" s="283"/>
      <c r="P7" s="289"/>
      <c r="Q7" s="289"/>
      <c r="R7" s="289"/>
      <c r="S7" s="289"/>
      <c r="T7" s="289"/>
      <c r="U7" s="289"/>
      <c r="V7" s="289"/>
      <c r="W7" s="289"/>
      <c r="X7" s="268"/>
      <c r="Y7" s="268"/>
      <c r="Z7" s="268"/>
      <c r="AA7" s="268"/>
      <c r="AB7" s="268"/>
      <c r="AC7" s="268"/>
    </row>
    <row r="8" spans="1:29" ht="15" x14ac:dyDescent="0.25">
      <c r="A8" s="33" t="s">
        <v>79</v>
      </c>
      <c r="B8" s="214">
        <v>4752</v>
      </c>
      <c r="C8" s="214">
        <v>19461924.089999996</v>
      </c>
      <c r="D8" s="214">
        <v>6944107.8700000001</v>
      </c>
      <c r="E8" s="214">
        <v>6045914.2100000018</v>
      </c>
      <c r="F8" s="214">
        <v>27175338.390000001</v>
      </c>
      <c r="G8" s="214">
        <v>11779744.32</v>
      </c>
      <c r="H8" s="214">
        <v>331420.16000000003</v>
      </c>
      <c r="I8" s="229">
        <f t="shared" si="1"/>
        <v>71407028.879999995</v>
      </c>
      <c r="J8" s="229">
        <f t="shared" si="2"/>
        <v>71738449.039999992</v>
      </c>
      <c r="K8" s="321">
        <f t="shared" si="3"/>
        <v>15026.731666666667</v>
      </c>
      <c r="L8" s="321">
        <f t="shared" si="0"/>
        <v>15096.474966329964</v>
      </c>
      <c r="M8" s="221"/>
      <c r="O8" s="283"/>
      <c r="P8" s="289"/>
      <c r="Q8" s="289"/>
      <c r="R8" s="289"/>
      <c r="S8" s="289"/>
      <c r="T8" s="289"/>
      <c r="U8" s="289"/>
      <c r="V8" s="289"/>
      <c r="W8" s="289"/>
      <c r="X8" s="268"/>
      <c r="Y8" s="268"/>
      <c r="Z8" s="268"/>
      <c r="AA8" s="268"/>
      <c r="AB8" s="268"/>
      <c r="AC8" s="268"/>
    </row>
    <row r="9" spans="1:29" ht="15" x14ac:dyDescent="0.25">
      <c r="A9" s="33" t="s">
        <v>80</v>
      </c>
      <c r="B9" s="220">
        <v>1577</v>
      </c>
      <c r="C9" s="220">
        <v>8076730.3900000015</v>
      </c>
      <c r="D9" s="220">
        <v>1610148.56</v>
      </c>
      <c r="E9" s="220">
        <v>1904863.9700000004</v>
      </c>
      <c r="F9" s="220">
        <v>9553615.4799999967</v>
      </c>
      <c r="G9" s="220">
        <v>3477818.7800000003</v>
      </c>
      <c r="H9" s="220">
        <v>19160</v>
      </c>
      <c r="I9" s="229">
        <f t="shared" si="1"/>
        <v>24623177.18</v>
      </c>
      <c r="J9" s="229">
        <f t="shared" si="2"/>
        <v>24642337.18</v>
      </c>
      <c r="K9" s="321">
        <f t="shared" si="3"/>
        <v>15613.936068484463</v>
      </c>
      <c r="L9" s="322">
        <f t="shared" si="0"/>
        <v>15626.08571972099</v>
      </c>
      <c r="M9" s="221"/>
      <c r="O9" s="283"/>
      <c r="P9" s="289"/>
      <c r="Q9" s="289"/>
      <c r="R9" s="289"/>
      <c r="S9" s="289"/>
      <c r="T9" s="289"/>
      <c r="U9" s="289"/>
      <c r="V9" s="289"/>
      <c r="W9" s="289"/>
      <c r="X9" s="268"/>
      <c r="Y9" s="268"/>
      <c r="Z9" s="268"/>
      <c r="AA9" s="268"/>
      <c r="AB9" s="268"/>
      <c r="AC9" s="268"/>
    </row>
    <row r="10" spans="1:29" x14ac:dyDescent="0.2">
      <c r="A10" s="33" t="s">
        <v>171</v>
      </c>
      <c r="B10" s="229">
        <f t="shared" ref="B10:J10" si="4">SUM(B4:B9)</f>
        <v>93867</v>
      </c>
      <c r="C10" s="229">
        <f t="shared" si="4"/>
        <v>324454925.61000001</v>
      </c>
      <c r="D10" s="229">
        <f t="shared" si="4"/>
        <v>41246362.969999999</v>
      </c>
      <c r="E10" s="229">
        <f t="shared" si="4"/>
        <v>99201628.629999995</v>
      </c>
      <c r="F10" s="229">
        <f t="shared" si="4"/>
        <v>490412269.09000003</v>
      </c>
      <c r="G10" s="229">
        <f t="shared" si="4"/>
        <v>155799163.53</v>
      </c>
      <c r="H10" s="229">
        <f t="shared" ref="H10:I10" si="5">SUM(H4:H9)</f>
        <v>5838935.9200000009</v>
      </c>
      <c r="I10" s="339">
        <f t="shared" si="5"/>
        <v>1111114349.8300002</v>
      </c>
      <c r="J10" s="339">
        <f t="shared" si="4"/>
        <v>1116953285.7500002</v>
      </c>
      <c r="K10" s="340">
        <f>I10/B10</f>
        <v>11837.113680313638</v>
      </c>
      <c r="L10" s="321">
        <f t="shared" si="0"/>
        <v>11899.318032428864</v>
      </c>
      <c r="M10" s="221"/>
      <c r="O10" s="287"/>
      <c r="P10" s="287"/>
      <c r="Q10" s="287"/>
      <c r="R10" s="287"/>
      <c r="S10" s="287"/>
      <c r="T10" s="287"/>
      <c r="U10" s="287"/>
      <c r="V10" s="287"/>
      <c r="W10" s="287"/>
      <c r="X10" s="268"/>
      <c r="Y10" s="268"/>
      <c r="Z10" s="268"/>
      <c r="AA10" s="268"/>
      <c r="AB10" s="268"/>
      <c r="AC10" s="268"/>
    </row>
    <row r="11" spans="1:29" x14ac:dyDescent="0.2">
      <c r="A11" s="33"/>
      <c r="B11" s="229"/>
      <c r="C11" s="214"/>
      <c r="D11" s="214"/>
      <c r="E11" s="214"/>
      <c r="F11" s="214"/>
      <c r="G11" s="214"/>
      <c r="H11" s="214"/>
      <c r="I11" s="214"/>
      <c r="J11" s="214"/>
      <c r="K11" s="321"/>
      <c r="L11" s="321"/>
      <c r="M11" s="221"/>
      <c r="O11" s="287"/>
      <c r="P11" s="287"/>
      <c r="Q11" s="287"/>
      <c r="R11" s="287"/>
      <c r="S11" s="287"/>
      <c r="T11" s="287"/>
      <c r="U11" s="287"/>
      <c r="V11" s="287"/>
      <c r="W11" s="287"/>
      <c r="X11" s="268"/>
      <c r="Y11" s="268"/>
      <c r="Z11" s="268"/>
      <c r="AA11" s="268"/>
      <c r="AB11" s="268"/>
      <c r="AC11" s="268"/>
    </row>
    <row r="12" spans="1:29" x14ac:dyDescent="0.2">
      <c r="A12" s="33"/>
      <c r="B12" s="229"/>
      <c r="C12" s="214"/>
      <c r="D12" s="214"/>
      <c r="E12" s="214"/>
      <c r="F12" s="214"/>
      <c r="G12" s="214"/>
      <c r="H12" s="214"/>
      <c r="I12" s="214"/>
      <c r="J12" s="214"/>
      <c r="K12" s="321"/>
      <c r="L12" s="321"/>
      <c r="M12" s="221"/>
      <c r="O12" s="287"/>
      <c r="P12" s="287"/>
      <c r="Q12" s="287"/>
      <c r="R12" s="287"/>
      <c r="S12" s="287"/>
      <c r="T12" s="287"/>
      <c r="U12" s="287"/>
      <c r="V12" s="287"/>
      <c r="W12" s="287"/>
      <c r="X12" s="268"/>
      <c r="Y12" s="268"/>
      <c r="Z12" s="268"/>
      <c r="AA12" s="268"/>
      <c r="AB12" s="268"/>
      <c r="AC12" s="268"/>
    </row>
    <row r="13" spans="1:29" ht="15" x14ac:dyDescent="0.25">
      <c r="A13" s="33" t="s">
        <v>81</v>
      </c>
      <c r="B13" s="214">
        <v>20514</v>
      </c>
      <c r="C13" s="214">
        <v>94277983.219999999</v>
      </c>
      <c r="D13" s="214">
        <v>9611243.8100000005</v>
      </c>
      <c r="E13" s="214">
        <v>24493478.140000001</v>
      </c>
      <c r="F13" s="214">
        <v>112651847.22000001</v>
      </c>
      <c r="G13" s="214">
        <v>11145367.390000001</v>
      </c>
      <c r="H13" s="214">
        <v>1961620.45</v>
      </c>
      <c r="I13" s="229">
        <f>SUM(C13:G13)</f>
        <v>252179919.78000003</v>
      </c>
      <c r="J13" s="229">
        <f>SUM(C13:H13)</f>
        <v>254141540.23000002</v>
      </c>
      <c r="K13" s="321">
        <f t="shared" si="3"/>
        <v>12293.064238081311</v>
      </c>
      <c r="L13" s="321">
        <f t="shared" ref="L13:L18" si="6">J13/B13</f>
        <v>12388.687736667642</v>
      </c>
      <c r="M13" s="221"/>
      <c r="O13" s="283"/>
      <c r="P13" s="289"/>
      <c r="Q13" s="289"/>
      <c r="R13" s="289"/>
      <c r="S13" s="289"/>
      <c r="T13" s="289"/>
      <c r="U13" s="289"/>
      <c r="V13" s="289"/>
      <c r="W13" s="289"/>
      <c r="X13" s="268"/>
      <c r="Y13" s="268"/>
      <c r="Z13" s="268"/>
      <c r="AA13" s="268"/>
      <c r="AB13" s="268"/>
      <c r="AC13" s="268"/>
    </row>
    <row r="14" spans="1:29" ht="15" x14ac:dyDescent="0.25">
      <c r="A14" s="33" t="s">
        <v>82</v>
      </c>
      <c r="B14" s="214">
        <v>8088</v>
      </c>
      <c r="C14" s="214">
        <v>34193662.380000003</v>
      </c>
      <c r="D14" s="214">
        <v>6807423.0999999996</v>
      </c>
      <c r="E14" s="214">
        <v>9508414.1099999994</v>
      </c>
      <c r="F14" s="214">
        <v>45764069.480000004</v>
      </c>
      <c r="G14" s="214">
        <v>13199262.219999999</v>
      </c>
      <c r="H14" s="214">
        <v>107122.19</v>
      </c>
      <c r="I14" s="229">
        <f t="shared" ref="I14:I17" si="7">SUM(C14:G14)</f>
        <v>109472831.29000001</v>
      </c>
      <c r="J14" s="229">
        <f t="shared" ref="J14:J17" si="8">SUM(C14:H14)</f>
        <v>109579953.48</v>
      </c>
      <c r="K14" s="321">
        <f t="shared" si="3"/>
        <v>13535.216529426312</v>
      </c>
      <c r="L14" s="321">
        <f t="shared" si="6"/>
        <v>13548.461112759644</v>
      </c>
      <c r="M14" s="221"/>
      <c r="O14" s="283"/>
      <c r="P14" s="289"/>
      <c r="Q14" s="289"/>
      <c r="R14" s="289"/>
      <c r="S14" s="289"/>
      <c r="T14" s="289"/>
      <c r="U14" s="289"/>
      <c r="V14" s="289"/>
      <c r="W14" s="289"/>
      <c r="X14" s="268"/>
      <c r="Y14" s="268"/>
      <c r="Z14" s="268"/>
      <c r="AA14" s="268"/>
      <c r="AB14" s="268"/>
      <c r="AC14" s="268"/>
    </row>
    <row r="15" spans="1:29" ht="15" x14ac:dyDescent="0.25">
      <c r="A15" s="33" t="s">
        <v>83</v>
      </c>
      <c r="B15" s="214">
        <v>4253</v>
      </c>
      <c r="C15" s="214">
        <v>19264300</v>
      </c>
      <c r="D15" s="214">
        <v>2703816.71</v>
      </c>
      <c r="E15" s="214">
        <v>4964526.13</v>
      </c>
      <c r="F15" s="214">
        <v>27711728.289999999</v>
      </c>
      <c r="G15" s="214">
        <v>6317769.0899999999</v>
      </c>
      <c r="H15" s="214">
        <v>12398.2</v>
      </c>
      <c r="I15" s="229">
        <f t="shared" si="7"/>
        <v>60962140.219999999</v>
      </c>
      <c r="J15" s="229">
        <f t="shared" si="8"/>
        <v>60974538.420000002</v>
      </c>
      <c r="K15" s="321">
        <f t="shared" si="3"/>
        <v>14333.914935339761</v>
      </c>
      <c r="L15" s="321">
        <f t="shared" si="6"/>
        <v>14336.830101105103</v>
      </c>
      <c r="M15" s="221"/>
      <c r="O15" s="283"/>
      <c r="P15" s="289"/>
      <c r="Q15" s="289"/>
      <c r="R15" s="289"/>
      <c r="S15" s="289"/>
      <c r="T15" s="289"/>
      <c r="U15" s="289"/>
      <c r="V15" s="289"/>
      <c r="W15" s="289"/>
      <c r="X15" s="268"/>
      <c r="Y15" s="268"/>
      <c r="Z15" s="268"/>
      <c r="AA15" s="268"/>
      <c r="AB15" s="268"/>
      <c r="AC15" s="268"/>
    </row>
    <row r="16" spans="1:29" ht="15" x14ac:dyDescent="0.25">
      <c r="A16" s="33" t="s">
        <v>84</v>
      </c>
      <c r="B16" s="214">
        <v>3947</v>
      </c>
      <c r="C16" s="214">
        <v>21213899.700000003</v>
      </c>
      <c r="D16" s="214">
        <v>6259440.3899999997</v>
      </c>
      <c r="E16" s="214">
        <v>6328431.5199999996</v>
      </c>
      <c r="F16" s="214">
        <v>29389880.52</v>
      </c>
      <c r="G16" s="214">
        <v>13371036.599999998</v>
      </c>
      <c r="H16" s="214">
        <v>30123.88</v>
      </c>
      <c r="I16" s="229">
        <f t="shared" si="7"/>
        <v>76562688.729999989</v>
      </c>
      <c r="J16" s="229">
        <f t="shared" si="8"/>
        <v>76592812.609999985</v>
      </c>
      <c r="K16" s="321">
        <f t="shared" si="3"/>
        <v>19397.691596148972</v>
      </c>
      <c r="L16" s="321">
        <f t="shared" si="6"/>
        <v>19405.323691411195</v>
      </c>
      <c r="M16" s="221"/>
      <c r="O16" s="283"/>
      <c r="P16" s="289"/>
      <c r="Q16" s="289"/>
      <c r="R16" s="289"/>
      <c r="S16" s="289"/>
      <c r="T16" s="289"/>
      <c r="U16" s="289"/>
      <c r="V16" s="289"/>
      <c r="W16" s="289"/>
      <c r="X16" s="268"/>
      <c r="Y16" s="268"/>
      <c r="Z16" s="268"/>
      <c r="AA16" s="268"/>
      <c r="AB16" s="268"/>
      <c r="AC16" s="268"/>
    </row>
    <row r="17" spans="1:29" ht="15" x14ac:dyDescent="0.25">
      <c r="A17" s="33" t="s">
        <v>85</v>
      </c>
      <c r="B17" s="220">
        <v>1455</v>
      </c>
      <c r="C17" s="220">
        <v>13022837.379999999</v>
      </c>
      <c r="D17" s="220">
        <v>3909274.4699999997</v>
      </c>
      <c r="E17" s="220">
        <v>3405379.64</v>
      </c>
      <c r="F17" s="220">
        <v>15372248.700000001</v>
      </c>
      <c r="G17" s="220">
        <v>3395704.6500000004</v>
      </c>
      <c r="H17" s="220">
        <v>9284.380000000001</v>
      </c>
      <c r="I17" s="229">
        <f t="shared" si="7"/>
        <v>39105444.839999996</v>
      </c>
      <c r="J17" s="229">
        <f t="shared" si="8"/>
        <v>39114729.219999999</v>
      </c>
      <c r="K17" s="321">
        <f t="shared" si="3"/>
        <v>26876.594391752573</v>
      </c>
      <c r="L17" s="322">
        <f t="shared" si="6"/>
        <v>26882.975408934708</v>
      </c>
      <c r="M17" s="221"/>
      <c r="O17" s="283"/>
      <c r="P17" s="289"/>
      <c r="Q17" s="289"/>
      <c r="R17" s="289"/>
      <c r="S17" s="289"/>
      <c r="T17" s="289"/>
      <c r="U17" s="289"/>
      <c r="V17" s="289"/>
      <c r="W17" s="289"/>
      <c r="X17" s="268"/>
      <c r="Y17" s="268"/>
      <c r="Z17" s="268"/>
      <c r="AA17" s="268"/>
      <c r="AB17" s="268"/>
      <c r="AC17" s="268"/>
    </row>
    <row r="18" spans="1:29" x14ac:dyDescent="0.2">
      <c r="A18" s="33" t="s">
        <v>172</v>
      </c>
      <c r="B18" s="229">
        <f t="shared" ref="B18:J18" si="9">SUM(B13:B17)</f>
        <v>38257</v>
      </c>
      <c r="C18" s="229">
        <f t="shared" si="9"/>
        <v>181972682.68000001</v>
      </c>
      <c r="D18" s="229">
        <f t="shared" si="9"/>
        <v>29291198.48</v>
      </c>
      <c r="E18" s="229">
        <f t="shared" si="9"/>
        <v>48700229.540000007</v>
      </c>
      <c r="F18" s="229">
        <f t="shared" si="9"/>
        <v>230889774.21000001</v>
      </c>
      <c r="G18" s="229">
        <f t="shared" si="9"/>
        <v>47429139.949999996</v>
      </c>
      <c r="H18" s="229">
        <f t="shared" ref="H18:I18" si="10">SUM(H13:H17)</f>
        <v>2120549.0999999996</v>
      </c>
      <c r="I18" s="339">
        <f t="shared" si="10"/>
        <v>538283024.86000013</v>
      </c>
      <c r="J18" s="339">
        <f t="shared" si="9"/>
        <v>540403573.96000004</v>
      </c>
      <c r="K18" s="340">
        <f>I18/B18</f>
        <v>14070.183884256479</v>
      </c>
      <c r="L18" s="321">
        <f t="shared" si="6"/>
        <v>14125.612932535223</v>
      </c>
      <c r="M18" s="221"/>
      <c r="O18" s="287"/>
      <c r="P18" s="287"/>
      <c r="Q18" s="287"/>
      <c r="R18" s="287"/>
      <c r="S18" s="287"/>
      <c r="T18" s="287"/>
      <c r="U18" s="287"/>
      <c r="V18" s="287"/>
      <c r="W18" s="287"/>
      <c r="X18" s="268"/>
      <c r="Y18" s="268"/>
      <c r="Z18" s="268"/>
      <c r="AA18" s="268"/>
      <c r="AB18" s="268"/>
      <c r="AC18" s="268"/>
    </row>
    <row r="19" spans="1:29" x14ac:dyDescent="0.2">
      <c r="A19" s="33"/>
      <c r="B19" s="229"/>
      <c r="C19" s="214"/>
      <c r="D19" s="214"/>
      <c r="E19" s="214"/>
      <c r="F19" s="214"/>
      <c r="G19" s="214"/>
      <c r="H19" s="214"/>
      <c r="I19" s="214"/>
      <c r="J19" s="214"/>
      <c r="K19" s="321"/>
      <c r="L19" s="321"/>
      <c r="M19" s="221"/>
      <c r="O19" s="287"/>
      <c r="P19" s="287"/>
      <c r="Q19" s="287"/>
      <c r="R19" s="287"/>
      <c r="S19" s="287"/>
      <c r="T19" s="287"/>
      <c r="U19" s="287"/>
      <c r="V19" s="287"/>
      <c r="W19" s="287"/>
      <c r="X19" s="268"/>
      <c r="Y19" s="268"/>
      <c r="Z19" s="268"/>
      <c r="AA19" s="268"/>
      <c r="AB19" s="268"/>
      <c r="AC19" s="268"/>
    </row>
    <row r="20" spans="1:29" x14ac:dyDescent="0.2">
      <c r="A20" s="33"/>
      <c r="B20" s="229"/>
      <c r="C20" s="214"/>
      <c r="D20" s="214"/>
      <c r="E20" s="214"/>
      <c r="F20" s="214"/>
      <c r="G20" s="214"/>
      <c r="H20" s="214"/>
      <c r="I20" s="214"/>
      <c r="J20" s="214"/>
      <c r="K20" s="321"/>
      <c r="L20" s="321"/>
      <c r="M20" s="221"/>
      <c r="O20" s="287"/>
      <c r="P20" s="287"/>
      <c r="Q20" s="287"/>
      <c r="R20" s="287"/>
      <c r="S20" s="287"/>
      <c r="T20" s="287"/>
      <c r="U20" s="287"/>
      <c r="V20" s="287"/>
      <c r="W20" s="281"/>
      <c r="X20" s="268"/>
      <c r="Y20" s="268"/>
      <c r="Z20" s="268"/>
      <c r="AA20" s="268"/>
      <c r="AB20" s="268"/>
      <c r="AC20" s="268"/>
    </row>
    <row r="21" spans="1:29" ht="15" x14ac:dyDescent="0.25">
      <c r="A21" s="33" t="s">
        <v>86</v>
      </c>
      <c r="B21" s="214">
        <v>13573</v>
      </c>
      <c r="C21" s="214">
        <v>49270459.390000001</v>
      </c>
      <c r="D21" s="214">
        <v>8120529.129999999</v>
      </c>
      <c r="E21" s="214">
        <v>13688909.639999999</v>
      </c>
      <c r="F21" s="214">
        <v>75385095.789999992</v>
      </c>
      <c r="G21" s="214">
        <v>14657582.659999998</v>
      </c>
      <c r="H21" s="214">
        <v>439352.49</v>
      </c>
      <c r="I21" s="221">
        <f>SUM(C21:G21)</f>
        <v>161122576.60999998</v>
      </c>
      <c r="J21" s="221">
        <f>SUM(C21:H21)</f>
        <v>161561929.09999999</v>
      </c>
      <c r="K21" s="321">
        <f t="shared" si="3"/>
        <v>11870.81534001326</v>
      </c>
      <c r="L21" s="321">
        <f>J21/B21</f>
        <v>11903.18493332351</v>
      </c>
      <c r="M21" s="221"/>
      <c r="O21" s="283"/>
      <c r="P21" s="289"/>
      <c r="Q21" s="289"/>
      <c r="R21" s="289"/>
      <c r="S21" s="289"/>
      <c r="T21" s="289"/>
      <c r="U21" s="289"/>
      <c r="V21" s="289"/>
      <c r="W21" s="289"/>
      <c r="X21" s="268"/>
      <c r="Y21" s="268"/>
      <c r="Z21" s="268"/>
      <c r="AA21" s="268"/>
      <c r="AB21" s="268"/>
      <c r="AC21" s="268"/>
    </row>
    <row r="22" spans="1:29" ht="15" x14ac:dyDescent="0.25">
      <c r="A22" s="33" t="s">
        <v>87</v>
      </c>
      <c r="B22" s="220">
        <v>7917</v>
      </c>
      <c r="C22" s="220">
        <v>46392162.149999999</v>
      </c>
      <c r="D22" s="220">
        <v>9708590.6499999985</v>
      </c>
      <c r="E22" s="220">
        <v>11947276.870000001</v>
      </c>
      <c r="F22" s="220">
        <v>51985804.729999982</v>
      </c>
      <c r="G22" s="220">
        <v>14716112.470000001</v>
      </c>
      <c r="H22" s="220">
        <v>306583.99</v>
      </c>
      <c r="I22" s="221">
        <f>SUM(C22:G22)</f>
        <v>134749946.86999997</v>
      </c>
      <c r="J22" s="221">
        <f>SUM(C22:H22)</f>
        <v>135056530.85999998</v>
      </c>
      <c r="K22" s="321">
        <f t="shared" si="3"/>
        <v>17020.329274977892</v>
      </c>
      <c r="L22" s="322">
        <f>J22/B22</f>
        <v>17059.054043198179</v>
      </c>
      <c r="M22" s="221"/>
      <c r="O22" s="283"/>
      <c r="P22" s="289"/>
      <c r="Q22" s="289"/>
      <c r="R22" s="289"/>
      <c r="S22" s="289"/>
      <c r="T22" s="289"/>
      <c r="U22" s="289"/>
      <c r="V22" s="289"/>
      <c r="W22" s="289"/>
      <c r="X22" s="268"/>
      <c r="Y22" s="268"/>
      <c r="Z22" s="268"/>
      <c r="AA22" s="268"/>
      <c r="AB22" s="268"/>
      <c r="AC22" s="268"/>
    </row>
    <row r="23" spans="1:29" x14ac:dyDescent="0.2">
      <c r="A23" s="33" t="s">
        <v>173</v>
      </c>
      <c r="B23" s="221">
        <f t="shared" ref="B23:J23" si="11">SUM(B21:B22)</f>
        <v>21490</v>
      </c>
      <c r="C23" s="221">
        <f t="shared" si="11"/>
        <v>95662621.539999992</v>
      </c>
      <c r="D23" s="221">
        <f t="shared" si="11"/>
        <v>17829119.779999997</v>
      </c>
      <c r="E23" s="221">
        <f t="shared" si="11"/>
        <v>25636186.509999998</v>
      </c>
      <c r="F23" s="221">
        <f t="shared" si="11"/>
        <v>127370900.51999998</v>
      </c>
      <c r="G23" s="221">
        <f t="shared" si="11"/>
        <v>29373695.129999999</v>
      </c>
      <c r="H23" s="221">
        <f t="shared" ref="H23:I23" si="12">SUM(H21:H22)</f>
        <v>745936.48</v>
      </c>
      <c r="I23" s="339">
        <f t="shared" si="12"/>
        <v>295872523.47999996</v>
      </c>
      <c r="J23" s="339">
        <f t="shared" si="11"/>
        <v>296618459.95999998</v>
      </c>
      <c r="K23" s="340">
        <f>I23/B23</f>
        <v>13767.916402047462</v>
      </c>
      <c r="L23" s="323">
        <f>J23/B23</f>
        <v>13802.627266635644</v>
      </c>
      <c r="M23" s="221"/>
      <c r="O23" s="287"/>
      <c r="P23" s="287"/>
      <c r="Q23" s="287"/>
      <c r="R23" s="287"/>
      <c r="S23" s="287"/>
      <c r="T23" s="287"/>
      <c r="U23" s="287"/>
      <c r="V23" s="287"/>
      <c r="W23" s="287"/>
    </row>
    <row r="24" spans="1:29" x14ac:dyDescent="0.2">
      <c r="A24" s="33"/>
      <c r="B24" s="214"/>
      <c r="C24" s="214"/>
      <c r="D24" s="214"/>
      <c r="E24" s="214"/>
      <c r="F24" s="214"/>
      <c r="G24" s="214"/>
      <c r="H24" s="214"/>
      <c r="I24" s="214"/>
      <c r="J24" s="214"/>
      <c r="K24" s="321"/>
      <c r="L24" s="214"/>
      <c r="M24" s="221"/>
    </row>
    <row r="25" spans="1:29" ht="13.5" thickBot="1" x14ac:dyDescent="0.25">
      <c r="A25" s="33" t="s">
        <v>174</v>
      </c>
      <c r="B25" s="222">
        <f>B23+B18+B10</f>
        <v>153614</v>
      </c>
      <c r="C25" s="192">
        <f t="shared" ref="C25:J25" si="13">C10+C18+C23</f>
        <v>602090229.83000004</v>
      </c>
      <c r="D25" s="192">
        <f t="shared" si="13"/>
        <v>88366681.230000004</v>
      </c>
      <c r="E25" s="192">
        <f t="shared" si="13"/>
        <v>173538044.68000001</v>
      </c>
      <c r="F25" s="192">
        <f t="shared" si="13"/>
        <v>848672943.82000005</v>
      </c>
      <c r="G25" s="192">
        <f t="shared" si="13"/>
        <v>232601998.60999998</v>
      </c>
      <c r="H25" s="192">
        <f t="shared" ref="H25" si="14">H10+H18+H23</f>
        <v>8705421.5</v>
      </c>
      <c r="I25" s="192">
        <f>I10+I18+I23</f>
        <v>1945269898.1700003</v>
      </c>
      <c r="J25" s="192">
        <f t="shared" si="13"/>
        <v>1953975319.6700003</v>
      </c>
      <c r="K25" s="222">
        <f>I25/B25</f>
        <v>12663.363353405291</v>
      </c>
      <c r="L25" s="222">
        <f>J25/B25</f>
        <v>12720.034109325976</v>
      </c>
      <c r="M25" s="221"/>
    </row>
    <row r="26" spans="1:29" ht="13.5" thickTop="1" x14ac:dyDescent="0.2">
      <c r="A26" s="33"/>
      <c r="B26" s="296"/>
      <c r="C26" s="182"/>
      <c r="D26" s="182"/>
      <c r="E26" s="182"/>
      <c r="F26" s="182"/>
      <c r="G26" s="182"/>
      <c r="H26" s="182"/>
      <c r="I26" s="182"/>
      <c r="J26" s="182"/>
      <c r="K26" s="182"/>
      <c r="L26" s="182"/>
      <c r="M26" s="182"/>
    </row>
    <row r="27" spans="1:29" x14ac:dyDescent="0.2">
      <c r="A27" s="33"/>
      <c r="B27" s="182"/>
      <c r="C27" s="33"/>
      <c r="D27" s="33"/>
      <c r="E27" s="33"/>
      <c r="F27" s="33"/>
      <c r="G27" s="33"/>
      <c r="H27" s="33"/>
      <c r="I27" s="33"/>
      <c r="J27" s="33"/>
      <c r="K27" s="33"/>
      <c r="L27" s="182"/>
      <c r="M27" s="182"/>
    </row>
    <row r="28" spans="1:29" x14ac:dyDescent="0.2">
      <c r="A28" s="36" t="s">
        <v>200</v>
      </c>
      <c r="B28" s="22"/>
      <c r="C28" s="36"/>
      <c r="D28" s="36"/>
      <c r="E28" s="36"/>
      <c r="F28" s="36"/>
      <c r="G28" s="36"/>
      <c r="H28" s="36"/>
      <c r="I28" s="36"/>
      <c r="J28" s="36"/>
      <c r="K28" s="36"/>
      <c r="L28" s="22"/>
      <c r="M28" s="182"/>
    </row>
    <row r="29" spans="1:29" x14ac:dyDescent="0.2">
      <c r="A29" s="36" t="s">
        <v>10</v>
      </c>
      <c r="B29" s="22" t="str">
        <f>C2</f>
        <v>FY20</v>
      </c>
      <c r="C29" s="223"/>
      <c r="D29" s="223"/>
      <c r="E29" s="223"/>
      <c r="F29" s="223"/>
      <c r="G29" s="223"/>
      <c r="H29" s="223"/>
      <c r="I29" s="223"/>
      <c r="J29" s="223"/>
      <c r="K29" s="223"/>
      <c r="L29" s="182"/>
    </row>
    <row r="30" spans="1:29" ht="33.75" x14ac:dyDescent="0.2">
      <c r="A30" s="20" t="s">
        <v>245</v>
      </c>
      <c r="B30" s="202" t="str">
        <f>B3</f>
        <v>ANB20</v>
      </c>
      <c r="C30" s="202" t="str">
        <f t="shared" ref="C30:H30" si="15">C3</f>
        <v>20/Pupil Property Tax</v>
      </c>
      <c r="D30" s="202" t="str">
        <f t="shared" si="15"/>
        <v>20/Pupil Non Levy Revenue</v>
      </c>
      <c r="E30" s="202" t="str">
        <f t="shared" si="15"/>
        <v>20/Pupil County Revenue</v>
      </c>
      <c r="F30" s="202" t="str">
        <f t="shared" si="15"/>
        <v>20/Pupil State Revenue</v>
      </c>
      <c r="G30" s="202" t="str">
        <f t="shared" si="15"/>
        <v>20/Pupil Federal Revenue</v>
      </c>
      <c r="H30" s="202" t="str">
        <f t="shared" si="15"/>
        <v>20Federal CARES Revenue</v>
      </c>
      <c r="I30" s="202" t="str">
        <f>K3</f>
        <v>20/Rev Per ANB NO CARES</v>
      </c>
      <c r="J30" s="202" t="str">
        <f>L3</f>
        <v>20/Rev Per ANB WITH CARES</v>
      </c>
      <c r="K30" s="202"/>
      <c r="L30" s="202"/>
      <c r="M30" s="202"/>
    </row>
    <row r="31" spans="1:29" x14ac:dyDescent="0.2">
      <c r="A31" s="33"/>
      <c r="B31" s="182"/>
      <c r="C31" s="182"/>
      <c r="D31" s="182"/>
      <c r="E31" s="182"/>
      <c r="F31" s="182"/>
      <c r="G31" s="182"/>
      <c r="H31" s="182"/>
      <c r="I31" s="182"/>
      <c r="J31" s="33"/>
      <c r="K31" s="33"/>
      <c r="L31" s="182"/>
    </row>
    <row r="32" spans="1:29" x14ac:dyDescent="0.2">
      <c r="A32" s="33" t="s">
        <v>102</v>
      </c>
      <c r="B32" s="221">
        <f t="shared" ref="B32:B37" si="16">B4</f>
        <v>41686</v>
      </c>
      <c r="C32" s="182">
        <f t="shared" ref="C32:J38" si="17">C4/$B32</f>
        <v>3750.8652571606776</v>
      </c>
      <c r="D32" s="182">
        <f t="shared" si="17"/>
        <v>264.75508779926116</v>
      </c>
      <c r="E32" s="182">
        <f t="shared" si="17"/>
        <v>1058.7517341553519</v>
      </c>
      <c r="F32" s="182">
        <f t="shared" si="17"/>
        <v>5062.6547243678933</v>
      </c>
      <c r="G32" s="182">
        <f t="shared" si="17"/>
        <v>1024.6833721153387</v>
      </c>
      <c r="H32" s="214">
        <f t="shared" ref="H32" si="18">H4/$B32</f>
        <v>88.549852708343337</v>
      </c>
      <c r="I32" s="182">
        <f>I4/$B32</f>
        <v>11161.710175598524</v>
      </c>
      <c r="J32" s="182">
        <f t="shared" si="17"/>
        <v>11250.260028306868</v>
      </c>
      <c r="K32" s="182"/>
      <c r="L32" s="182"/>
      <c r="M32" s="182"/>
    </row>
    <row r="33" spans="1:13" x14ac:dyDescent="0.2">
      <c r="A33" s="33" t="s">
        <v>76</v>
      </c>
      <c r="B33" s="221">
        <f t="shared" si="16"/>
        <v>18011</v>
      </c>
      <c r="C33" s="182">
        <f t="shared" si="17"/>
        <v>3193.1742696130145</v>
      </c>
      <c r="D33" s="182">
        <f t="shared" si="17"/>
        <v>366.60130253733826</v>
      </c>
      <c r="E33" s="182">
        <f t="shared" si="17"/>
        <v>1092.5394575537171</v>
      </c>
      <c r="F33" s="182">
        <f t="shared" si="17"/>
        <v>5279.6993298539783</v>
      </c>
      <c r="G33" s="182">
        <f t="shared" si="17"/>
        <v>2310.1701043806556</v>
      </c>
      <c r="H33" s="214">
        <f t="shared" ref="H33:I33" si="19">H5/$B33</f>
        <v>47.848890677919051</v>
      </c>
      <c r="I33" s="182">
        <f t="shared" si="19"/>
        <v>12242.184463938704</v>
      </c>
      <c r="J33" s="182">
        <f t="shared" si="17"/>
        <v>12290.033354616624</v>
      </c>
      <c r="K33" s="182"/>
      <c r="L33" s="182"/>
      <c r="M33" s="182"/>
    </row>
    <row r="34" spans="1:13" x14ac:dyDescent="0.2">
      <c r="A34" s="33" t="s">
        <v>77</v>
      </c>
      <c r="B34" s="221">
        <f t="shared" si="16"/>
        <v>16102</v>
      </c>
      <c r="C34" s="182">
        <f t="shared" si="17"/>
        <v>2886.9510365172032</v>
      </c>
      <c r="D34" s="182">
        <f t="shared" si="17"/>
        <v>517.65185629114399</v>
      </c>
      <c r="E34" s="182">
        <f t="shared" si="17"/>
        <v>978.93974102595939</v>
      </c>
      <c r="F34" s="182">
        <f t="shared" si="17"/>
        <v>5294.4643739908088</v>
      </c>
      <c r="G34" s="182">
        <f t="shared" si="17"/>
        <v>2253.7294677679793</v>
      </c>
      <c r="H34" s="214">
        <f t="shared" ref="H34:I34" si="20">H6/$B34</f>
        <v>34.049750341572484</v>
      </c>
      <c r="I34" s="182">
        <f t="shared" si="20"/>
        <v>11931.736475593096</v>
      </c>
      <c r="J34" s="182">
        <f t="shared" si="17"/>
        <v>11965.786225934669</v>
      </c>
      <c r="K34" s="182"/>
      <c r="L34" s="182"/>
      <c r="M34" s="182"/>
    </row>
    <row r="35" spans="1:13" x14ac:dyDescent="0.2">
      <c r="A35" s="33" t="s">
        <v>78</v>
      </c>
      <c r="B35" s="221">
        <f t="shared" si="16"/>
        <v>11739</v>
      </c>
      <c r="C35" s="182">
        <f t="shared" si="17"/>
        <v>3114.3840753045406</v>
      </c>
      <c r="D35" s="182">
        <f t="shared" si="17"/>
        <v>572.23270295595876</v>
      </c>
      <c r="E35" s="182">
        <f t="shared" si="17"/>
        <v>994.55743930488131</v>
      </c>
      <c r="F35" s="182">
        <f t="shared" si="17"/>
        <v>5306.8711474571928</v>
      </c>
      <c r="G35" s="182">
        <f t="shared" si="17"/>
        <v>1697.6423664707388</v>
      </c>
      <c r="H35" s="214">
        <f t="shared" ref="H35:I35" si="21">H7/$B35</f>
        <v>32.966279069767445</v>
      </c>
      <c r="I35" s="182">
        <f t="shared" si="21"/>
        <v>11685.687731493314</v>
      </c>
      <c r="J35" s="182">
        <f t="shared" si="17"/>
        <v>11718.654010563081</v>
      </c>
      <c r="K35" s="182"/>
      <c r="L35" s="182"/>
      <c r="M35" s="182"/>
    </row>
    <row r="36" spans="1:13" x14ac:dyDescent="0.2">
      <c r="A36" s="33" t="s">
        <v>79</v>
      </c>
      <c r="B36" s="221">
        <f t="shared" si="16"/>
        <v>4752</v>
      </c>
      <c r="C36" s="182">
        <f t="shared" si="17"/>
        <v>4095.5227462121202</v>
      </c>
      <c r="D36" s="182">
        <f t="shared" si="17"/>
        <v>1461.3021611952863</v>
      </c>
      <c r="E36" s="182">
        <f t="shared" si="17"/>
        <v>1272.2883438552192</v>
      </c>
      <c r="F36" s="182">
        <f t="shared" si="17"/>
        <v>5718.7159911616163</v>
      </c>
      <c r="G36" s="182">
        <f t="shared" si="17"/>
        <v>2478.9024242424243</v>
      </c>
      <c r="H36" s="214">
        <f t="shared" ref="H36:I36" si="22">H8/$B36</f>
        <v>69.743299663299666</v>
      </c>
      <c r="I36" s="182">
        <f t="shared" si="22"/>
        <v>15026.731666666667</v>
      </c>
      <c r="J36" s="182">
        <f t="shared" si="17"/>
        <v>15096.474966329964</v>
      </c>
      <c r="K36" s="182"/>
      <c r="L36" s="182"/>
      <c r="M36" s="182"/>
    </row>
    <row r="37" spans="1:13" x14ac:dyDescent="0.2">
      <c r="A37" s="33" t="s">
        <v>80</v>
      </c>
      <c r="B37" s="220">
        <f t="shared" si="16"/>
        <v>1577</v>
      </c>
      <c r="C37" s="183">
        <f t="shared" si="17"/>
        <v>5121.5791946734316</v>
      </c>
      <c r="D37" s="183">
        <f t="shared" si="17"/>
        <v>1021.0200126823082</v>
      </c>
      <c r="E37" s="183">
        <f t="shared" si="17"/>
        <v>1207.9035954343694</v>
      </c>
      <c r="F37" s="183">
        <f t="shared" si="17"/>
        <v>6058.0947875713355</v>
      </c>
      <c r="G37" s="183">
        <f t="shared" si="17"/>
        <v>2205.3384781230184</v>
      </c>
      <c r="H37" s="220">
        <f t="shared" ref="H37:I37" si="23">H9/$B37</f>
        <v>12.149651236525047</v>
      </c>
      <c r="I37" s="183">
        <f t="shared" si="23"/>
        <v>15613.936068484463</v>
      </c>
      <c r="J37" s="183">
        <f t="shared" si="17"/>
        <v>15626.08571972099</v>
      </c>
      <c r="K37" s="182"/>
      <c r="L37" s="182"/>
      <c r="M37" s="182"/>
    </row>
    <row r="38" spans="1:13" x14ac:dyDescent="0.2">
      <c r="A38" s="33" t="s">
        <v>171</v>
      </c>
      <c r="B38" s="221">
        <f>SUM(B32:B37)</f>
        <v>93867</v>
      </c>
      <c r="C38" s="182">
        <f t="shared" si="17"/>
        <v>3456.538779443255</v>
      </c>
      <c r="D38" s="182">
        <f t="shared" si="17"/>
        <v>439.41281781669807</v>
      </c>
      <c r="E38" s="182">
        <f t="shared" si="17"/>
        <v>1056.8317793260676</v>
      </c>
      <c r="F38" s="182">
        <f t="shared" si="17"/>
        <v>5224.5439727486764</v>
      </c>
      <c r="G38" s="182">
        <f t="shared" si="17"/>
        <v>1659.7863309789384</v>
      </c>
      <c r="H38" s="214">
        <f t="shared" ref="H38:I38" si="24">H10/$B38</f>
        <v>62.204352115226875</v>
      </c>
      <c r="I38" s="182">
        <f t="shared" si="24"/>
        <v>11837.113680313638</v>
      </c>
      <c r="J38" s="182">
        <f t="shared" si="17"/>
        <v>11899.318032428864</v>
      </c>
      <c r="K38" s="182"/>
      <c r="L38" s="182"/>
      <c r="M38" s="182"/>
    </row>
    <row r="39" spans="1:13" x14ac:dyDescent="0.2">
      <c r="A39" s="33"/>
      <c r="B39" s="182"/>
      <c r="C39" s="182"/>
      <c r="D39" s="182"/>
      <c r="E39" s="182"/>
      <c r="F39" s="182"/>
      <c r="G39" s="182"/>
      <c r="H39" s="214"/>
      <c r="I39" s="182"/>
      <c r="J39" s="182"/>
      <c r="K39" s="182"/>
      <c r="L39" s="182"/>
      <c r="M39" s="182"/>
    </row>
    <row r="40" spans="1:13" x14ac:dyDescent="0.2">
      <c r="A40" s="33"/>
      <c r="B40" s="221"/>
      <c r="C40" s="182"/>
      <c r="D40" s="182"/>
      <c r="E40" s="182"/>
      <c r="F40" s="182"/>
      <c r="G40" s="182"/>
      <c r="H40" s="214"/>
      <c r="I40" s="182"/>
      <c r="J40" s="182"/>
      <c r="K40" s="182"/>
      <c r="L40" s="182"/>
      <c r="M40" s="182"/>
    </row>
    <row r="41" spans="1:13" x14ac:dyDescent="0.2">
      <c r="A41" s="33" t="s">
        <v>81</v>
      </c>
      <c r="B41" s="221">
        <f>B13</f>
        <v>20514</v>
      </c>
      <c r="C41" s="182">
        <f t="shared" ref="C41:J46" si="25">C13/$B41</f>
        <v>4595.787424198109</v>
      </c>
      <c r="D41" s="182">
        <f t="shared" si="25"/>
        <v>468.52119576874333</v>
      </c>
      <c r="E41" s="182">
        <f t="shared" si="25"/>
        <v>1193.988404991713</v>
      </c>
      <c r="F41" s="182">
        <f t="shared" si="25"/>
        <v>5491.4617929219075</v>
      </c>
      <c r="G41" s="182">
        <f t="shared" si="25"/>
        <v>543.30542020083851</v>
      </c>
      <c r="H41" s="214">
        <f t="shared" ref="H41" si="26">H13/$B41</f>
        <v>95.62349858633128</v>
      </c>
      <c r="I41" s="182">
        <f t="shared" ref="I41:I53" si="27">I13/$B41</f>
        <v>12293.064238081311</v>
      </c>
      <c r="J41" s="182">
        <f t="shared" si="25"/>
        <v>12388.687736667642</v>
      </c>
      <c r="K41" s="182"/>
      <c r="L41" s="182"/>
      <c r="M41" s="182"/>
    </row>
    <row r="42" spans="1:13" x14ac:dyDescent="0.2">
      <c r="A42" s="33" t="s">
        <v>82</v>
      </c>
      <c r="B42" s="221">
        <f>B14</f>
        <v>8088</v>
      </c>
      <c r="C42" s="182">
        <f t="shared" si="25"/>
        <v>4227.7030637982198</v>
      </c>
      <c r="D42" s="182">
        <f t="shared" si="25"/>
        <v>841.66952274975267</v>
      </c>
      <c r="E42" s="182">
        <f t="shared" si="25"/>
        <v>1175.6199443620178</v>
      </c>
      <c r="F42" s="182">
        <f t="shared" si="25"/>
        <v>5658.2677398615242</v>
      </c>
      <c r="G42" s="182">
        <f t="shared" si="25"/>
        <v>1631.956258654797</v>
      </c>
      <c r="H42" s="214">
        <f t="shared" ref="H42" si="28">H14/$B42</f>
        <v>13.244583333333333</v>
      </c>
      <c r="I42" s="182">
        <f t="shared" si="27"/>
        <v>13535.216529426312</v>
      </c>
      <c r="J42" s="182">
        <f t="shared" si="25"/>
        <v>13548.461112759644</v>
      </c>
      <c r="K42" s="182"/>
      <c r="L42" s="182"/>
      <c r="M42" s="182"/>
    </row>
    <row r="43" spans="1:13" x14ac:dyDescent="0.2">
      <c r="A43" s="33" t="s">
        <v>83</v>
      </c>
      <c r="B43" s="221">
        <f>B15</f>
        <v>4253</v>
      </c>
      <c r="C43" s="182">
        <f t="shared" si="25"/>
        <v>4529.5791206207386</v>
      </c>
      <c r="D43" s="182">
        <f t="shared" si="25"/>
        <v>635.74340700681876</v>
      </c>
      <c r="E43" s="182">
        <f t="shared" si="25"/>
        <v>1167.2998189513285</v>
      </c>
      <c r="F43" s="182">
        <f t="shared" si="25"/>
        <v>6515.8072631083942</v>
      </c>
      <c r="G43" s="182">
        <f t="shared" si="25"/>
        <v>1485.4853256524805</v>
      </c>
      <c r="H43" s="214">
        <f t="shared" ref="H43" si="29">H15/$B43</f>
        <v>2.9151657653421115</v>
      </c>
      <c r="I43" s="182">
        <f t="shared" si="27"/>
        <v>14333.914935339761</v>
      </c>
      <c r="J43" s="182">
        <f t="shared" si="25"/>
        <v>14336.830101105103</v>
      </c>
      <c r="K43" s="182"/>
      <c r="L43" s="182"/>
      <c r="M43" s="182"/>
    </row>
    <row r="44" spans="1:13" x14ac:dyDescent="0.2">
      <c r="A44" s="33" t="s">
        <v>84</v>
      </c>
      <c r="B44" s="221">
        <f>B16</f>
        <v>3947</v>
      </c>
      <c r="C44" s="182">
        <f t="shared" si="25"/>
        <v>5374.6895616924257</v>
      </c>
      <c r="D44" s="182">
        <f t="shared" si="25"/>
        <v>1585.8729136052698</v>
      </c>
      <c r="E44" s="182">
        <f t="shared" si="25"/>
        <v>1603.3522979478084</v>
      </c>
      <c r="F44" s="182">
        <f t="shared" si="25"/>
        <v>7446.1313706612618</v>
      </c>
      <c r="G44" s="182">
        <f t="shared" si="25"/>
        <v>3387.6454522422086</v>
      </c>
      <c r="H44" s="214">
        <f t="shared" ref="H44" si="30">H16/$B44</f>
        <v>7.6320952622244747</v>
      </c>
      <c r="I44" s="182">
        <f t="shared" si="27"/>
        <v>19397.691596148972</v>
      </c>
      <c r="J44" s="182">
        <f t="shared" si="25"/>
        <v>19405.323691411195</v>
      </c>
      <c r="K44" s="182"/>
      <c r="L44" s="182"/>
      <c r="M44" s="182"/>
    </row>
    <row r="45" spans="1:13" x14ac:dyDescent="0.2">
      <c r="A45" s="33" t="s">
        <v>85</v>
      </c>
      <c r="B45" s="220">
        <f>B17</f>
        <v>1455</v>
      </c>
      <c r="C45" s="183">
        <f t="shared" si="25"/>
        <v>8950.4036975945019</v>
      </c>
      <c r="D45" s="183">
        <f t="shared" si="25"/>
        <v>2686.7865773195876</v>
      </c>
      <c r="E45" s="183">
        <f t="shared" si="25"/>
        <v>2340.4671065292096</v>
      </c>
      <c r="F45" s="183">
        <f t="shared" si="25"/>
        <v>10565.119381443299</v>
      </c>
      <c r="G45" s="183">
        <f t="shared" si="25"/>
        <v>2333.8176288659797</v>
      </c>
      <c r="H45" s="220">
        <f t="shared" ref="H45" si="31">H17/$B45</f>
        <v>6.3810171821305852</v>
      </c>
      <c r="I45" s="183">
        <f t="shared" si="27"/>
        <v>26876.594391752573</v>
      </c>
      <c r="J45" s="183">
        <f t="shared" si="25"/>
        <v>26882.975408934708</v>
      </c>
      <c r="K45" s="182"/>
      <c r="L45" s="182"/>
      <c r="M45" s="182"/>
    </row>
    <row r="46" spans="1:13" x14ac:dyDescent="0.2">
      <c r="A46" s="33" t="s">
        <v>172</v>
      </c>
      <c r="B46" s="221">
        <f>SUM(B41:B45)</f>
        <v>38257</v>
      </c>
      <c r="C46" s="182">
        <f t="shared" si="25"/>
        <v>4756.5852701466401</v>
      </c>
      <c r="D46" s="182">
        <f t="shared" si="25"/>
        <v>765.64284915178928</v>
      </c>
      <c r="E46" s="182">
        <f t="shared" si="25"/>
        <v>1272.9756525603159</v>
      </c>
      <c r="F46" s="182">
        <f t="shared" si="25"/>
        <v>6035.2294798337562</v>
      </c>
      <c r="G46" s="182">
        <f t="shared" si="25"/>
        <v>1239.7506325639752</v>
      </c>
      <c r="H46" s="214">
        <f t="shared" ref="H46" si="32">H18/$B46</f>
        <v>55.429048278746365</v>
      </c>
      <c r="I46" s="182">
        <f t="shared" si="27"/>
        <v>14070.183884256479</v>
      </c>
      <c r="J46" s="182">
        <f t="shared" si="25"/>
        <v>14125.612932535223</v>
      </c>
      <c r="K46" s="182"/>
      <c r="L46" s="182"/>
      <c r="M46" s="182"/>
    </row>
    <row r="47" spans="1:13" x14ac:dyDescent="0.2">
      <c r="A47" s="33"/>
      <c r="B47" s="182"/>
      <c r="C47" s="182"/>
      <c r="D47" s="182"/>
      <c r="E47" s="182"/>
      <c r="F47" s="182"/>
      <c r="G47" s="182"/>
      <c r="H47" s="214"/>
      <c r="I47" s="182"/>
      <c r="J47" s="182"/>
      <c r="K47" s="182"/>
      <c r="L47" s="182"/>
      <c r="M47" s="182"/>
    </row>
    <row r="48" spans="1:13" x14ac:dyDescent="0.2">
      <c r="A48" s="33"/>
      <c r="B48" s="221"/>
      <c r="C48" s="182"/>
      <c r="D48" s="182"/>
      <c r="E48" s="182"/>
      <c r="F48" s="182"/>
      <c r="G48" s="182"/>
      <c r="H48" s="214"/>
      <c r="I48" s="182"/>
      <c r="J48" s="182"/>
      <c r="K48" s="182"/>
      <c r="L48" s="182"/>
      <c r="M48" s="182"/>
    </row>
    <row r="49" spans="1:13" x14ac:dyDescent="0.2">
      <c r="A49" s="33" t="s">
        <v>86</v>
      </c>
      <c r="B49" s="221">
        <f>B21</f>
        <v>13573</v>
      </c>
      <c r="C49" s="182">
        <f t="shared" ref="C49:G51" si="33">C21/$B49</f>
        <v>3630.0345826272746</v>
      </c>
      <c r="D49" s="182">
        <f t="shared" si="33"/>
        <v>598.28550283651361</v>
      </c>
      <c r="E49" s="182">
        <f t="shared" si="33"/>
        <v>1008.5397215059307</v>
      </c>
      <c r="F49" s="182">
        <f t="shared" si="33"/>
        <v>5554.0481684226033</v>
      </c>
      <c r="G49" s="182">
        <f t="shared" si="33"/>
        <v>1079.9073646209386</v>
      </c>
      <c r="H49" s="214">
        <f t="shared" ref="H49" si="34">H21/$B49</f>
        <v>32.369593310248284</v>
      </c>
      <c r="I49" s="182">
        <f t="shared" si="27"/>
        <v>11870.81534001326</v>
      </c>
      <c r="J49" s="182">
        <f>J21/$B49</f>
        <v>11903.18493332351</v>
      </c>
      <c r="K49" s="182"/>
      <c r="L49" s="182"/>
      <c r="M49" s="182"/>
    </row>
    <row r="50" spans="1:13" x14ac:dyDescent="0.2">
      <c r="A50" s="33" t="s">
        <v>87</v>
      </c>
      <c r="B50" s="220">
        <f>B22</f>
        <v>7917</v>
      </c>
      <c r="C50" s="183">
        <f t="shared" si="33"/>
        <v>5859.8158582796514</v>
      </c>
      <c r="D50" s="183">
        <f t="shared" si="33"/>
        <v>1226.2966590880383</v>
      </c>
      <c r="E50" s="183">
        <f t="shared" si="33"/>
        <v>1509.0661702665152</v>
      </c>
      <c r="F50" s="183">
        <f t="shared" si="33"/>
        <v>6566.3514879373479</v>
      </c>
      <c r="G50" s="183">
        <f t="shared" si="33"/>
        <v>1858.7990994063409</v>
      </c>
      <c r="H50" s="220">
        <f t="shared" ref="H50" si="35">H22/$B50</f>
        <v>38.724768220285462</v>
      </c>
      <c r="I50" s="183">
        <f t="shared" si="27"/>
        <v>17020.329274977892</v>
      </c>
      <c r="J50" s="183">
        <f>J22/$B50</f>
        <v>17059.054043198179</v>
      </c>
      <c r="K50" s="182"/>
      <c r="L50" s="182"/>
      <c r="M50" s="182"/>
    </row>
    <row r="51" spans="1:13" x14ac:dyDescent="0.2">
      <c r="A51" s="33" t="s">
        <v>173</v>
      </c>
      <c r="B51" s="221">
        <f>SUM(B49:B50)</f>
        <v>21490</v>
      </c>
      <c r="C51" s="182">
        <f t="shared" si="33"/>
        <v>4451.4947203350393</v>
      </c>
      <c r="D51" s="182">
        <f t="shared" si="33"/>
        <v>829.64726756630978</v>
      </c>
      <c r="E51" s="182">
        <f t="shared" si="33"/>
        <v>1192.9356216845042</v>
      </c>
      <c r="F51" s="182">
        <f t="shared" si="33"/>
        <v>5926.9846682177749</v>
      </c>
      <c r="G51" s="182">
        <f t="shared" si="33"/>
        <v>1366.8541242438343</v>
      </c>
      <c r="H51" s="214">
        <f t="shared" ref="H51" si="36">H23/$B51</f>
        <v>34.710864588180549</v>
      </c>
      <c r="I51" s="182">
        <f t="shared" si="27"/>
        <v>13767.916402047462</v>
      </c>
      <c r="J51" s="182">
        <f>J23/$B51</f>
        <v>13802.627266635644</v>
      </c>
      <c r="K51" s="182"/>
      <c r="L51" s="182"/>
      <c r="M51" s="182"/>
    </row>
    <row r="52" spans="1:13" x14ac:dyDescent="0.2">
      <c r="A52" s="33"/>
      <c r="B52" s="214"/>
      <c r="C52" s="182"/>
      <c r="D52" s="182"/>
      <c r="E52" s="182"/>
      <c r="F52" s="182"/>
      <c r="G52" s="182"/>
      <c r="H52" s="214"/>
      <c r="I52" s="182"/>
      <c r="J52" s="182"/>
      <c r="K52" s="182"/>
      <c r="L52" s="182"/>
      <c r="M52" s="182"/>
    </row>
    <row r="53" spans="1:13" ht="13.5" thickBot="1" x14ac:dyDescent="0.25">
      <c r="A53" s="33" t="s">
        <v>174</v>
      </c>
      <c r="B53" s="222">
        <f>B51+B46+B38</f>
        <v>153614</v>
      </c>
      <c r="C53" s="192">
        <f t="shared" ref="C53:G53" si="37">C25/$B53</f>
        <v>3919.5010209355919</v>
      </c>
      <c r="D53" s="192">
        <f t="shared" si="37"/>
        <v>575.25148248206551</v>
      </c>
      <c r="E53" s="192">
        <f t="shared" si="37"/>
        <v>1129.7020107542282</v>
      </c>
      <c r="F53" s="192">
        <f t="shared" si="37"/>
        <v>5524.710923613733</v>
      </c>
      <c r="G53" s="192">
        <f t="shared" si="37"/>
        <v>1514.1979156196701</v>
      </c>
      <c r="H53" s="222">
        <f t="shared" ref="H53" si="38">H25/$B53</f>
        <v>56.670755920684314</v>
      </c>
      <c r="I53" s="192">
        <f t="shared" si="27"/>
        <v>12663.363353405291</v>
      </c>
      <c r="J53" s="192">
        <f>J25/$B53</f>
        <v>12720.034109325976</v>
      </c>
      <c r="K53" s="182"/>
      <c r="L53" s="182"/>
      <c r="M53" s="182"/>
    </row>
    <row r="54" spans="1:13" ht="13.5" thickTop="1" x14ac:dyDescent="0.2">
      <c r="A54" s="33"/>
      <c r="B54" s="296"/>
      <c r="C54" s="182"/>
      <c r="D54" s="182"/>
      <c r="E54" s="182"/>
      <c r="F54" s="182"/>
      <c r="G54" s="182"/>
      <c r="H54" s="182"/>
      <c r="I54" s="182"/>
      <c r="J54" s="182"/>
      <c r="K54" s="182"/>
      <c r="L54" s="182"/>
    </row>
    <row r="55" spans="1:13" x14ac:dyDescent="0.2">
      <c r="A55" s="33"/>
      <c r="B55" s="182"/>
      <c r="C55" s="182"/>
      <c r="D55" s="182"/>
      <c r="E55" s="182"/>
      <c r="F55" s="182"/>
      <c r="G55" s="182"/>
      <c r="H55" s="182"/>
      <c r="I55" s="182"/>
      <c r="J55" s="182"/>
      <c r="K55" s="182"/>
      <c r="L55" s="182"/>
      <c r="M55" s="182"/>
    </row>
    <row r="56" spans="1:13" x14ac:dyDescent="0.2">
      <c r="A56" s="36" t="s">
        <v>200</v>
      </c>
      <c r="B56" s="36"/>
      <c r="C56" s="36"/>
      <c r="D56" s="36"/>
      <c r="E56" s="36"/>
      <c r="F56" s="36"/>
      <c r="G56" s="36"/>
      <c r="H56" s="36"/>
      <c r="I56" s="36"/>
      <c r="J56" s="36"/>
      <c r="K56" s="36"/>
      <c r="L56" s="36"/>
      <c r="M56" s="182"/>
    </row>
    <row r="57" spans="1:13" x14ac:dyDescent="0.2">
      <c r="A57" s="36" t="s">
        <v>11</v>
      </c>
      <c r="B57" s="22" t="str">
        <f>C2</f>
        <v>FY20</v>
      </c>
      <c r="L57" s="202"/>
      <c r="M57" s="182"/>
    </row>
    <row r="58" spans="1:13" ht="33.75" x14ac:dyDescent="0.2">
      <c r="A58" s="20" t="s">
        <v>245</v>
      </c>
      <c r="B58" s="21"/>
      <c r="C58" s="202" t="str">
        <f t="shared" ref="C58:H58" si="39">C3</f>
        <v>20/Pupil Property Tax</v>
      </c>
      <c r="D58" s="202" t="str">
        <f t="shared" si="39"/>
        <v>20/Pupil Non Levy Revenue</v>
      </c>
      <c r="E58" s="202" t="str">
        <f t="shared" si="39"/>
        <v>20/Pupil County Revenue</v>
      </c>
      <c r="F58" s="202" t="str">
        <f t="shared" si="39"/>
        <v>20/Pupil State Revenue</v>
      </c>
      <c r="G58" s="202" t="str">
        <f t="shared" si="39"/>
        <v>20/Pupil Federal Revenue</v>
      </c>
      <c r="H58" s="202" t="str">
        <f t="shared" si="39"/>
        <v>20Federal CARES Revenue</v>
      </c>
      <c r="I58" s="202"/>
      <c r="J58" s="202"/>
      <c r="K58" s="202"/>
      <c r="L58" s="202"/>
    </row>
    <row r="59" spans="1:13" x14ac:dyDescent="0.2">
      <c r="A59" s="33" t="s">
        <v>102</v>
      </c>
      <c r="B59" s="221"/>
      <c r="C59" s="224">
        <f t="shared" ref="C59:G65" si="40">C32/$J32</f>
        <v>0.33340253893893085</v>
      </c>
      <c r="D59" s="224">
        <f t="shared" si="40"/>
        <v>2.3533241643580574E-2</v>
      </c>
      <c r="E59" s="224">
        <f t="shared" si="40"/>
        <v>9.4109090055822561E-2</v>
      </c>
      <c r="F59" s="224">
        <f t="shared" si="40"/>
        <v>0.45000335206739295</v>
      </c>
      <c r="G59" s="224">
        <f t="shared" si="40"/>
        <v>9.1080861201174437E-2</v>
      </c>
      <c r="H59" s="224">
        <f t="shared" ref="H59" si="41">H32/$J32</f>
        <v>7.8709160930985015E-3</v>
      </c>
      <c r="I59" s="224"/>
      <c r="J59" s="313"/>
      <c r="K59" s="313"/>
      <c r="L59" s="182"/>
    </row>
    <row r="60" spans="1:13" x14ac:dyDescent="0.2">
      <c r="A60" s="33" t="s">
        <v>76</v>
      </c>
      <c r="B60" s="221"/>
      <c r="C60" s="224">
        <f t="shared" si="40"/>
        <v>0.25981819393627048</v>
      </c>
      <c r="D60" s="224">
        <f t="shared" si="40"/>
        <v>2.9829154401735475E-2</v>
      </c>
      <c r="E60" s="224">
        <f t="shared" si="40"/>
        <v>8.8896378555662417E-2</v>
      </c>
      <c r="F60" s="224">
        <f t="shared" si="40"/>
        <v>0.42959194475015106</v>
      </c>
      <c r="G60" s="224">
        <f t="shared" si="40"/>
        <v>0.18797101990881612</v>
      </c>
      <c r="H60" s="224">
        <f t="shared" ref="H60" si="42">H33/$J33</f>
        <v>3.8933084473643932E-3</v>
      </c>
      <c r="I60" s="224"/>
      <c r="J60" s="313"/>
      <c r="K60" s="313"/>
      <c r="L60" s="182"/>
    </row>
    <row r="61" spans="1:13" x14ac:dyDescent="0.2">
      <c r="A61" s="33" t="s">
        <v>77</v>
      </c>
      <c r="B61" s="221"/>
      <c r="C61" s="224">
        <f t="shared" si="40"/>
        <v>0.24126714133167612</v>
      </c>
      <c r="D61" s="224">
        <f t="shared" si="40"/>
        <v>4.3260998192428367E-2</v>
      </c>
      <c r="E61" s="224">
        <f t="shared" si="40"/>
        <v>8.1811568629247558E-2</v>
      </c>
      <c r="F61" s="224">
        <f t="shared" si="40"/>
        <v>0.44246690305360598</v>
      </c>
      <c r="G61" s="224">
        <f t="shared" si="40"/>
        <v>0.18834779639329019</v>
      </c>
      <c r="H61" s="224">
        <f t="shared" ref="H61" si="43">H34/$J34</f>
        <v>2.8455923997516338E-3</v>
      </c>
      <c r="I61" s="224"/>
      <c r="J61" s="313"/>
      <c r="K61" s="313"/>
      <c r="L61" s="182"/>
    </row>
    <row r="62" spans="1:13" x14ac:dyDescent="0.2">
      <c r="A62" s="33" t="s">
        <v>78</v>
      </c>
      <c r="B62" s="221"/>
      <c r="C62" s="224">
        <f t="shared" si="40"/>
        <v>0.26576295131653044</v>
      </c>
      <c r="D62" s="224">
        <f t="shared" si="40"/>
        <v>4.8830923964488904E-2</v>
      </c>
      <c r="E62" s="224">
        <f t="shared" si="40"/>
        <v>8.4869596662585728E-2</v>
      </c>
      <c r="F62" s="224">
        <f t="shared" si="40"/>
        <v>0.45285671397701738</v>
      </c>
      <c r="G62" s="224">
        <f t="shared" si="40"/>
        <v>0.14486666855600486</v>
      </c>
      <c r="H62" s="224">
        <f t="shared" ref="H62" si="44">H35/$J35</f>
        <v>2.8131455233725614E-3</v>
      </c>
      <c r="I62" s="224"/>
      <c r="J62" s="313"/>
      <c r="K62" s="313"/>
      <c r="L62" s="182"/>
    </row>
    <row r="63" spans="1:13" x14ac:dyDescent="0.2">
      <c r="A63" s="33" t="s">
        <v>79</v>
      </c>
      <c r="B63" s="221"/>
      <c r="C63" s="224">
        <f t="shared" si="40"/>
        <v>0.27129000348402288</v>
      </c>
      <c r="D63" s="224">
        <f t="shared" si="40"/>
        <v>9.679757456323175E-2</v>
      </c>
      <c r="E63" s="224">
        <f t="shared" si="40"/>
        <v>8.4277180381038277E-2</v>
      </c>
      <c r="F63" s="224">
        <f t="shared" si="40"/>
        <v>0.37881134529194449</v>
      </c>
      <c r="G63" s="224">
        <f t="shared" si="40"/>
        <v>0.16420405622976098</v>
      </c>
      <c r="H63" s="224">
        <f t="shared" ref="H63" si="45">H36/$J36</f>
        <v>4.6198400500017285E-3</v>
      </c>
      <c r="I63" s="224"/>
      <c r="J63" s="313"/>
      <c r="K63" s="313"/>
      <c r="L63" s="182"/>
    </row>
    <row r="64" spans="1:13" x14ac:dyDescent="0.2">
      <c r="A64" s="33" t="s">
        <v>80</v>
      </c>
      <c r="B64" s="221"/>
      <c r="C64" s="225">
        <f t="shared" si="40"/>
        <v>0.32775829382592686</v>
      </c>
      <c r="D64" s="225">
        <f t="shared" si="40"/>
        <v>6.5340740540910006E-2</v>
      </c>
      <c r="E64" s="225">
        <f t="shared" si="40"/>
        <v>7.7300458803315528E-2</v>
      </c>
      <c r="F64" s="225">
        <f t="shared" si="40"/>
        <v>0.3876911272748032</v>
      </c>
      <c r="G64" s="225">
        <f t="shared" si="40"/>
        <v>0.14113185590296351</v>
      </c>
      <c r="H64" s="225">
        <f t="shared" ref="H64" si="46">H37/$J37</f>
        <v>7.775236520807966E-4</v>
      </c>
      <c r="I64" s="313"/>
      <c r="J64" s="313"/>
      <c r="K64" s="313"/>
      <c r="L64" s="182"/>
    </row>
    <row r="65" spans="1:12" x14ac:dyDescent="0.2">
      <c r="A65" s="33" t="s">
        <v>171</v>
      </c>
      <c r="B65" s="221"/>
      <c r="C65" s="224">
        <f t="shared" si="40"/>
        <v>0.29048209065622504</v>
      </c>
      <c r="D65" s="224">
        <f t="shared" si="40"/>
        <v>3.6927563127498494E-2</v>
      </c>
      <c r="E65" s="224">
        <f t="shared" si="40"/>
        <v>8.8814483018767529E-2</v>
      </c>
      <c r="F65" s="224">
        <f t="shared" si="40"/>
        <v>0.43906247051388819</v>
      </c>
      <c r="G65" s="224">
        <f t="shared" si="40"/>
        <v>0.13948583662152497</v>
      </c>
      <c r="H65" s="224">
        <f t="shared" ref="H65" si="47">H38/$J38</f>
        <v>5.2275560620955895E-3</v>
      </c>
      <c r="I65" s="224"/>
      <c r="J65" s="313"/>
      <c r="K65" s="313"/>
      <c r="L65" s="182"/>
    </row>
    <row r="66" spans="1:12" x14ac:dyDescent="0.2">
      <c r="A66" s="33"/>
      <c r="B66" s="182"/>
      <c r="C66" s="224"/>
      <c r="D66" s="224"/>
      <c r="E66" s="224"/>
      <c r="F66" s="224"/>
      <c r="G66" s="224"/>
      <c r="H66" s="224"/>
      <c r="I66" s="224"/>
      <c r="J66" s="313"/>
      <c r="K66" s="313"/>
      <c r="L66" s="182"/>
    </row>
    <row r="67" spans="1:12" x14ac:dyDescent="0.2">
      <c r="A67" s="33"/>
      <c r="B67" s="221"/>
      <c r="C67" s="224"/>
      <c r="D67" s="224"/>
      <c r="E67" s="224"/>
      <c r="F67" s="224"/>
      <c r="G67" s="224"/>
      <c r="H67" s="224"/>
      <c r="I67" s="224"/>
      <c r="J67" s="313"/>
      <c r="K67" s="313"/>
      <c r="L67" s="182"/>
    </row>
    <row r="68" spans="1:12" x14ac:dyDescent="0.2">
      <c r="A68" s="33" t="s">
        <v>81</v>
      </c>
      <c r="B68" s="221"/>
      <c r="C68" s="224">
        <f t="shared" ref="C68:G73" si="48">C41/$J41</f>
        <v>0.37096644308788607</v>
      </c>
      <c r="D68" s="224">
        <f t="shared" si="48"/>
        <v>3.7818468406627871E-2</v>
      </c>
      <c r="E68" s="224">
        <f t="shared" si="48"/>
        <v>9.6377310524809204E-2</v>
      </c>
      <c r="F68" s="224">
        <f t="shared" si="48"/>
        <v>0.44326420276688827</v>
      </c>
      <c r="G68" s="224">
        <f t="shared" si="48"/>
        <v>4.3854961215365897E-2</v>
      </c>
      <c r="H68" s="224">
        <f t="shared" ref="H68" si="49">H41/$J41</f>
        <v>7.7186139984227629E-3</v>
      </c>
      <c r="I68" s="224"/>
      <c r="J68" s="313"/>
      <c r="K68" s="313"/>
      <c r="L68" s="182"/>
    </row>
    <row r="69" spans="1:12" x14ac:dyDescent="0.2">
      <c r="A69" s="33" t="s">
        <v>82</v>
      </c>
      <c r="B69" s="221"/>
      <c r="C69" s="224">
        <f t="shared" si="48"/>
        <v>0.31204304522944393</v>
      </c>
      <c r="D69" s="224">
        <f t="shared" si="48"/>
        <v>6.212288729655701E-2</v>
      </c>
      <c r="E69" s="224">
        <f t="shared" si="48"/>
        <v>8.6771474234431295E-2</v>
      </c>
      <c r="F69" s="224">
        <f t="shared" si="48"/>
        <v>0.41763176590828399</v>
      </c>
      <c r="G69" s="224">
        <f t="shared" si="48"/>
        <v>0.12045325628294835</v>
      </c>
      <c r="H69" s="224">
        <f t="shared" ref="H69" si="50">H42/$J42</f>
        <v>9.7757104833550985E-4</v>
      </c>
      <c r="I69" s="224"/>
      <c r="J69" s="313"/>
      <c r="K69" s="313"/>
      <c r="L69" s="182"/>
    </row>
    <row r="70" spans="1:12" x14ac:dyDescent="0.2">
      <c r="A70" s="33" t="s">
        <v>83</v>
      </c>
      <c r="B70" s="221"/>
      <c r="C70" s="224">
        <f t="shared" si="48"/>
        <v>0.31594007103924543</v>
      </c>
      <c r="D70" s="224">
        <f t="shared" si="48"/>
        <v>4.4343373153164084E-2</v>
      </c>
      <c r="E70" s="224">
        <f t="shared" si="48"/>
        <v>8.1419659068244901E-2</v>
      </c>
      <c r="F70" s="224">
        <f t="shared" si="48"/>
        <v>0.45448032913538866</v>
      </c>
      <c r="G70" s="224">
        <f t="shared" si="48"/>
        <v>0.10361323355139553</v>
      </c>
      <c r="H70" s="224">
        <f t="shared" ref="H70" si="51">H43/$J43</f>
        <v>2.0333405256141011E-4</v>
      </c>
      <c r="I70" s="224"/>
      <c r="J70" s="313"/>
      <c r="K70" s="313"/>
      <c r="L70" s="182"/>
    </row>
    <row r="71" spans="1:12" x14ac:dyDescent="0.2">
      <c r="A71" s="33" t="s">
        <v>84</v>
      </c>
      <c r="B71" s="221"/>
      <c r="C71" s="224">
        <f t="shared" si="48"/>
        <v>0.27696984843758449</v>
      </c>
      <c r="D71" s="224">
        <f t="shared" si="48"/>
        <v>8.1723600122536363E-2</v>
      </c>
      <c r="E71" s="224">
        <f t="shared" si="48"/>
        <v>8.2624352133711276E-2</v>
      </c>
      <c r="F71" s="224">
        <f t="shared" si="48"/>
        <v>0.38371590647348608</v>
      </c>
      <c r="G71" s="224">
        <f t="shared" si="48"/>
        <v>0.1745729937883789</v>
      </c>
      <c r="H71" s="224">
        <f t="shared" ref="H71" si="52">H44/$J44</f>
        <v>3.9329904430310757E-4</v>
      </c>
      <c r="I71" s="224"/>
      <c r="J71" s="313"/>
      <c r="K71" s="313"/>
      <c r="L71" s="182"/>
    </row>
    <row r="72" spans="1:12" x14ac:dyDescent="0.2">
      <c r="A72" s="33" t="s">
        <v>85</v>
      </c>
      <c r="B72" s="221"/>
      <c r="C72" s="225">
        <f t="shared" si="48"/>
        <v>0.33293947420045567</v>
      </c>
      <c r="D72" s="225">
        <f t="shared" si="48"/>
        <v>9.9943794779004225E-2</v>
      </c>
      <c r="E72" s="225">
        <f t="shared" si="48"/>
        <v>8.7061311887051837E-2</v>
      </c>
      <c r="F72" s="225">
        <f t="shared" si="48"/>
        <v>0.3930040935101225</v>
      </c>
      <c r="G72" s="225">
        <f t="shared" si="48"/>
        <v>8.6813962865521288E-2</v>
      </c>
      <c r="H72" s="225">
        <f t="shared" ref="H72" si="53">H45/$J45</f>
        <v>2.3736275784449879E-4</v>
      </c>
      <c r="I72" s="313"/>
      <c r="J72" s="313"/>
      <c r="K72" s="313"/>
      <c r="L72" s="182"/>
    </row>
    <row r="73" spans="1:12" x14ac:dyDescent="0.2">
      <c r="A73" s="33" t="s">
        <v>172</v>
      </c>
      <c r="B73" s="221"/>
      <c r="C73" s="224">
        <f t="shared" si="48"/>
        <v>0.33673478757094488</v>
      </c>
      <c r="D73" s="224">
        <f t="shared" si="48"/>
        <v>5.4202451448198782E-2</v>
      </c>
      <c r="E73" s="224">
        <f t="shared" si="48"/>
        <v>9.0118259550231491E-2</v>
      </c>
      <c r="F73" s="224">
        <f t="shared" si="48"/>
        <v>0.4272543434864296</v>
      </c>
      <c r="G73" s="224">
        <f t="shared" si="48"/>
        <v>8.7766147811432937E-2</v>
      </c>
      <c r="H73" s="224">
        <f t="shared" ref="H73" si="54">H46/$J46</f>
        <v>3.9240101327622972E-3</v>
      </c>
      <c r="I73" s="224"/>
      <c r="J73" s="313"/>
      <c r="K73" s="313"/>
      <c r="L73" s="182"/>
    </row>
    <row r="74" spans="1:12" x14ac:dyDescent="0.2">
      <c r="A74" s="33"/>
      <c r="B74" s="182"/>
      <c r="C74" s="224"/>
      <c r="D74" s="224"/>
      <c r="E74" s="224"/>
      <c r="F74" s="224"/>
      <c r="G74" s="224"/>
      <c r="H74" s="224"/>
      <c r="I74" s="224"/>
      <c r="J74" s="313"/>
      <c r="K74" s="313"/>
      <c r="L74" s="182"/>
    </row>
    <row r="75" spans="1:12" x14ac:dyDescent="0.2">
      <c r="A75" s="33"/>
      <c r="B75" s="221"/>
      <c r="C75" s="224"/>
      <c r="D75" s="224"/>
      <c r="E75" s="224"/>
      <c r="F75" s="224"/>
      <c r="G75" s="224"/>
      <c r="H75" s="224"/>
      <c r="I75" s="224"/>
      <c r="J75" s="313"/>
      <c r="K75" s="313"/>
      <c r="L75" s="182"/>
    </row>
    <row r="76" spans="1:12" x14ac:dyDescent="0.2">
      <c r="A76" s="33" t="s">
        <v>86</v>
      </c>
      <c r="B76" s="221"/>
      <c r="C76" s="224">
        <f t="shared" ref="C76:G78" si="55">C49/$J49</f>
        <v>0.30496330208773176</v>
      </c>
      <c r="D76" s="224">
        <f t="shared" si="55"/>
        <v>5.0262640309114752E-2</v>
      </c>
      <c r="E76" s="224">
        <f t="shared" si="55"/>
        <v>8.4728560226135591E-2</v>
      </c>
      <c r="F76" s="224">
        <f t="shared" si="55"/>
        <v>0.46660185484254657</v>
      </c>
      <c r="G76" s="224">
        <f t="shared" si="55"/>
        <v>9.0724236468652061E-2</v>
      </c>
      <c r="H76" s="224">
        <f t="shared" ref="H76" si="56">H49/$J49</f>
        <v>2.7194060658192521E-3</v>
      </c>
      <c r="I76" s="224"/>
      <c r="J76" s="313"/>
      <c r="K76" s="313"/>
      <c r="L76" s="182"/>
    </row>
    <row r="77" spans="1:12" x14ac:dyDescent="0.2">
      <c r="A77" s="33" t="s">
        <v>87</v>
      </c>
      <c r="B77" s="221"/>
      <c r="C77" s="225">
        <f t="shared" si="55"/>
        <v>0.34350180516698048</v>
      </c>
      <c r="D77" s="225">
        <f t="shared" si="55"/>
        <v>7.1885384499206145E-2</v>
      </c>
      <c r="E77" s="225">
        <f t="shared" si="55"/>
        <v>8.8461304269577198E-2</v>
      </c>
      <c r="F77" s="225">
        <f t="shared" si="55"/>
        <v>0.38491885138000936</v>
      </c>
      <c r="G77" s="225">
        <f t="shared" si="55"/>
        <v>0.10896261273921487</v>
      </c>
      <c r="H77" s="225">
        <f t="shared" ref="H77" si="57">H50/$J50</f>
        <v>2.2700419450119441E-3</v>
      </c>
      <c r="I77" s="313"/>
      <c r="J77" s="313"/>
      <c r="K77" s="313"/>
      <c r="L77" s="182"/>
    </row>
    <row r="78" spans="1:12" x14ac:dyDescent="0.2">
      <c r="A78" s="33" t="s">
        <v>173</v>
      </c>
      <c r="B78" s="221"/>
      <c r="C78" s="224">
        <f t="shared" si="55"/>
        <v>0.32251068107123348</v>
      </c>
      <c r="D78" s="224">
        <f t="shared" si="55"/>
        <v>6.0107923769829819E-2</v>
      </c>
      <c r="E78" s="224">
        <f t="shared" si="55"/>
        <v>8.6428155932901554E-2</v>
      </c>
      <c r="F78" s="224">
        <f t="shared" si="55"/>
        <v>0.42940989086510795</v>
      </c>
      <c r="G78" s="224">
        <f t="shared" si="55"/>
        <v>9.9028547090296209E-2</v>
      </c>
      <c r="H78" s="224">
        <f t="shared" ref="H78" si="58">H51/$J51</f>
        <v>2.5148012706309379E-3</v>
      </c>
      <c r="I78" s="224"/>
      <c r="J78" s="313"/>
      <c r="K78" s="313"/>
      <c r="L78" s="182"/>
    </row>
    <row r="79" spans="1:12" x14ac:dyDescent="0.2">
      <c r="A79" s="33"/>
      <c r="B79" s="221"/>
      <c r="C79" s="224"/>
      <c r="D79" s="224"/>
      <c r="E79" s="224"/>
      <c r="F79" s="224"/>
      <c r="G79" s="224"/>
      <c r="H79" s="224"/>
      <c r="I79" s="224"/>
      <c r="J79" s="313"/>
      <c r="K79" s="313"/>
      <c r="L79" s="182"/>
    </row>
    <row r="80" spans="1:12" ht="13.5" thickBot="1" x14ac:dyDescent="0.25">
      <c r="A80" s="33" t="s">
        <v>208</v>
      </c>
      <c r="B80" s="221"/>
      <c r="C80" s="226">
        <f t="shared" ref="C80:H80" si="59">C53/$J53</f>
        <v>0.30813604643260528</v>
      </c>
      <c r="D80" s="226">
        <f t="shared" si="59"/>
        <v>4.5224051880513989E-2</v>
      </c>
      <c r="E80" s="226">
        <f t="shared" si="59"/>
        <v>8.881281300385524E-2</v>
      </c>
      <c r="F80" s="226">
        <f t="shared" si="59"/>
        <v>0.43433145509909982</v>
      </c>
      <c r="G80" s="226">
        <f t="shared" si="59"/>
        <v>0.11904039742389544</v>
      </c>
      <c r="H80" s="226">
        <f t="shared" si="59"/>
        <v>4.4552361600300183E-3</v>
      </c>
      <c r="I80" s="313"/>
      <c r="J80" s="313"/>
      <c r="K80" s="313"/>
      <c r="L80" s="182"/>
    </row>
    <row r="81" spans="1:13" ht="13.5" thickTop="1" x14ac:dyDescent="0.2">
      <c r="A81" s="33"/>
      <c r="B81" s="33"/>
      <c r="C81" s="296"/>
      <c r="D81" s="33"/>
      <c r="E81" s="33"/>
      <c r="F81" s="33"/>
      <c r="G81" s="33"/>
      <c r="H81" s="33"/>
      <c r="I81" s="33"/>
      <c r="J81" s="33"/>
      <c r="K81" s="33"/>
      <c r="L81" s="33"/>
      <c r="M81" s="182"/>
    </row>
    <row r="82" spans="1:13" x14ac:dyDescent="0.2">
      <c r="A82" s="33"/>
      <c r="B82" s="33"/>
      <c r="C82" s="33"/>
      <c r="D82" s="33"/>
      <c r="E82" s="33"/>
      <c r="F82" s="33"/>
      <c r="G82" s="33"/>
      <c r="H82" s="33"/>
      <c r="I82" s="33"/>
      <c r="J82" s="33"/>
      <c r="K82" s="33"/>
      <c r="L82" s="33"/>
      <c r="M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44"/>
  <dimension ref="A1:K75"/>
  <sheetViews>
    <sheetView topLeftCell="A28" workbookViewId="0">
      <selection activeCell="C26" sqref="C26"/>
    </sheetView>
  </sheetViews>
  <sheetFormatPr defaultRowHeight="12.75" x14ac:dyDescent="0.2"/>
  <cols>
    <col min="1" max="1" width="18" customWidth="1"/>
    <col min="2" max="2" width="7.7109375" bestFit="1" customWidth="1"/>
    <col min="3" max="4" width="10.7109375" bestFit="1" customWidth="1"/>
    <col min="5" max="6" width="9.85546875" bestFit="1" customWidth="1"/>
    <col min="7" max="7" width="10.7109375" bestFit="1" customWidth="1"/>
    <col min="8" max="10" width="9.85546875" bestFit="1" customWidth="1"/>
    <col min="11" max="11" width="12" bestFit="1" customWidth="1"/>
  </cols>
  <sheetData>
    <row r="1" spans="1:11" x14ac:dyDescent="0.2">
      <c r="A1" s="36" t="s">
        <v>247</v>
      </c>
      <c r="B1" s="22"/>
      <c r="C1" s="22"/>
      <c r="D1" s="22"/>
      <c r="E1" s="22"/>
      <c r="F1" s="22"/>
      <c r="G1" s="22"/>
      <c r="H1" s="22"/>
      <c r="I1" s="22"/>
      <c r="J1" s="22"/>
      <c r="K1" s="22"/>
    </row>
    <row r="2" spans="1:11" x14ac:dyDescent="0.2">
      <c r="A2" s="22" t="s">
        <v>55</v>
      </c>
      <c r="B2" s="22"/>
      <c r="C2" s="22"/>
      <c r="D2" s="22"/>
      <c r="E2" s="22"/>
      <c r="F2" s="22"/>
      <c r="G2" s="22"/>
      <c r="H2" s="22"/>
      <c r="I2" s="22"/>
      <c r="J2" s="22"/>
      <c r="K2" s="22"/>
    </row>
    <row r="3" spans="1:11" ht="33.75" x14ac:dyDescent="0.2">
      <c r="A3" s="21" t="s">
        <v>245</v>
      </c>
      <c r="B3" s="12" t="s">
        <v>54</v>
      </c>
      <c r="C3" s="12" t="s">
        <v>57</v>
      </c>
      <c r="D3" s="12" t="s">
        <v>58</v>
      </c>
      <c r="E3" s="12" t="s">
        <v>59</v>
      </c>
      <c r="F3" s="12" t="s">
        <v>60</v>
      </c>
      <c r="G3" s="12" t="s">
        <v>61</v>
      </c>
      <c r="H3" s="12" t="s">
        <v>62</v>
      </c>
      <c r="I3" s="12" t="s">
        <v>53</v>
      </c>
      <c r="J3" s="12" t="s">
        <v>63</v>
      </c>
      <c r="K3" s="12" t="s">
        <v>64</v>
      </c>
    </row>
    <row r="4" spans="1:11" x14ac:dyDescent="0.2">
      <c r="A4" s="33" t="s">
        <v>102</v>
      </c>
      <c r="B4" s="208">
        <v>35880</v>
      </c>
      <c r="C4" s="208">
        <v>157067920.48000002</v>
      </c>
      <c r="D4" s="208">
        <v>31098146.660000004</v>
      </c>
      <c r="E4" s="208">
        <v>9044051.0299999993</v>
      </c>
      <c r="F4" s="208">
        <v>15269973.75</v>
      </c>
      <c r="G4" s="208">
        <v>25147494.879999995</v>
      </c>
      <c r="H4" s="208">
        <v>11495359.1</v>
      </c>
      <c r="I4" s="208">
        <v>8849557.6400000006</v>
      </c>
      <c r="J4" s="208">
        <v>11560891.780000001</v>
      </c>
      <c r="K4" s="208">
        <v>269533395.32000005</v>
      </c>
    </row>
    <row r="5" spans="1:11" x14ac:dyDescent="0.2">
      <c r="A5" s="33" t="s">
        <v>76</v>
      </c>
      <c r="B5" s="208">
        <v>18007</v>
      </c>
      <c r="C5" s="208">
        <v>83360681.310000002</v>
      </c>
      <c r="D5" s="208">
        <v>16872923.16</v>
      </c>
      <c r="E5" s="208">
        <v>6095998.3799999999</v>
      </c>
      <c r="F5" s="208">
        <v>9090364.2800000012</v>
      </c>
      <c r="G5" s="208">
        <v>14130731.230000002</v>
      </c>
      <c r="H5" s="208">
        <v>6613037.4299999988</v>
      </c>
      <c r="I5" s="208">
        <v>7145136.4000000004</v>
      </c>
      <c r="J5" s="208">
        <v>7292046.9900000002</v>
      </c>
      <c r="K5" s="208">
        <v>150600919.18000001</v>
      </c>
    </row>
    <row r="6" spans="1:11" x14ac:dyDescent="0.2">
      <c r="A6" s="33" t="s">
        <v>77</v>
      </c>
      <c r="B6" s="208">
        <v>11214</v>
      </c>
      <c r="C6" s="208">
        <v>55913440.220000006</v>
      </c>
      <c r="D6" s="208">
        <v>9434670.9199999999</v>
      </c>
      <c r="E6" s="208">
        <v>4643825.17</v>
      </c>
      <c r="F6" s="208">
        <v>5299773.21</v>
      </c>
      <c r="G6" s="208">
        <v>9110678.1999999993</v>
      </c>
      <c r="H6" s="208">
        <v>4437274.5599999996</v>
      </c>
      <c r="I6" s="208">
        <v>4819297.26</v>
      </c>
      <c r="J6" s="208">
        <v>4150054.79</v>
      </c>
      <c r="K6" s="208">
        <v>97809014.330000013</v>
      </c>
    </row>
    <row r="7" spans="1:11" x14ac:dyDescent="0.2">
      <c r="A7" s="33" t="s">
        <v>78</v>
      </c>
      <c r="B7" s="208">
        <v>15199</v>
      </c>
      <c r="C7" s="208">
        <v>72900697.279999986</v>
      </c>
      <c r="D7" s="208">
        <v>6960195.2000000002</v>
      </c>
      <c r="E7" s="208">
        <v>9078035.5600000005</v>
      </c>
      <c r="F7" s="208">
        <v>5181766.82</v>
      </c>
      <c r="G7" s="208">
        <v>12318575.579999996</v>
      </c>
      <c r="H7" s="208">
        <v>6068397.8899999997</v>
      </c>
      <c r="I7" s="208">
        <v>8446852.9099999983</v>
      </c>
      <c r="J7" s="208">
        <v>5921422.2050000001</v>
      </c>
      <c r="K7" s="208">
        <v>126875943.44499998</v>
      </c>
    </row>
    <row r="8" spans="1:11" x14ac:dyDescent="0.2">
      <c r="A8" s="33" t="s">
        <v>79</v>
      </c>
      <c r="B8" s="208">
        <v>5522</v>
      </c>
      <c r="C8" s="208">
        <v>29850997.47000001</v>
      </c>
      <c r="D8" s="208">
        <v>2220637.39</v>
      </c>
      <c r="E8" s="208">
        <v>4951609.87</v>
      </c>
      <c r="F8" s="208">
        <v>2103758.7000000002</v>
      </c>
      <c r="G8" s="208">
        <v>5651172.2599999998</v>
      </c>
      <c r="H8" s="208">
        <v>4016931.62</v>
      </c>
      <c r="I8" s="208">
        <v>3810236.07</v>
      </c>
      <c r="J8" s="208">
        <v>1920566.9850000001</v>
      </c>
      <c r="K8" s="208">
        <v>54525910.36500001</v>
      </c>
    </row>
    <row r="9" spans="1:11" x14ac:dyDescent="0.2">
      <c r="A9" s="33" t="s">
        <v>80</v>
      </c>
      <c r="B9" s="209">
        <v>1621</v>
      </c>
      <c r="C9" s="209">
        <v>8531294.2999999989</v>
      </c>
      <c r="D9" s="209">
        <v>451441.3</v>
      </c>
      <c r="E9" s="209">
        <v>1367823.4</v>
      </c>
      <c r="F9" s="209">
        <v>217005.93</v>
      </c>
      <c r="G9" s="209">
        <v>1901233.48</v>
      </c>
      <c r="H9" s="209">
        <v>1055747.69</v>
      </c>
      <c r="I9" s="209">
        <v>387684.96</v>
      </c>
      <c r="J9" s="209">
        <v>377254.98</v>
      </c>
      <c r="K9" s="209">
        <v>14289486.040000001</v>
      </c>
    </row>
    <row r="10" spans="1:11" x14ac:dyDescent="0.2">
      <c r="A10" s="182" t="s">
        <v>103</v>
      </c>
      <c r="B10" s="208">
        <v>87443</v>
      </c>
      <c r="C10" s="208">
        <v>407588687.26000005</v>
      </c>
      <c r="D10" s="208">
        <v>67038014.63000001</v>
      </c>
      <c r="E10" s="208">
        <v>35178128.059999995</v>
      </c>
      <c r="F10" s="208">
        <v>37162642.690000005</v>
      </c>
      <c r="G10" s="208">
        <v>68252151.340000004</v>
      </c>
      <c r="H10" s="208">
        <v>33686346.289999999</v>
      </c>
      <c r="I10" s="208">
        <v>33458765.240000002</v>
      </c>
      <c r="J10" s="208">
        <v>31222237.73</v>
      </c>
      <c r="K10" s="208">
        <v>713634668.67999995</v>
      </c>
    </row>
    <row r="11" spans="1:11" x14ac:dyDescent="0.2">
      <c r="A11" s="33"/>
      <c r="B11" s="182"/>
      <c r="C11" s="214"/>
      <c r="D11" s="214"/>
      <c r="E11" s="214"/>
      <c r="F11" s="214"/>
      <c r="G11" s="214"/>
      <c r="H11" s="214"/>
      <c r="I11" s="214"/>
      <c r="J11" s="214"/>
      <c r="K11" s="182"/>
    </row>
    <row r="12" spans="1:11" x14ac:dyDescent="0.2">
      <c r="A12" s="33" t="s">
        <v>81</v>
      </c>
      <c r="B12" s="208">
        <v>22784</v>
      </c>
      <c r="C12" s="208">
        <v>102090168.19000001</v>
      </c>
      <c r="D12" s="208">
        <v>16670457.91</v>
      </c>
      <c r="E12" s="208">
        <v>7900717.3399999999</v>
      </c>
      <c r="F12" s="208">
        <v>10849879.449999999</v>
      </c>
      <c r="G12" s="208">
        <v>17787690.219999999</v>
      </c>
      <c r="H12" s="208">
        <v>6866517.4100000011</v>
      </c>
      <c r="I12" s="208">
        <v>14047677.939999998</v>
      </c>
      <c r="J12" s="208">
        <v>11600913.490000002</v>
      </c>
      <c r="K12" s="208">
        <v>187814021.95000002</v>
      </c>
    </row>
    <row r="13" spans="1:11" x14ac:dyDescent="0.2">
      <c r="A13" s="33" t="s">
        <v>82</v>
      </c>
      <c r="B13" s="208">
        <v>9015</v>
      </c>
      <c r="C13" s="208">
        <v>35927393.969999999</v>
      </c>
      <c r="D13" s="208">
        <v>6738252.4499999993</v>
      </c>
      <c r="E13" s="208">
        <v>3499899.26</v>
      </c>
      <c r="F13" s="208">
        <v>5134033.07</v>
      </c>
      <c r="G13" s="208">
        <v>8892901.6799999997</v>
      </c>
      <c r="H13" s="208">
        <v>4378089.97</v>
      </c>
      <c r="I13" s="208">
        <v>6696509.8900000006</v>
      </c>
      <c r="J13" s="208">
        <v>4499683.13</v>
      </c>
      <c r="K13" s="208">
        <v>75766763.419999987</v>
      </c>
    </row>
    <row r="14" spans="1:11" x14ac:dyDescent="0.2">
      <c r="A14" s="33" t="s">
        <v>83</v>
      </c>
      <c r="B14" s="208">
        <v>5035</v>
      </c>
      <c r="C14" s="208">
        <v>21992849.09</v>
      </c>
      <c r="D14" s="208">
        <v>3027698.43</v>
      </c>
      <c r="E14" s="208">
        <v>2741601.55</v>
      </c>
      <c r="F14" s="208">
        <v>2634667.8199999998</v>
      </c>
      <c r="G14" s="208">
        <v>5601855.9400000004</v>
      </c>
      <c r="H14" s="208">
        <v>3681386.44</v>
      </c>
      <c r="I14" s="208">
        <v>4684495.87</v>
      </c>
      <c r="J14" s="208">
        <v>2428381.62</v>
      </c>
      <c r="K14" s="208">
        <v>46792936.75999999</v>
      </c>
    </row>
    <row r="15" spans="1:11" x14ac:dyDescent="0.2">
      <c r="A15" s="33" t="s">
        <v>84</v>
      </c>
      <c r="B15" s="208">
        <v>5261</v>
      </c>
      <c r="C15" s="208">
        <v>27335648.229999997</v>
      </c>
      <c r="D15" s="208">
        <v>3227765.84</v>
      </c>
      <c r="E15" s="208">
        <v>4756412.75</v>
      </c>
      <c r="F15" s="208">
        <v>3040122.27</v>
      </c>
      <c r="G15" s="208">
        <v>8020105.7000000011</v>
      </c>
      <c r="H15" s="208">
        <v>4813791.2300000004</v>
      </c>
      <c r="I15" s="208">
        <v>5513247.6600000001</v>
      </c>
      <c r="J15" s="208">
        <v>3160235.97</v>
      </c>
      <c r="K15" s="208">
        <v>59867329.649999991</v>
      </c>
    </row>
    <row r="16" spans="1:11" x14ac:dyDescent="0.2">
      <c r="A16" s="33" t="s">
        <v>85</v>
      </c>
      <c r="B16" s="209">
        <v>1470</v>
      </c>
      <c r="C16" s="209">
        <v>10865875.989999998</v>
      </c>
      <c r="D16" s="209">
        <v>663220.71</v>
      </c>
      <c r="E16" s="209">
        <v>2902315.04</v>
      </c>
      <c r="F16" s="209">
        <v>652715.54</v>
      </c>
      <c r="G16" s="209">
        <v>3292726.3</v>
      </c>
      <c r="H16" s="209">
        <v>1885754.49</v>
      </c>
      <c r="I16" s="209">
        <v>2240112.17</v>
      </c>
      <c r="J16" s="209">
        <v>728965.36</v>
      </c>
      <c r="K16" s="209">
        <v>23231685.599999994</v>
      </c>
    </row>
    <row r="17" spans="1:11" x14ac:dyDescent="0.2">
      <c r="A17" s="182" t="s">
        <v>104</v>
      </c>
      <c r="B17" s="208">
        <v>43565</v>
      </c>
      <c r="C17" s="208">
        <v>198211935.47000003</v>
      </c>
      <c r="D17" s="208">
        <v>30327395.34</v>
      </c>
      <c r="E17" s="208">
        <v>21800945.939999998</v>
      </c>
      <c r="F17" s="208">
        <v>22311418.149999999</v>
      </c>
      <c r="G17" s="208">
        <v>43595279.839999996</v>
      </c>
      <c r="H17" s="208">
        <v>21625539.539999999</v>
      </c>
      <c r="I17" s="208">
        <v>33182043.530000001</v>
      </c>
      <c r="J17" s="208">
        <v>22418179.57</v>
      </c>
      <c r="K17" s="208">
        <v>393472737.38</v>
      </c>
    </row>
    <row r="18" spans="1:11" x14ac:dyDescent="0.2">
      <c r="A18" s="33"/>
      <c r="B18" s="182"/>
      <c r="C18" s="214"/>
      <c r="D18" s="214"/>
      <c r="E18" s="214"/>
      <c r="F18" s="214"/>
      <c r="G18" s="214"/>
      <c r="H18" s="214"/>
      <c r="I18" s="214"/>
      <c r="J18" s="214"/>
      <c r="K18" s="182"/>
    </row>
    <row r="19" spans="1:11" x14ac:dyDescent="0.2">
      <c r="A19" s="33" t="s">
        <v>86</v>
      </c>
      <c r="B19" s="208">
        <v>10667</v>
      </c>
      <c r="C19" s="208">
        <v>44810619.299999997</v>
      </c>
      <c r="D19" s="208">
        <v>5158959.07</v>
      </c>
      <c r="E19" s="208">
        <v>3933251.46</v>
      </c>
      <c r="F19" s="208">
        <v>4702400.9000000004</v>
      </c>
      <c r="G19" s="208">
        <v>7846417.04</v>
      </c>
      <c r="H19" s="208">
        <v>4322582.2</v>
      </c>
      <c r="I19" s="208">
        <v>5648449.2399999993</v>
      </c>
      <c r="J19" s="208">
        <v>4427666.66</v>
      </c>
      <c r="K19" s="208">
        <v>80850345.86999999</v>
      </c>
    </row>
    <row r="20" spans="1:11" x14ac:dyDescent="0.2">
      <c r="A20" s="33" t="s">
        <v>87</v>
      </c>
      <c r="B20" s="209">
        <v>7224</v>
      </c>
      <c r="C20" s="209">
        <v>41706259.68</v>
      </c>
      <c r="D20" s="209">
        <v>3600873.11</v>
      </c>
      <c r="E20" s="209">
        <v>7440338.2699999996</v>
      </c>
      <c r="F20" s="209">
        <v>2815408.78</v>
      </c>
      <c r="G20" s="209">
        <v>10147763.67</v>
      </c>
      <c r="H20" s="209">
        <v>6593782.5600000005</v>
      </c>
      <c r="I20" s="209">
        <v>6983048.8799999999</v>
      </c>
      <c r="J20" s="209">
        <v>3147102.48</v>
      </c>
      <c r="K20" s="209">
        <v>82434577.430000007</v>
      </c>
    </row>
    <row r="21" spans="1:11" x14ac:dyDescent="0.2">
      <c r="A21" s="182" t="s">
        <v>105</v>
      </c>
      <c r="B21" s="208">
        <v>17891</v>
      </c>
      <c r="C21" s="208">
        <v>86516878.979999989</v>
      </c>
      <c r="D21" s="208">
        <v>8759832.1799999997</v>
      </c>
      <c r="E21" s="208">
        <v>11373589.73</v>
      </c>
      <c r="F21" s="208">
        <v>7517809.6799999997</v>
      </c>
      <c r="G21" s="208">
        <v>17994180.710000001</v>
      </c>
      <c r="H21" s="208">
        <v>10916364.760000002</v>
      </c>
      <c r="I21" s="208">
        <v>12631498.119999999</v>
      </c>
      <c r="J21" s="208">
        <v>7574769.1400000006</v>
      </c>
      <c r="K21" s="208">
        <v>163284923.30000001</v>
      </c>
    </row>
    <row r="22" spans="1:11" x14ac:dyDescent="0.2">
      <c r="A22" s="33"/>
      <c r="B22" s="208"/>
      <c r="C22" s="208"/>
      <c r="D22" s="208"/>
      <c r="E22" s="208"/>
      <c r="F22" s="208"/>
      <c r="G22" s="208"/>
      <c r="H22" s="208"/>
      <c r="I22" s="208"/>
      <c r="J22" s="208"/>
      <c r="K22" s="208"/>
    </row>
    <row r="23" spans="1:11" ht="13.5" thickBot="1" x14ac:dyDescent="0.25">
      <c r="A23" s="182" t="s">
        <v>209</v>
      </c>
      <c r="B23" s="213">
        <v>148899</v>
      </c>
      <c r="C23" s="213">
        <v>692353845.51000011</v>
      </c>
      <c r="D23" s="213">
        <v>106125242.15000001</v>
      </c>
      <c r="E23" s="213">
        <v>68355879.079999998</v>
      </c>
      <c r="F23" s="213">
        <v>66991870.520000003</v>
      </c>
      <c r="G23" s="213">
        <v>129849346.18000001</v>
      </c>
      <c r="H23" s="213">
        <v>66228652.590000004</v>
      </c>
      <c r="I23" s="213">
        <v>79272306.890000001</v>
      </c>
      <c r="J23" s="213">
        <v>61215186.439999998</v>
      </c>
      <c r="K23" s="213">
        <v>1270392329.3599999</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52</v>
      </c>
      <c r="B26" s="22"/>
      <c r="C26" s="22"/>
      <c r="D26" s="22"/>
      <c r="E26" s="22"/>
      <c r="F26" s="22"/>
      <c r="G26" s="22"/>
      <c r="H26" s="22"/>
      <c r="I26" s="22"/>
      <c r="J26" s="22"/>
      <c r="K26" s="22"/>
    </row>
    <row r="27" spans="1:11" ht="33.75" x14ac:dyDescent="0.2">
      <c r="A27" s="21" t="s">
        <v>245</v>
      </c>
      <c r="B27" s="12" t="s">
        <v>54</v>
      </c>
      <c r="C27" s="12" t="s">
        <v>57</v>
      </c>
      <c r="D27" s="12" t="s">
        <v>58</v>
      </c>
      <c r="E27" s="12" t="s">
        <v>59</v>
      </c>
      <c r="F27" s="12" t="s">
        <v>60</v>
      </c>
      <c r="G27" s="12" t="s">
        <v>61</v>
      </c>
      <c r="H27" s="12" t="s">
        <v>62</v>
      </c>
      <c r="I27" s="12" t="s">
        <v>53</v>
      </c>
      <c r="J27" s="12" t="s">
        <v>63</v>
      </c>
      <c r="K27" s="12" t="s">
        <v>64</v>
      </c>
    </row>
    <row r="28" spans="1:11" x14ac:dyDescent="0.2">
      <c r="A28" s="182" t="s">
        <v>102</v>
      </c>
      <c r="B28" s="208">
        <v>35880</v>
      </c>
      <c r="C28" s="182">
        <v>4377.5897569676708</v>
      </c>
      <c r="D28" s="182">
        <v>866.7264955406913</v>
      </c>
      <c r="E28" s="182">
        <v>252.06385256410255</v>
      </c>
      <c r="F28" s="182">
        <v>425.58455267558526</v>
      </c>
      <c r="G28" s="182">
        <v>700.87778372352273</v>
      </c>
      <c r="H28" s="182">
        <v>320.38347547380152</v>
      </c>
      <c r="I28" s="182">
        <v>246.64318952062433</v>
      </c>
      <c r="J28" s="182">
        <v>322.20991583054632</v>
      </c>
      <c r="K28" s="182">
        <v>7512.0790222965452</v>
      </c>
    </row>
    <row r="29" spans="1:11" x14ac:dyDescent="0.2">
      <c r="A29" s="182" t="s">
        <v>76</v>
      </c>
      <c r="B29" s="208">
        <v>18007</v>
      </c>
      <c r="C29" s="182">
        <v>4629.3486594102296</v>
      </c>
      <c r="D29" s="182">
        <v>937.02022324651523</v>
      </c>
      <c r="E29" s="182">
        <v>338.53492419614594</v>
      </c>
      <c r="F29" s="182">
        <v>504.82391736546907</v>
      </c>
      <c r="G29" s="182">
        <v>784.73544899205876</v>
      </c>
      <c r="H29" s="182">
        <v>367.24814960848551</v>
      </c>
      <c r="I29" s="182">
        <v>396.79771200088857</v>
      </c>
      <c r="J29" s="182">
        <v>404.95623868495585</v>
      </c>
      <c r="K29" s="182">
        <v>8363.4652735047493</v>
      </c>
    </row>
    <row r="30" spans="1:11" x14ac:dyDescent="0.2">
      <c r="A30" s="182" t="s">
        <v>77</v>
      </c>
      <c r="B30" s="208">
        <v>11214</v>
      </c>
      <c r="C30" s="182">
        <v>4986.0388995897993</v>
      </c>
      <c r="D30" s="182">
        <v>841.32967005528803</v>
      </c>
      <c r="E30" s="182">
        <v>414.10961030854287</v>
      </c>
      <c r="F30" s="182">
        <v>472.60328250401284</v>
      </c>
      <c r="G30" s="182">
        <v>812.43786338505436</v>
      </c>
      <c r="H30" s="182">
        <v>395.69061530230067</v>
      </c>
      <c r="I30" s="182">
        <v>429.7572017121455</v>
      </c>
      <c r="J30" s="182">
        <v>370.07800873907615</v>
      </c>
      <c r="K30" s="182">
        <v>8722.0451515962195</v>
      </c>
    </row>
    <row r="31" spans="1:11" x14ac:dyDescent="0.2">
      <c r="A31" s="182" t="s">
        <v>78</v>
      </c>
      <c r="B31" s="208">
        <v>15199</v>
      </c>
      <c r="C31" s="182">
        <v>4796.4140588196578</v>
      </c>
      <c r="D31" s="182">
        <v>457.93770642805447</v>
      </c>
      <c r="E31" s="182">
        <v>597.27847621554054</v>
      </c>
      <c r="F31" s="182">
        <v>340.92814132508721</v>
      </c>
      <c r="G31" s="182">
        <v>810.48592538982803</v>
      </c>
      <c r="H31" s="182">
        <v>399.26297059017037</v>
      </c>
      <c r="I31" s="182">
        <v>555.75056977432712</v>
      </c>
      <c r="J31" s="182">
        <v>389.59288143956837</v>
      </c>
      <c r="K31" s="182">
        <v>8347.6507299822333</v>
      </c>
    </row>
    <row r="32" spans="1:11" x14ac:dyDescent="0.2">
      <c r="A32" s="182" t="s">
        <v>79</v>
      </c>
      <c r="B32" s="208">
        <v>5522</v>
      </c>
      <c r="C32" s="182">
        <v>5405.8307624049276</v>
      </c>
      <c r="D32" s="182">
        <v>402.14367801521189</v>
      </c>
      <c r="E32" s="182">
        <v>896.70588011590007</v>
      </c>
      <c r="F32" s="182">
        <v>380.97767113364728</v>
      </c>
      <c r="G32" s="182">
        <v>1023.3922962694676</v>
      </c>
      <c r="H32" s="182">
        <v>727.44143788482438</v>
      </c>
      <c r="I32" s="182">
        <v>690.01015392973557</v>
      </c>
      <c r="J32" s="182">
        <v>347.80278612821445</v>
      </c>
      <c r="K32" s="182">
        <v>9874.3046658819294</v>
      </c>
    </row>
    <row r="33" spans="1:11" x14ac:dyDescent="0.2">
      <c r="A33" s="182" t="s">
        <v>80</v>
      </c>
      <c r="B33" s="209">
        <v>1621</v>
      </c>
      <c r="C33" s="183">
        <v>5262.9822948797027</v>
      </c>
      <c r="D33" s="183">
        <v>278.49555829734732</v>
      </c>
      <c r="E33" s="183">
        <v>843.81455891425037</v>
      </c>
      <c r="F33" s="183">
        <v>133.8716409623689</v>
      </c>
      <c r="G33" s="183">
        <v>1172.8769154842689</v>
      </c>
      <c r="H33" s="183">
        <v>651.29407156076491</v>
      </c>
      <c r="I33" s="183">
        <v>239.16407156076497</v>
      </c>
      <c r="J33" s="183">
        <v>232.72978408389881</v>
      </c>
      <c r="K33" s="183">
        <v>8815.2288957433684</v>
      </c>
    </row>
    <row r="34" spans="1:11" x14ac:dyDescent="0.2">
      <c r="A34" s="182" t="s">
        <v>219</v>
      </c>
      <c r="B34" s="208">
        <v>87443</v>
      </c>
      <c r="C34" s="182">
        <v>4661.1928600345373</v>
      </c>
      <c r="D34" s="182">
        <v>766.6481551410634</v>
      </c>
      <c r="E34" s="182">
        <v>402.29781754971805</v>
      </c>
      <c r="F34" s="182">
        <v>424.99276888944803</v>
      </c>
      <c r="G34" s="182">
        <v>780.53304827144541</v>
      </c>
      <c r="H34" s="182">
        <v>385.23776963278937</v>
      </c>
      <c r="I34" s="182">
        <v>382.63514792493396</v>
      </c>
      <c r="J34" s="182">
        <v>357.05817195201445</v>
      </c>
      <c r="K34" s="182">
        <v>8161.1411854579546</v>
      </c>
    </row>
    <row r="35" spans="1:11" x14ac:dyDescent="0.2">
      <c r="A35" s="182"/>
      <c r="B35" s="214"/>
      <c r="C35" s="182"/>
      <c r="D35" s="182"/>
      <c r="E35" s="182"/>
      <c r="F35" s="182"/>
      <c r="G35" s="182"/>
      <c r="H35" s="182"/>
      <c r="I35" s="182"/>
      <c r="J35" s="182"/>
      <c r="K35" s="182"/>
    </row>
    <row r="36" spans="1:11" x14ac:dyDescent="0.2">
      <c r="A36" s="182" t="s">
        <v>81</v>
      </c>
      <c r="B36" s="208">
        <v>22784</v>
      </c>
      <c r="C36" s="182">
        <v>4480.7833650807588</v>
      </c>
      <c r="D36" s="182">
        <v>731.67389001053368</v>
      </c>
      <c r="E36" s="182">
        <v>346.76603493679772</v>
      </c>
      <c r="F36" s="182">
        <v>476.20608541081458</v>
      </c>
      <c r="G36" s="182">
        <v>780.70971822331455</v>
      </c>
      <c r="H36" s="182">
        <v>301.37453520014049</v>
      </c>
      <c r="I36" s="182">
        <v>616.55889834971902</v>
      </c>
      <c r="J36" s="182">
        <v>509.16930696980347</v>
      </c>
      <c r="K36" s="182">
        <v>8243.241834181883</v>
      </c>
    </row>
    <row r="37" spans="1:11" x14ac:dyDescent="0.2">
      <c r="A37" s="182" t="s">
        <v>82</v>
      </c>
      <c r="B37" s="208">
        <v>9015</v>
      </c>
      <c r="C37" s="182">
        <v>3985.2905124792014</v>
      </c>
      <c r="D37" s="182">
        <v>747.44896838602324</v>
      </c>
      <c r="E37" s="182">
        <v>388.23064448141986</v>
      </c>
      <c r="F37" s="182">
        <v>569.49895396561294</v>
      </c>
      <c r="G37" s="182">
        <v>986.45609317803655</v>
      </c>
      <c r="H37" s="182">
        <v>485.64503272323901</v>
      </c>
      <c r="I37" s="182">
        <v>742.81862340543546</v>
      </c>
      <c r="J37" s="182">
        <v>499.13290404880752</v>
      </c>
      <c r="K37" s="182">
        <v>8404.5217326677739</v>
      </c>
    </row>
    <row r="38" spans="1:11" x14ac:dyDescent="0.2">
      <c r="A38" s="182" t="s">
        <v>83</v>
      </c>
      <c r="B38" s="208">
        <v>5035</v>
      </c>
      <c r="C38" s="182">
        <v>4367.993860973188</v>
      </c>
      <c r="D38" s="182">
        <v>601.33037338629595</v>
      </c>
      <c r="E38" s="182">
        <v>544.50874875868919</v>
      </c>
      <c r="F38" s="182">
        <v>523.27066931479635</v>
      </c>
      <c r="G38" s="182">
        <v>1112.5831062562067</v>
      </c>
      <c r="H38" s="182">
        <v>731.15917378351537</v>
      </c>
      <c r="I38" s="182">
        <v>930.38646871896731</v>
      </c>
      <c r="J38" s="182">
        <v>482.30022244289972</v>
      </c>
      <c r="K38" s="182">
        <v>9293.5326236345554</v>
      </c>
    </row>
    <row r="39" spans="1:11" x14ac:dyDescent="0.2">
      <c r="A39" s="182" t="s">
        <v>84</v>
      </c>
      <c r="B39" s="208">
        <v>5261</v>
      </c>
      <c r="C39" s="182">
        <v>5195.903484128492</v>
      </c>
      <c r="D39" s="182">
        <v>613.52705569283398</v>
      </c>
      <c r="E39" s="182">
        <v>904.0890990306026</v>
      </c>
      <c r="F39" s="182">
        <v>577.86015396312484</v>
      </c>
      <c r="G39" s="182">
        <v>1524.4451054932524</v>
      </c>
      <c r="H39" s="182">
        <v>914.99548184755758</v>
      </c>
      <c r="I39" s="182">
        <v>1047.9467135525565</v>
      </c>
      <c r="J39" s="182">
        <v>600.69111765823993</v>
      </c>
      <c r="K39" s="182">
        <v>11379.458211366658</v>
      </c>
    </row>
    <row r="40" spans="1:11" x14ac:dyDescent="0.2">
      <c r="A40" s="182" t="s">
        <v>85</v>
      </c>
      <c r="B40" s="209">
        <v>1470</v>
      </c>
      <c r="C40" s="183">
        <v>7391.7523741496589</v>
      </c>
      <c r="D40" s="183">
        <v>451.17055102040814</v>
      </c>
      <c r="E40" s="183">
        <v>1974.3639727891157</v>
      </c>
      <c r="F40" s="183">
        <v>444.02417687074831</v>
      </c>
      <c r="G40" s="183">
        <v>2239.9498639455783</v>
      </c>
      <c r="H40" s="183">
        <v>1282.8261836734694</v>
      </c>
      <c r="I40" s="183">
        <v>1523.8858299319727</v>
      </c>
      <c r="J40" s="183">
        <v>495.89480272108841</v>
      </c>
      <c r="K40" s="183">
        <v>15803.867755102037</v>
      </c>
    </row>
    <row r="41" spans="1:11" x14ac:dyDescent="0.2">
      <c r="A41" s="182" t="s">
        <v>220</v>
      </c>
      <c r="B41" s="208">
        <v>43565</v>
      </c>
      <c r="C41" s="182">
        <v>4549.797669459429</v>
      </c>
      <c r="D41" s="182">
        <v>696.14129094456564</v>
      </c>
      <c r="E41" s="182">
        <v>500.42341191323305</v>
      </c>
      <c r="F41" s="182">
        <v>512.14089636175822</v>
      </c>
      <c r="G41" s="182">
        <v>1000.6950496958567</v>
      </c>
      <c r="H41" s="182">
        <v>496.39709721106391</v>
      </c>
      <c r="I41" s="182">
        <v>761.66747457821646</v>
      </c>
      <c r="J41" s="182">
        <v>514.59152002754502</v>
      </c>
      <c r="K41" s="182">
        <v>9031.8544101916668</v>
      </c>
    </row>
    <row r="42" spans="1:11" x14ac:dyDescent="0.2">
      <c r="A42" s="182"/>
      <c r="B42" s="214"/>
      <c r="C42" s="182"/>
      <c r="D42" s="182"/>
      <c r="E42" s="182"/>
      <c r="F42" s="182"/>
      <c r="G42" s="182"/>
      <c r="H42" s="182"/>
      <c r="I42" s="182"/>
      <c r="J42" s="182"/>
      <c r="K42" s="182"/>
    </row>
    <row r="43" spans="1:11" x14ac:dyDescent="0.2">
      <c r="A43" s="182" t="s">
        <v>86</v>
      </c>
      <c r="B43" s="208">
        <v>10667</v>
      </c>
      <c r="C43" s="182">
        <v>4200.8642823661758</v>
      </c>
      <c r="D43" s="182">
        <v>483.63729914690168</v>
      </c>
      <c r="E43" s="182">
        <v>368.73080153745195</v>
      </c>
      <c r="F43" s="182">
        <v>440.83630824036754</v>
      </c>
      <c r="G43" s="182">
        <v>735.57861066841656</v>
      </c>
      <c r="H43" s="182">
        <v>405.2294178306928</v>
      </c>
      <c r="I43" s="182">
        <v>529.52556857598188</v>
      </c>
      <c r="J43" s="182">
        <v>415.08077810068437</v>
      </c>
      <c r="K43" s="182">
        <v>7579.4830664666715</v>
      </c>
    </row>
    <row r="44" spans="1:11" x14ac:dyDescent="0.2">
      <c r="A44" s="182" t="s">
        <v>87</v>
      </c>
      <c r="B44" s="209">
        <v>7224</v>
      </c>
      <c r="C44" s="183">
        <v>5773.2917607973422</v>
      </c>
      <c r="D44" s="183">
        <v>498.45973283499444</v>
      </c>
      <c r="E44" s="183">
        <v>1029.9471580841639</v>
      </c>
      <c r="F44" s="183">
        <v>389.72989756367662</v>
      </c>
      <c r="G44" s="183">
        <v>1404.7291901993356</v>
      </c>
      <c r="H44" s="183">
        <v>912.76059800664461</v>
      </c>
      <c r="I44" s="183">
        <v>966.64574750830559</v>
      </c>
      <c r="J44" s="183">
        <v>435.64541528239204</v>
      </c>
      <c r="K44" s="183">
        <v>11411.209500276856</v>
      </c>
    </row>
    <row r="45" spans="1:11" x14ac:dyDescent="0.2">
      <c r="A45" s="182" t="s">
        <v>221</v>
      </c>
      <c r="B45" s="208">
        <v>17891</v>
      </c>
      <c r="C45" s="182">
        <v>4835.7765904644784</v>
      </c>
      <c r="D45" s="182">
        <v>489.62227824045607</v>
      </c>
      <c r="E45" s="182">
        <v>635.71570789782572</v>
      </c>
      <c r="F45" s="182">
        <v>420.20064166340615</v>
      </c>
      <c r="G45" s="182">
        <v>1005.7671851769046</v>
      </c>
      <c r="H45" s="182">
        <v>610.15956402660561</v>
      </c>
      <c r="I45" s="182">
        <v>706.02527080655068</v>
      </c>
      <c r="J45" s="182">
        <v>423.38433514057351</v>
      </c>
      <c r="K45" s="182">
        <v>9126.6515734168024</v>
      </c>
    </row>
    <row r="46" spans="1:11" x14ac:dyDescent="0.2">
      <c r="A46" s="182"/>
      <c r="B46" s="208"/>
      <c r="C46" s="182"/>
      <c r="D46" s="182"/>
      <c r="E46" s="182"/>
      <c r="F46" s="182"/>
      <c r="G46" s="182"/>
      <c r="H46" s="182"/>
      <c r="I46" s="182"/>
      <c r="J46" s="182"/>
      <c r="K46" s="182"/>
    </row>
    <row r="47" spans="1:11" ht="13.5" thickBot="1" x14ac:dyDescent="0.25">
      <c r="A47" s="182" t="s">
        <v>222</v>
      </c>
      <c r="B47" s="213">
        <v>148899</v>
      </c>
      <c r="C47" s="192">
        <v>4649.821996856931</v>
      </c>
      <c r="D47" s="192">
        <v>712.7330751046012</v>
      </c>
      <c r="E47" s="192">
        <v>459.07547451628284</v>
      </c>
      <c r="F47" s="192">
        <v>449.91484509634051</v>
      </c>
      <c r="G47" s="192">
        <v>872.06325213735488</v>
      </c>
      <c r="H47" s="192">
        <v>444.78910261318077</v>
      </c>
      <c r="I47" s="192">
        <v>532.38978696969082</v>
      </c>
      <c r="J47" s="192">
        <v>411.11885533146631</v>
      </c>
      <c r="K47" s="192">
        <v>8531.9063886258464</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56</v>
      </c>
      <c r="B50" s="182"/>
      <c r="C50" s="182"/>
      <c r="D50" s="182"/>
      <c r="E50" s="182"/>
      <c r="F50" s="182"/>
      <c r="G50" s="182"/>
      <c r="H50" s="182"/>
      <c r="I50" s="182"/>
      <c r="J50" s="182"/>
      <c r="K50" s="182"/>
    </row>
    <row r="51" spans="1:11" ht="33.75" x14ac:dyDescent="0.2">
      <c r="A51" s="21" t="s">
        <v>245</v>
      </c>
      <c r="B51" s="12" t="s">
        <v>54</v>
      </c>
      <c r="C51" s="12" t="s">
        <v>57</v>
      </c>
      <c r="D51" s="12" t="s">
        <v>58</v>
      </c>
      <c r="E51" s="12" t="s">
        <v>59</v>
      </c>
      <c r="F51" s="12" t="s">
        <v>60</v>
      </c>
      <c r="G51" s="12" t="s">
        <v>61</v>
      </c>
      <c r="H51" s="12" t="s">
        <v>62</v>
      </c>
      <c r="I51" s="12" t="s">
        <v>53</v>
      </c>
      <c r="J51" s="12" t="s">
        <v>63</v>
      </c>
      <c r="K51" s="12" t="s">
        <v>64</v>
      </c>
    </row>
    <row r="52" spans="1:11" x14ac:dyDescent="0.2">
      <c r="A52" s="182" t="s">
        <v>102</v>
      </c>
      <c r="B52" s="208">
        <v>35880</v>
      </c>
      <c r="C52" s="191">
        <v>0.58274011015786442</v>
      </c>
      <c r="D52" s="191">
        <v>0.1153777127434585</v>
      </c>
      <c r="E52" s="191">
        <v>3.3554472978246597E-2</v>
      </c>
      <c r="F52" s="191">
        <v>5.66533647226568E-2</v>
      </c>
      <c r="G52" s="191">
        <v>9.330010795190688E-2</v>
      </c>
      <c r="H52" s="191">
        <v>4.2649108791703833E-2</v>
      </c>
      <c r="I52" s="191">
        <v>3.2832880057380193E-2</v>
      </c>
      <c r="J52" s="191">
        <v>4.2892242596782794E-2</v>
      </c>
      <c r="K52" s="191">
        <v>1</v>
      </c>
    </row>
    <row r="53" spans="1:11" x14ac:dyDescent="0.2">
      <c r="A53" s="182" t="s">
        <v>76</v>
      </c>
      <c r="B53" s="208">
        <v>18007</v>
      </c>
      <c r="C53" s="191">
        <v>0.55352040189320706</v>
      </c>
      <c r="D53" s="191">
        <v>0.11203731857594627</v>
      </c>
      <c r="E53" s="191">
        <v>4.0477829837904176E-2</v>
      </c>
      <c r="F53" s="191">
        <v>6.0360616186778314E-2</v>
      </c>
      <c r="G53" s="191">
        <v>9.3828983959326193E-2</v>
      </c>
      <c r="H53" s="191">
        <v>4.3911003106800545E-2</v>
      </c>
      <c r="I53" s="191">
        <v>4.7444175234150114E-2</v>
      </c>
      <c r="J53" s="191">
        <v>4.8419671205887249E-2</v>
      </c>
      <c r="K53" s="191">
        <v>1</v>
      </c>
    </row>
    <row r="54" spans="1:11" x14ac:dyDescent="0.2">
      <c r="A54" s="182" t="s">
        <v>77</v>
      </c>
      <c r="B54" s="208">
        <v>11214</v>
      </c>
      <c r="C54" s="191">
        <v>0.57165937723646221</v>
      </c>
      <c r="D54" s="191">
        <v>9.646013697846044E-2</v>
      </c>
      <c r="E54" s="191">
        <v>4.7478498805151995E-2</v>
      </c>
      <c r="F54" s="191">
        <v>5.4184915841386329E-2</v>
      </c>
      <c r="G54" s="191">
        <v>9.3147633297492191E-2</v>
      </c>
      <c r="H54" s="191">
        <v>4.5366724022276518E-2</v>
      </c>
      <c r="I54" s="191">
        <v>4.9272526596986915E-2</v>
      </c>
      <c r="J54" s="191">
        <v>4.2430187221783447E-2</v>
      </c>
      <c r="K54" s="191">
        <v>1</v>
      </c>
    </row>
    <row r="55" spans="1:11" x14ac:dyDescent="0.2">
      <c r="A55" s="182" t="s">
        <v>78</v>
      </c>
      <c r="B55" s="208">
        <v>15199</v>
      </c>
      <c r="C55" s="191">
        <v>0.57458250398431154</v>
      </c>
      <c r="D55" s="191">
        <v>5.4858273452108017E-2</v>
      </c>
      <c r="E55" s="191">
        <v>7.1550487141286007E-2</v>
      </c>
      <c r="F55" s="191">
        <v>4.084120818574459E-2</v>
      </c>
      <c r="G55" s="191">
        <v>9.7091499345894769E-2</v>
      </c>
      <c r="H55" s="191">
        <v>4.7829381403816845E-2</v>
      </c>
      <c r="I55" s="191">
        <v>6.6575685513319258E-2</v>
      </c>
      <c r="J55" s="191">
        <v>4.667096097351902E-2</v>
      </c>
      <c r="K55" s="191">
        <v>1</v>
      </c>
    </row>
    <row r="56" spans="1:11" x14ac:dyDescent="0.2">
      <c r="A56" s="182" t="s">
        <v>79</v>
      </c>
      <c r="B56" s="208">
        <v>5522</v>
      </c>
      <c r="C56" s="191">
        <v>0.54746444892300705</v>
      </c>
      <c r="D56" s="191">
        <v>4.0726278115026562E-2</v>
      </c>
      <c r="E56" s="191">
        <v>9.0812053147826408E-2</v>
      </c>
      <c r="F56" s="191">
        <v>3.8582734078483089E-2</v>
      </c>
      <c r="G56" s="191">
        <v>0.10364196071501938</v>
      </c>
      <c r="H56" s="191">
        <v>7.3670143113804001E-2</v>
      </c>
      <c r="I56" s="191">
        <v>6.9879366424036388E-2</v>
      </c>
      <c r="J56" s="191">
        <v>3.5223015482797063E-2</v>
      </c>
      <c r="K56" s="191">
        <v>1</v>
      </c>
    </row>
    <row r="57" spans="1:11" x14ac:dyDescent="0.2">
      <c r="A57" s="182" t="s">
        <v>80</v>
      </c>
      <c r="B57" s="209">
        <v>1621</v>
      </c>
      <c r="C57" s="193">
        <v>0.59703297068338768</v>
      </c>
      <c r="D57" s="193">
        <v>3.1592549846530378E-2</v>
      </c>
      <c r="E57" s="193">
        <v>9.5722365113140195E-2</v>
      </c>
      <c r="F57" s="193">
        <v>1.5186405542686684E-2</v>
      </c>
      <c r="G57" s="193">
        <v>0.13305121504566023</v>
      </c>
      <c r="H57" s="193">
        <v>7.3882831547942771E-2</v>
      </c>
      <c r="I57" s="193">
        <v>2.7130784054427756E-2</v>
      </c>
      <c r="J57" s="193">
        <v>2.6400878166224093E-2</v>
      </c>
      <c r="K57" s="193">
        <v>1</v>
      </c>
    </row>
    <row r="58" spans="1:11" x14ac:dyDescent="0.2">
      <c r="A58" s="182" t="s">
        <v>219</v>
      </c>
      <c r="B58" s="208">
        <v>87443</v>
      </c>
      <c r="C58" s="191">
        <v>0.57114473994643666</v>
      </c>
      <c r="D58" s="191">
        <v>9.3938842340716561E-2</v>
      </c>
      <c r="E58" s="191">
        <v>4.9294309264807004E-2</v>
      </c>
      <c r="F58" s="191">
        <v>5.2075164395725369E-2</v>
      </c>
      <c r="G58" s="191">
        <v>9.5640184446539087E-2</v>
      </c>
      <c r="H58" s="191">
        <v>4.7203909462959756E-2</v>
      </c>
      <c r="I58" s="191">
        <v>4.6885005323365543E-2</v>
      </c>
      <c r="J58" s="191">
        <v>4.3751010286189343E-2</v>
      </c>
      <c r="K58" s="191">
        <v>1</v>
      </c>
    </row>
    <row r="59" spans="1:11" x14ac:dyDescent="0.2">
      <c r="A59" s="182"/>
      <c r="B59" s="208"/>
      <c r="C59" s="191"/>
      <c r="D59" s="191"/>
      <c r="E59" s="191"/>
      <c r="F59" s="191"/>
      <c r="G59" s="191"/>
      <c r="H59" s="191"/>
      <c r="I59" s="191"/>
      <c r="J59" s="191"/>
      <c r="K59" s="191"/>
    </row>
    <row r="60" spans="1:11" x14ac:dyDescent="0.2">
      <c r="A60" s="182" t="s">
        <v>81</v>
      </c>
      <c r="B60" s="208">
        <v>22784</v>
      </c>
      <c r="C60" s="191">
        <v>0.54357053392519605</v>
      </c>
      <c r="D60" s="191">
        <v>8.8760454288327947E-2</v>
      </c>
      <c r="E60" s="191">
        <v>4.2066706510887314E-2</v>
      </c>
      <c r="F60" s="191">
        <v>5.7769272695137014E-2</v>
      </c>
      <c r="G60" s="191">
        <v>9.470906397359112E-2</v>
      </c>
      <c r="H60" s="191">
        <v>3.656019576551111E-2</v>
      </c>
      <c r="I60" s="191">
        <v>7.47956824210909E-2</v>
      </c>
      <c r="J60" s="191">
        <v>6.176809042025843E-2</v>
      </c>
      <c r="K60" s="191">
        <v>1</v>
      </c>
    </row>
    <row r="61" spans="1:11" x14ac:dyDescent="0.2">
      <c r="A61" s="182" t="s">
        <v>82</v>
      </c>
      <c r="B61" s="208">
        <v>9015</v>
      </c>
      <c r="C61" s="191">
        <v>0.47418409271150586</v>
      </c>
      <c r="D61" s="191">
        <v>8.8934146660688926E-2</v>
      </c>
      <c r="E61" s="191">
        <v>4.6193068068632048E-2</v>
      </c>
      <c r="F61" s="191">
        <v>6.7761018661182268E-2</v>
      </c>
      <c r="G61" s="191">
        <v>0.11737206762685286</v>
      </c>
      <c r="H61" s="191">
        <v>5.7783779752222132E-2</v>
      </c>
      <c r="I61" s="191">
        <v>8.8383211684509383E-2</v>
      </c>
      <c r="J61" s="191">
        <v>5.9388614834406779E-2</v>
      </c>
      <c r="K61" s="191">
        <v>1</v>
      </c>
    </row>
    <row r="62" spans="1:11" x14ac:dyDescent="0.2">
      <c r="A62" s="182" t="s">
        <v>83</v>
      </c>
      <c r="B62" s="208">
        <v>5035</v>
      </c>
      <c r="C62" s="191">
        <v>0.47000360765559285</v>
      </c>
      <c r="D62" s="191">
        <v>6.4704176306116523E-2</v>
      </c>
      <c r="E62" s="191">
        <v>5.8590072344927149E-2</v>
      </c>
      <c r="F62" s="191">
        <v>5.6304818684776228E-2</v>
      </c>
      <c r="G62" s="191">
        <v>0.1197158444816534</v>
      </c>
      <c r="H62" s="191">
        <v>7.8673977204759674E-2</v>
      </c>
      <c r="I62" s="191">
        <v>0.10011117477038647</v>
      </c>
      <c r="J62" s="191">
        <v>5.1896328551788051E-2</v>
      </c>
      <c r="K62" s="191">
        <v>1</v>
      </c>
    </row>
    <row r="63" spans="1:11" x14ac:dyDescent="0.2">
      <c r="A63" s="182" t="s">
        <v>84</v>
      </c>
      <c r="B63" s="208">
        <v>5261</v>
      </c>
      <c r="C63" s="191">
        <v>0.45660376685934245</v>
      </c>
      <c r="D63" s="191">
        <v>5.3915313391633801E-2</v>
      </c>
      <c r="E63" s="191">
        <v>7.9449221767652387E-2</v>
      </c>
      <c r="F63" s="191">
        <v>5.0780990028674186E-2</v>
      </c>
      <c r="G63" s="191">
        <v>0.13396464727736529</v>
      </c>
      <c r="H63" s="191">
        <v>8.0407649015626359E-2</v>
      </c>
      <c r="I63" s="191">
        <v>9.2091090286336177E-2</v>
      </c>
      <c r="J63" s="191">
        <v>5.2787321373369472E-2</v>
      </c>
      <c r="K63" s="191">
        <v>1</v>
      </c>
    </row>
    <row r="64" spans="1:11" x14ac:dyDescent="0.2">
      <c r="A64" s="182" t="s">
        <v>85</v>
      </c>
      <c r="B64" s="209">
        <v>1470</v>
      </c>
      <c r="C64" s="193">
        <v>0.46771793390661248</v>
      </c>
      <c r="D64" s="193">
        <v>2.8548109741981017E-2</v>
      </c>
      <c r="E64" s="193">
        <v>0.12492916312538255</v>
      </c>
      <c r="F64" s="193">
        <v>2.8095918274651587E-2</v>
      </c>
      <c r="G64" s="193">
        <v>0.14173428293984836</v>
      </c>
      <c r="H64" s="193">
        <v>8.1171660225980352E-2</v>
      </c>
      <c r="I64" s="193">
        <v>9.6424865959790718E-2</v>
      </c>
      <c r="J64" s="193">
        <v>3.1378065825753088E-2</v>
      </c>
      <c r="K64" s="193">
        <v>1</v>
      </c>
    </row>
    <row r="65" spans="1:11" x14ac:dyDescent="0.2">
      <c r="A65" s="182" t="s">
        <v>220</v>
      </c>
      <c r="B65" s="208">
        <v>43565</v>
      </c>
      <c r="C65" s="191">
        <v>0.50375011186245156</v>
      </c>
      <c r="D65" s="191">
        <v>7.7076230343021288E-2</v>
      </c>
      <c r="E65" s="191">
        <v>5.5406496737652071E-2</v>
      </c>
      <c r="F65" s="191">
        <v>5.6703847637739987E-2</v>
      </c>
      <c r="G65" s="191">
        <v>0.11079618915985391</v>
      </c>
      <c r="H65" s="191">
        <v>5.4960706258830157E-2</v>
      </c>
      <c r="I65" s="191">
        <v>8.4331239188127363E-2</v>
      </c>
      <c r="J65" s="191">
        <v>5.6975178812323744E-2</v>
      </c>
      <c r="K65" s="191">
        <v>1</v>
      </c>
    </row>
    <row r="66" spans="1:11" x14ac:dyDescent="0.2">
      <c r="A66" s="182"/>
      <c r="B66" s="208"/>
      <c r="C66" s="191"/>
      <c r="D66" s="191"/>
      <c r="E66" s="191"/>
      <c r="F66" s="191"/>
      <c r="G66" s="191"/>
      <c r="H66" s="191"/>
      <c r="I66" s="191"/>
      <c r="J66" s="191"/>
      <c r="K66" s="191"/>
    </row>
    <row r="67" spans="1:11" x14ac:dyDescent="0.2">
      <c r="A67" s="182" t="s">
        <v>86</v>
      </c>
      <c r="B67" s="208">
        <v>10667</v>
      </c>
      <c r="C67" s="191">
        <v>0.55424152881239874</v>
      </c>
      <c r="D67" s="191">
        <v>6.3808744594551742E-2</v>
      </c>
      <c r="E67" s="191">
        <v>4.8648542163620564E-2</v>
      </c>
      <c r="F67" s="191">
        <v>5.816179076785935E-2</v>
      </c>
      <c r="G67" s="191">
        <v>9.7048651500097796E-2</v>
      </c>
      <c r="H67" s="191">
        <v>5.3463991446002217E-2</v>
      </c>
      <c r="I67" s="191">
        <v>6.9863018880366848E-2</v>
      </c>
      <c r="J67" s="191">
        <v>5.476373183510292E-2</v>
      </c>
      <c r="K67" s="191">
        <v>1</v>
      </c>
    </row>
    <row r="68" spans="1:11" x14ac:dyDescent="0.2">
      <c r="A68" s="182" t="s">
        <v>87</v>
      </c>
      <c r="B68" s="209">
        <v>7224</v>
      </c>
      <c r="C68" s="193">
        <v>0.50593162457119656</v>
      </c>
      <c r="D68" s="193">
        <v>4.3681586322896003E-2</v>
      </c>
      <c r="E68" s="193">
        <v>9.0257492692529709E-2</v>
      </c>
      <c r="F68" s="193">
        <v>3.415325058699703E-2</v>
      </c>
      <c r="G68" s="193">
        <v>0.12310081505078443</v>
      </c>
      <c r="H68" s="193">
        <v>7.9988067696461052E-2</v>
      </c>
      <c r="I68" s="193">
        <v>8.4710191981389266E-2</v>
      </c>
      <c r="J68" s="193">
        <v>3.8176971097745815E-2</v>
      </c>
      <c r="K68" s="193">
        <v>1</v>
      </c>
    </row>
    <row r="69" spans="1:11" x14ac:dyDescent="0.2">
      <c r="A69" s="182" t="s">
        <v>221</v>
      </c>
      <c r="B69" s="208">
        <v>17891</v>
      </c>
      <c r="C69" s="191">
        <v>0.52985221924650272</v>
      </c>
      <c r="D69" s="191">
        <v>5.3647526072604639E-2</v>
      </c>
      <c r="E69" s="191">
        <v>6.9654867700819745E-2</v>
      </c>
      <c r="F69" s="191">
        <v>4.6041052217587065E-2</v>
      </c>
      <c r="G69" s="191">
        <v>0.1102011156102861</v>
      </c>
      <c r="H69" s="191">
        <v>6.6854701214168991E-2</v>
      </c>
      <c r="I69" s="191">
        <v>7.7358630942260406E-2</v>
      </c>
      <c r="J69" s="191">
        <v>4.6389886995770173E-2</v>
      </c>
      <c r="K69" s="191">
        <v>1</v>
      </c>
    </row>
    <row r="70" spans="1:11" x14ac:dyDescent="0.2">
      <c r="A70" s="182"/>
      <c r="B70" s="208"/>
      <c r="C70" s="191"/>
      <c r="D70" s="191"/>
      <c r="E70" s="191"/>
      <c r="F70" s="191"/>
      <c r="G70" s="191"/>
      <c r="H70" s="191"/>
      <c r="I70" s="191"/>
      <c r="J70" s="191"/>
      <c r="K70" s="191"/>
    </row>
    <row r="71" spans="1:11" ht="13.5" thickBot="1" x14ac:dyDescent="0.25">
      <c r="A71" s="182" t="s">
        <v>222</v>
      </c>
      <c r="B71" s="213">
        <v>148899</v>
      </c>
      <c r="C71" s="195">
        <v>0.54499214888899339</v>
      </c>
      <c r="D71" s="195">
        <v>8.3537376365822313E-2</v>
      </c>
      <c r="E71" s="195">
        <v>5.380690476495275E-2</v>
      </c>
      <c r="F71" s="195">
        <v>5.273321396213819E-2</v>
      </c>
      <c r="G71" s="195">
        <v>0.10221200425967283</v>
      </c>
      <c r="H71" s="195">
        <v>5.2132440553513709E-2</v>
      </c>
      <c r="I71" s="195">
        <v>6.2399862670719924E-2</v>
      </c>
      <c r="J71" s="195">
        <v>4.8186048534187134E-2</v>
      </c>
      <c r="K71" s="195">
        <v>1</v>
      </c>
    </row>
    <row r="72" spans="1:11" ht="13.5" thickTop="1" x14ac:dyDescent="0.2">
      <c r="A72" s="33"/>
      <c r="B72" s="182"/>
      <c r="C72" s="33"/>
      <c r="D72" s="33"/>
      <c r="E72" s="33"/>
      <c r="F72" s="33"/>
      <c r="G72" s="33"/>
      <c r="H72" s="33"/>
      <c r="I72" s="33"/>
      <c r="J72" s="33"/>
      <c r="K72" s="33"/>
    </row>
    <row r="73" spans="1:11" x14ac:dyDescent="0.2">
      <c r="A73" s="33"/>
      <c r="B73" s="182"/>
      <c r="C73" s="182"/>
      <c r="D73" s="182"/>
      <c r="E73" s="182"/>
      <c r="F73" s="182"/>
      <c r="G73" s="182"/>
      <c r="H73" s="182"/>
      <c r="I73" s="182"/>
      <c r="J73" s="182"/>
      <c r="K73" s="182"/>
    </row>
    <row r="74" spans="1:11" x14ac:dyDescent="0.2">
      <c r="B74" s="33"/>
    </row>
    <row r="75" spans="1:11" x14ac:dyDescent="0.2">
      <c r="B75" s="182"/>
    </row>
  </sheetData>
  <phoneticPr fontId="7" type="noConversion"/>
  <pageMargins left="0.75" right="0.75" top="1" bottom="1" header="0.5" footer="0.5"/>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45"/>
  <dimension ref="A1:K75"/>
  <sheetViews>
    <sheetView topLeftCell="A16" workbookViewId="0">
      <selection activeCell="C28" sqref="C28"/>
    </sheetView>
  </sheetViews>
  <sheetFormatPr defaultRowHeight="12.75" x14ac:dyDescent="0.2"/>
  <cols>
    <col min="1" max="1" width="16.85546875" customWidth="1"/>
    <col min="2" max="2" width="6.5703125" bestFit="1" customWidth="1"/>
    <col min="3" max="3" width="10.7109375" bestFit="1" customWidth="1"/>
    <col min="4" max="5" width="9.85546875" bestFit="1" customWidth="1"/>
    <col min="6" max="7" width="10.85546875" bestFit="1" customWidth="1"/>
    <col min="8" max="8" width="9.85546875" bestFit="1" customWidth="1"/>
    <col min="9" max="9" width="11.85546875" bestFit="1" customWidth="1"/>
    <col min="10" max="10" width="9.85546875" bestFit="1" customWidth="1"/>
    <col min="11" max="11" width="10.85546875" bestFit="1" customWidth="1"/>
  </cols>
  <sheetData>
    <row r="1" spans="1:11" x14ac:dyDescent="0.2">
      <c r="A1" s="36" t="s">
        <v>247</v>
      </c>
      <c r="B1" s="22"/>
      <c r="C1" s="22"/>
      <c r="D1" s="22"/>
      <c r="E1" s="22"/>
      <c r="F1" s="22"/>
      <c r="G1" s="22"/>
      <c r="H1" s="22"/>
      <c r="I1" s="22"/>
      <c r="J1" s="22"/>
      <c r="K1" s="22"/>
    </row>
    <row r="2" spans="1:11" x14ac:dyDescent="0.2">
      <c r="A2" s="22" t="s">
        <v>538</v>
      </c>
      <c r="B2" s="22"/>
      <c r="C2" s="22"/>
      <c r="D2" s="22"/>
      <c r="E2" s="22"/>
      <c r="F2" s="22"/>
      <c r="G2" s="22"/>
      <c r="H2" s="22"/>
      <c r="I2" s="22"/>
      <c r="J2" s="22"/>
      <c r="K2" s="22"/>
    </row>
    <row r="3" spans="1:11" ht="22.5" x14ac:dyDescent="0.2">
      <c r="A3" s="155" t="s">
        <v>245</v>
      </c>
      <c r="B3" s="141" t="s">
        <v>530</v>
      </c>
      <c r="C3" s="141" t="s">
        <v>94</v>
      </c>
      <c r="D3" s="141" t="s">
        <v>95</v>
      </c>
      <c r="E3" s="141" t="s">
        <v>96</v>
      </c>
      <c r="F3" s="141" t="s">
        <v>97</v>
      </c>
      <c r="G3" s="141" t="s">
        <v>98</v>
      </c>
      <c r="H3" s="141" t="s">
        <v>99</v>
      </c>
      <c r="I3" s="141" t="s">
        <v>93</v>
      </c>
      <c r="J3" s="141" t="s">
        <v>115</v>
      </c>
      <c r="K3" s="141" t="s">
        <v>113</v>
      </c>
    </row>
    <row r="4" spans="1:11" x14ac:dyDescent="0.2">
      <c r="A4" s="33" t="s">
        <v>102</v>
      </c>
      <c r="B4" s="33">
        <v>35945</v>
      </c>
      <c r="C4" s="208">
        <v>150334511</v>
      </c>
      <c r="D4" s="208">
        <v>29258883.039999999</v>
      </c>
      <c r="E4" s="208">
        <v>7642865.9000000004</v>
      </c>
      <c r="F4" s="208">
        <v>15316823.119999999</v>
      </c>
      <c r="G4" s="208">
        <v>22885419.23</v>
      </c>
      <c r="H4" s="208">
        <v>10764750.800000001</v>
      </c>
      <c r="I4" s="208">
        <v>7999330.1699999999</v>
      </c>
      <c r="J4" s="208">
        <v>11411109.92</v>
      </c>
      <c r="K4" s="182">
        <f t="shared" ref="K4:K9" si="0">SUM(C4:J4)</f>
        <v>255613693.17999998</v>
      </c>
    </row>
    <row r="5" spans="1:11" x14ac:dyDescent="0.2">
      <c r="A5" s="33" t="s">
        <v>76</v>
      </c>
      <c r="B5" s="33">
        <v>18832</v>
      </c>
      <c r="C5" s="208">
        <v>82149934.340000004</v>
      </c>
      <c r="D5" s="208">
        <v>15639536.52</v>
      </c>
      <c r="E5" s="208">
        <v>5842401.8399999999</v>
      </c>
      <c r="F5" s="208">
        <v>8894588.5199999996</v>
      </c>
      <c r="G5" s="208">
        <v>14045764.539999999</v>
      </c>
      <c r="H5" s="208">
        <v>6249285.6100000003</v>
      </c>
      <c r="I5" s="208">
        <v>7219870.9699999997</v>
      </c>
      <c r="J5" s="208">
        <v>7835272.0300000003</v>
      </c>
      <c r="K5" s="182">
        <f t="shared" si="0"/>
        <v>147876654.37</v>
      </c>
    </row>
    <row r="6" spans="1:11" x14ac:dyDescent="0.2">
      <c r="A6" s="33" t="s">
        <v>77</v>
      </c>
      <c r="B6" s="33">
        <v>11889</v>
      </c>
      <c r="C6" s="208">
        <v>58512429.649999999</v>
      </c>
      <c r="D6" s="208">
        <v>9807776.7899999991</v>
      </c>
      <c r="E6" s="208">
        <v>5424776.2999999998</v>
      </c>
      <c r="F6" s="208">
        <v>4936341.0999999996</v>
      </c>
      <c r="G6" s="208">
        <v>9107679.8300000001</v>
      </c>
      <c r="H6" s="208">
        <v>4406464.58</v>
      </c>
      <c r="I6" s="208">
        <v>5635805.7699999996</v>
      </c>
      <c r="J6" s="208">
        <v>4152708.23</v>
      </c>
      <c r="K6" s="182">
        <f t="shared" si="0"/>
        <v>101983982.24999999</v>
      </c>
    </row>
    <row r="7" spans="1:11" x14ac:dyDescent="0.2">
      <c r="A7" s="33" t="s">
        <v>78</v>
      </c>
      <c r="B7" s="33">
        <v>12931</v>
      </c>
      <c r="C7" s="208">
        <v>57636086.090000004</v>
      </c>
      <c r="D7" s="208">
        <v>4883749.0599999996</v>
      </c>
      <c r="E7" s="208">
        <v>7269036.6900000004</v>
      </c>
      <c r="F7" s="208">
        <v>4026262.5</v>
      </c>
      <c r="G7" s="208">
        <v>9174384.5500000007</v>
      </c>
      <c r="H7" s="208">
        <v>4440676.3899999997</v>
      </c>
      <c r="I7" s="208">
        <v>6194855.9299999997</v>
      </c>
      <c r="J7" s="208">
        <v>5993449.3899999997</v>
      </c>
      <c r="K7" s="182">
        <f t="shared" si="0"/>
        <v>99618500.600000009</v>
      </c>
    </row>
    <row r="8" spans="1:11" x14ac:dyDescent="0.2">
      <c r="A8" s="33" t="s">
        <v>79</v>
      </c>
      <c r="B8" s="33">
        <v>5888</v>
      </c>
      <c r="C8" s="208">
        <v>31834691.18</v>
      </c>
      <c r="D8" s="208">
        <v>2435856.04</v>
      </c>
      <c r="E8" s="208">
        <v>4915617.37</v>
      </c>
      <c r="F8" s="208">
        <v>2152778.46</v>
      </c>
      <c r="G8" s="208">
        <v>5829403.5</v>
      </c>
      <c r="H8" s="208">
        <v>4338464.7300000004</v>
      </c>
      <c r="I8" s="208">
        <v>3931640.53</v>
      </c>
      <c r="J8" s="208">
        <v>2381964.85</v>
      </c>
      <c r="K8" s="182">
        <f t="shared" si="0"/>
        <v>57820416.660000004</v>
      </c>
    </row>
    <row r="9" spans="1:11" x14ac:dyDescent="0.2">
      <c r="A9" s="33" t="s">
        <v>80</v>
      </c>
      <c r="B9" s="53">
        <v>1451</v>
      </c>
      <c r="C9" s="209">
        <v>8072455.4199999999</v>
      </c>
      <c r="D9" s="209">
        <v>327514.07</v>
      </c>
      <c r="E9" s="209">
        <v>1274345.8500000001</v>
      </c>
      <c r="F9" s="209">
        <v>153005.9</v>
      </c>
      <c r="G9" s="209">
        <v>1503440.28</v>
      </c>
      <c r="H9" s="209">
        <v>1078838.94</v>
      </c>
      <c r="I9" s="209">
        <v>441283.7</v>
      </c>
      <c r="J9" s="209">
        <v>138098.25</v>
      </c>
      <c r="K9" s="183">
        <f t="shared" si="0"/>
        <v>12988982.409999998</v>
      </c>
    </row>
    <row r="10" spans="1:11" x14ac:dyDescent="0.2">
      <c r="A10" s="182" t="s">
        <v>103</v>
      </c>
      <c r="B10" s="182">
        <f>SUM(B4:B9)</f>
        <v>86936</v>
      </c>
      <c r="C10" s="212">
        <f t="shared" ref="C10:J10" si="1">SUM(C4:C9)</f>
        <v>388540107.68000007</v>
      </c>
      <c r="D10" s="212">
        <f t="shared" si="1"/>
        <v>62353315.520000003</v>
      </c>
      <c r="E10" s="212">
        <f t="shared" si="1"/>
        <v>32369043.950000003</v>
      </c>
      <c r="F10" s="212">
        <f t="shared" si="1"/>
        <v>35479799.600000001</v>
      </c>
      <c r="G10" s="212">
        <f t="shared" si="1"/>
        <v>62546091.929999992</v>
      </c>
      <c r="H10" s="212">
        <f t="shared" si="1"/>
        <v>31278481.050000004</v>
      </c>
      <c r="I10" s="212">
        <f t="shared" si="1"/>
        <v>31422787.07</v>
      </c>
      <c r="J10" s="212">
        <f t="shared" si="1"/>
        <v>31912602.670000002</v>
      </c>
      <c r="K10" s="182">
        <f>SUM(K4:K9)</f>
        <v>675902229.46999991</v>
      </c>
    </row>
    <row r="11" spans="1:11" x14ac:dyDescent="0.2">
      <c r="A11" s="33"/>
      <c r="B11" s="182"/>
      <c r="C11" s="208"/>
      <c r="D11" s="208"/>
      <c r="E11" s="208"/>
      <c r="F11" s="208"/>
      <c r="G11" s="208"/>
      <c r="H11" s="208"/>
      <c r="I11" s="208"/>
      <c r="J11" s="208"/>
      <c r="K11" s="182"/>
    </row>
    <row r="12" spans="1:11" x14ac:dyDescent="0.2">
      <c r="A12" s="33" t="s">
        <v>81</v>
      </c>
      <c r="B12" s="33">
        <v>22656</v>
      </c>
      <c r="C12" s="208">
        <v>97378660.819999993</v>
      </c>
      <c r="D12" s="208">
        <v>16032638.880000001</v>
      </c>
      <c r="E12" s="208">
        <v>7476309.9000000004</v>
      </c>
      <c r="F12" s="208">
        <v>10481407.949999999</v>
      </c>
      <c r="G12" s="208">
        <v>16774836.57</v>
      </c>
      <c r="H12" s="208">
        <v>6393599.5</v>
      </c>
      <c r="I12" s="208">
        <v>13582639.300000001</v>
      </c>
      <c r="J12" s="208">
        <v>9238969.5500000007</v>
      </c>
      <c r="K12" s="182">
        <f>SUM(C12:J12)</f>
        <v>177359062.47000003</v>
      </c>
    </row>
    <row r="13" spans="1:11" x14ac:dyDescent="0.2">
      <c r="A13" s="33" t="s">
        <v>82</v>
      </c>
      <c r="B13" s="33">
        <v>9214</v>
      </c>
      <c r="C13" s="208">
        <v>36615841.840000004</v>
      </c>
      <c r="D13" s="208">
        <v>6126270.1100000003</v>
      </c>
      <c r="E13" s="208">
        <v>3528139.37</v>
      </c>
      <c r="F13" s="208">
        <v>5015549.5199999996</v>
      </c>
      <c r="G13" s="208">
        <v>8314432.9699999997</v>
      </c>
      <c r="H13" s="208">
        <v>5296662.03</v>
      </c>
      <c r="I13" s="208">
        <v>6773242.71</v>
      </c>
      <c r="J13" s="208">
        <v>3211552.11</v>
      </c>
      <c r="K13" s="182">
        <f>SUM(C13:J13)</f>
        <v>74881690.659999996</v>
      </c>
    </row>
    <row r="14" spans="1:11" x14ac:dyDescent="0.2">
      <c r="A14" s="33" t="s">
        <v>83</v>
      </c>
      <c r="B14" s="33">
        <v>4359</v>
      </c>
      <c r="C14" s="208">
        <v>18408472.760000002</v>
      </c>
      <c r="D14" s="208">
        <v>2735737</v>
      </c>
      <c r="E14" s="208">
        <v>2499361.0299999998</v>
      </c>
      <c r="F14" s="208">
        <v>2433193.3199999998</v>
      </c>
      <c r="G14" s="208">
        <v>5061289.43</v>
      </c>
      <c r="H14" s="208">
        <v>2659798.58</v>
      </c>
      <c r="I14" s="208">
        <v>4270736.29</v>
      </c>
      <c r="J14" s="208">
        <v>1769307.38</v>
      </c>
      <c r="K14" s="182">
        <f>SUM(C14:J14)</f>
        <v>39837895.790000007</v>
      </c>
    </row>
    <row r="15" spans="1:11" x14ac:dyDescent="0.2">
      <c r="A15" s="33" t="s">
        <v>84</v>
      </c>
      <c r="B15" s="33">
        <v>5093</v>
      </c>
      <c r="C15" s="208">
        <v>26166393.57</v>
      </c>
      <c r="D15" s="208">
        <v>2931469.39</v>
      </c>
      <c r="E15" s="208">
        <v>4553703.08</v>
      </c>
      <c r="F15" s="208">
        <v>3012195.44</v>
      </c>
      <c r="G15" s="208">
        <v>6921729.3099999996</v>
      </c>
      <c r="H15" s="208">
        <v>4338682.58</v>
      </c>
      <c r="I15" s="208">
        <v>4877166.53</v>
      </c>
      <c r="J15" s="208">
        <v>3009588.93</v>
      </c>
      <c r="K15" s="182">
        <f>SUM(C15:J15)</f>
        <v>55810928.829999998</v>
      </c>
    </row>
    <row r="16" spans="1:11" x14ac:dyDescent="0.2">
      <c r="A16" s="33" t="s">
        <v>85</v>
      </c>
      <c r="B16" s="53">
        <v>1714</v>
      </c>
      <c r="C16" s="209">
        <v>12225911.51</v>
      </c>
      <c r="D16" s="209">
        <v>818958.13</v>
      </c>
      <c r="E16" s="209">
        <v>3044272.14</v>
      </c>
      <c r="F16" s="209">
        <v>864868.59</v>
      </c>
      <c r="G16" s="209">
        <v>3431029.2</v>
      </c>
      <c r="H16" s="209">
        <v>2022781.06</v>
      </c>
      <c r="I16" s="209">
        <v>2504157.17</v>
      </c>
      <c r="J16" s="209">
        <v>732937.68</v>
      </c>
      <c r="K16" s="183">
        <f>SUM(C16:J16)</f>
        <v>25644915.479999997</v>
      </c>
    </row>
    <row r="17" spans="1:11" x14ac:dyDescent="0.2">
      <c r="A17" s="182" t="s">
        <v>104</v>
      </c>
      <c r="B17" s="182">
        <f>SUM(B12:B16)</f>
        <v>43036</v>
      </c>
      <c r="C17" s="208">
        <f t="shared" ref="C17:J17" si="2">SUM(C12:C16)</f>
        <v>190795280.49999997</v>
      </c>
      <c r="D17" s="208">
        <f t="shared" si="2"/>
        <v>28645073.510000002</v>
      </c>
      <c r="E17" s="208">
        <f t="shared" si="2"/>
        <v>21101785.52</v>
      </c>
      <c r="F17" s="208">
        <f t="shared" si="2"/>
        <v>21807214.82</v>
      </c>
      <c r="G17" s="208">
        <f t="shared" si="2"/>
        <v>40503317.480000004</v>
      </c>
      <c r="H17" s="208">
        <f t="shared" si="2"/>
        <v>20711523.75</v>
      </c>
      <c r="I17" s="208">
        <f t="shared" si="2"/>
        <v>32007942</v>
      </c>
      <c r="J17" s="208">
        <f t="shared" si="2"/>
        <v>17962355.649999999</v>
      </c>
      <c r="K17" s="182">
        <f>SUM(K12:K16)</f>
        <v>373534493.23000002</v>
      </c>
    </row>
    <row r="18" spans="1:11" x14ac:dyDescent="0.2">
      <c r="A18" s="33"/>
      <c r="B18" s="182"/>
      <c r="C18" s="208"/>
      <c r="D18" s="208"/>
      <c r="E18" s="208"/>
      <c r="F18" s="208"/>
      <c r="G18" s="208"/>
      <c r="H18" s="208"/>
      <c r="I18" s="208"/>
      <c r="J18" s="208"/>
      <c r="K18" s="182"/>
    </row>
    <row r="19" spans="1:11" x14ac:dyDescent="0.2">
      <c r="A19" s="33" t="s">
        <v>86</v>
      </c>
      <c r="B19" s="33">
        <v>11457</v>
      </c>
      <c r="C19" s="208">
        <v>47417078.920000002</v>
      </c>
      <c r="D19" s="208">
        <v>5463915.9500000002</v>
      </c>
      <c r="E19" s="208">
        <v>4068236.44</v>
      </c>
      <c r="F19" s="208">
        <v>5273328.97</v>
      </c>
      <c r="G19" s="208">
        <v>8100569.8899999997</v>
      </c>
      <c r="H19" s="208">
        <v>4508655.9400000004</v>
      </c>
      <c r="I19" s="208">
        <v>5756922.7300000004</v>
      </c>
      <c r="J19" s="208">
        <v>4766517.04</v>
      </c>
      <c r="K19" s="182">
        <f>SUM(C19:J19)</f>
        <v>85355225.88000001</v>
      </c>
    </row>
    <row r="20" spans="1:11" x14ac:dyDescent="0.2">
      <c r="A20" s="33" t="s">
        <v>87</v>
      </c>
      <c r="B20" s="53">
        <v>6223</v>
      </c>
      <c r="C20" s="209">
        <v>36098249.979999997</v>
      </c>
      <c r="D20" s="209">
        <v>2801556.94</v>
      </c>
      <c r="E20" s="209">
        <v>6817253.6200000001</v>
      </c>
      <c r="F20" s="209">
        <v>2304973.2200000002</v>
      </c>
      <c r="G20" s="209">
        <v>8164707.8799999999</v>
      </c>
      <c r="H20" s="209">
        <v>5436425.4000000004</v>
      </c>
      <c r="I20" s="209">
        <v>6144387.1100000003</v>
      </c>
      <c r="J20" s="209">
        <v>3316025.05</v>
      </c>
      <c r="K20" s="183">
        <f>SUM(C20:J20)</f>
        <v>71083579.199999988</v>
      </c>
    </row>
    <row r="21" spans="1:11" x14ac:dyDescent="0.2">
      <c r="A21" s="182" t="s">
        <v>105</v>
      </c>
      <c r="B21" s="182">
        <f>SUM(B19:B20)</f>
        <v>17680</v>
      </c>
      <c r="C21" s="208">
        <f t="shared" ref="C21:K21" si="3">SUM(C19:C20)</f>
        <v>83515328.900000006</v>
      </c>
      <c r="D21" s="208">
        <f t="shared" si="3"/>
        <v>8265472.8900000006</v>
      </c>
      <c r="E21" s="208">
        <f t="shared" si="3"/>
        <v>10885490.060000001</v>
      </c>
      <c r="F21" s="208">
        <f t="shared" si="3"/>
        <v>7578302.1899999995</v>
      </c>
      <c r="G21" s="208">
        <f t="shared" si="3"/>
        <v>16265277.77</v>
      </c>
      <c r="H21" s="208">
        <f t="shared" si="3"/>
        <v>9945081.3399999999</v>
      </c>
      <c r="I21" s="208">
        <f t="shared" si="3"/>
        <v>11901309.84</v>
      </c>
      <c r="J21" s="208">
        <f t="shared" si="3"/>
        <v>8082542.0899999999</v>
      </c>
      <c r="K21" s="182">
        <f t="shared" si="3"/>
        <v>156438805.07999998</v>
      </c>
    </row>
    <row r="22" spans="1:11" x14ac:dyDescent="0.2">
      <c r="A22" s="33"/>
      <c r="B22" s="182"/>
      <c r="C22" s="182"/>
      <c r="D22" s="182"/>
      <c r="E22" s="182"/>
      <c r="F22" s="182"/>
      <c r="G22" s="182"/>
      <c r="H22" s="182"/>
      <c r="I22" s="182"/>
      <c r="J22" s="182"/>
      <c r="K22" s="182"/>
    </row>
    <row r="23" spans="1:11" ht="13.5" thickBot="1" x14ac:dyDescent="0.25">
      <c r="A23" s="182" t="s">
        <v>209</v>
      </c>
      <c r="B23" s="192">
        <f>B10+B17+B21</f>
        <v>147652</v>
      </c>
      <c r="C23" s="192">
        <f t="shared" ref="C23:J23" si="4">C10+C17+C21</f>
        <v>662850717.08000004</v>
      </c>
      <c r="D23" s="192">
        <f t="shared" si="4"/>
        <v>99263861.920000002</v>
      </c>
      <c r="E23" s="192">
        <f t="shared" si="4"/>
        <v>64356319.530000001</v>
      </c>
      <c r="F23" s="192">
        <f t="shared" si="4"/>
        <v>64865316.609999999</v>
      </c>
      <c r="G23" s="192">
        <f t="shared" si="4"/>
        <v>119314687.17999999</v>
      </c>
      <c r="H23" s="192">
        <f t="shared" si="4"/>
        <v>61935086.140000001</v>
      </c>
      <c r="I23" s="192">
        <f t="shared" si="4"/>
        <v>75332038.909999996</v>
      </c>
      <c r="J23" s="192">
        <f t="shared" si="4"/>
        <v>57957500.409999996</v>
      </c>
      <c r="K23" s="192">
        <f>(K10+K17+K21)</f>
        <v>1205875527.78</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531</v>
      </c>
      <c r="B26" s="22"/>
      <c r="C26" s="22"/>
      <c r="D26" s="22"/>
      <c r="E26" s="22"/>
      <c r="F26" s="22"/>
      <c r="G26" s="22"/>
      <c r="H26" s="22"/>
      <c r="I26" s="22"/>
      <c r="J26" s="22"/>
      <c r="K26" s="22"/>
    </row>
    <row r="27" spans="1:11" ht="33.75" x14ac:dyDescent="0.2">
      <c r="A27" s="21" t="s">
        <v>245</v>
      </c>
      <c r="B27" s="12" t="s">
        <v>530</v>
      </c>
      <c r="C27" s="12" t="s">
        <v>539</v>
      </c>
      <c r="D27" s="12" t="s">
        <v>540</v>
      </c>
      <c r="E27" s="12" t="s">
        <v>541</v>
      </c>
      <c r="F27" s="12" t="s">
        <v>542</v>
      </c>
      <c r="G27" s="12" t="s">
        <v>543</v>
      </c>
      <c r="H27" s="12" t="s">
        <v>544</v>
      </c>
      <c r="I27" s="12" t="s">
        <v>536</v>
      </c>
      <c r="J27" s="12" t="s">
        <v>545</v>
      </c>
      <c r="K27" s="12" t="s">
        <v>546</v>
      </c>
    </row>
    <row r="28" spans="1:11" x14ac:dyDescent="0.2">
      <c r="A28" s="182" t="s">
        <v>102</v>
      </c>
      <c r="B28" s="182">
        <f t="shared" ref="B28:B33" si="5">B4</f>
        <v>35945</v>
      </c>
      <c r="C28" s="182">
        <f>C4/B28</f>
        <v>4182.3483377382108</v>
      </c>
      <c r="D28" s="182">
        <f t="shared" ref="D28:D34" si="6">D4/B28</f>
        <v>813.99034747530948</v>
      </c>
      <c r="E28" s="182">
        <f t="shared" ref="E28:E34" si="7">E4/B28</f>
        <v>212.62667686743637</v>
      </c>
      <c r="F28" s="182">
        <f t="shared" ref="F28:F34" si="8">F4/B28</f>
        <v>426.11832299346219</v>
      </c>
      <c r="G28" s="182">
        <f t="shared" ref="G28:G34" si="9">G4/B28</f>
        <v>636.67879343441371</v>
      </c>
      <c r="H28" s="182">
        <f t="shared" ref="H28:H34" si="10">H4/B28</f>
        <v>299.4783919877591</v>
      </c>
      <c r="I28" s="182">
        <f t="shared" ref="I28:I34" si="11">I4/B28</f>
        <v>222.5436130198915</v>
      </c>
      <c r="J28" s="182">
        <f t="shared" ref="J28:J34" si="12">J4/B28</f>
        <v>317.46028432327165</v>
      </c>
      <c r="K28" s="182">
        <f t="shared" ref="K28:K34" si="13">SUM(C28:J28)</f>
        <v>7111.2447678397548</v>
      </c>
    </row>
    <row r="29" spans="1:11" x14ac:dyDescent="0.2">
      <c r="A29" s="182" t="s">
        <v>76</v>
      </c>
      <c r="B29" s="182">
        <f t="shared" si="5"/>
        <v>18832</v>
      </c>
      <c r="C29" s="182">
        <f t="shared" ref="C29:C45" si="14">C5/B29</f>
        <v>4362.2522483007651</v>
      </c>
      <c r="D29" s="182">
        <f t="shared" si="6"/>
        <v>830.47666312659305</v>
      </c>
      <c r="E29" s="182">
        <f t="shared" si="7"/>
        <v>310.23799065420559</v>
      </c>
      <c r="F29" s="182">
        <f t="shared" si="8"/>
        <v>472.31247451146982</v>
      </c>
      <c r="G29" s="182">
        <f t="shared" si="9"/>
        <v>745.84561066270169</v>
      </c>
      <c r="H29" s="182">
        <f t="shared" si="10"/>
        <v>331.84396824553954</v>
      </c>
      <c r="I29" s="182">
        <f t="shared" si="11"/>
        <v>383.38312287595579</v>
      </c>
      <c r="J29" s="182">
        <f t="shared" si="12"/>
        <v>416.06159887425662</v>
      </c>
      <c r="K29" s="182">
        <f t="shared" si="13"/>
        <v>7852.4136772514867</v>
      </c>
    </row>
    <row r="30" spans="1:11" x14ac:dyDescent="0.2">
      <c r="A30" s="182" t="s">
        <v>77</v>
      </c>
      <c r="B30" s="182">
        <f t="shared" si="5"/>
        <v>11889</v>
      </c>
      <c r="C30" s="182">
        <f t="shared" si="14"/>
        <v>4921.5602363529315</v>
      </c>
      <c r="D30" s="182">
        <f t="shared" si="6"/>
        <v>824.94547817310115</v>
      </c>
      <c r="E30" s="182">
        <f t="shared" si="7"/>
        <v>456.28533097821514</v>
      </c>
      <c r="F30" s="182">
        <f t="shared" si="8"/>
        <v>415.20238035158548</v>
      </c>
      <c r="G30" s="182">
        <f t="shared" si="9"/>
        <v>766.05936832366058</v>
      </c>
      <c r="H30" s="182">
        <f t="shared" si="10"/>
        <v>370.63374379678697</v>
      </c>
      <c r="I30" s="182">
        <f t="shared" si="11"/>
        <v>474.03530742703333</v>
      </c>
      <c r="J30" s="182">
        <f t="shared" si="12"/>
        <v>349.28995121540919</v>
      </c>
      <c r="K30" s="182">
        <f t="shared" si="13"/>
        <v>8578.0117966187227</v>
      </c>
    </row>
    <row r="31" spans="1:11" x14ac:dyDescent="0.2">
      <c r="A31" s="182" t="s">
        <v>78</v>
      </c>
      <c r="B31" s="182">
        <f t="shared" si="5"/>
        <v>12931</v>
      </c>
      <c r="C31" s="182">
        <f t="shared" si="14"/>
        <v>4457.202543500116</v>
      </c>
      <c r="D31" s="182">
        <f t="shared" si="6"/>
        <v>377.67760111360292</v>
      </c>
      <c r="E31" s="182">
        <f t="shared" si="7"/>
        <v>562.14033640089713</v>
      </c>
      <c r="F31" s="182">
        <f t="shared" si="8"/>
        <v>311.36513030701417</v>
      </c>
      <c r="G31" s="182">
        <f t="shared" si="9"/>
        <v>709.48763050034802</v>
      </c>
      <c r="H31" s="182">
        <f t="shared" si="10"/>
        <v>343.41322326192869</v>
      </c>
      <c r="I31" s="182">
        <f t="shared" si="11"/>
        <v>479.07013610702961</v>
      </c>
      <c r="J31" s="182">
        <f t="shared" si="12"/>
        <v>463.49465547908125</v>
      </c>
      <c r="K31" s="182">
        <f t="shared" si="13"/>
        <v>7703.8512566700174</v>
      </c>
    </row>
    <row r="32" spans="1:11" x14ac:dyDescent="0.2">
      <c r="A32" s="182" t="s">
        <v>79</v>
      </c>
      <c r="B32" s="182">
        <f t="shared" si="5"/>
        <v>5888</v>
      </c>
      <c r="C32" s="182">
        <f t="shared" si="14"/>
        <v>5406.7070618206517</v>
      </c>
      <c r="D32" s="182">
        <f t="shared" si="6"/>
        <v>413.69837635869567</v>
      </c>
      <c r="E32" s="182">
        <f t="shared" si="7"/>
        <v>834.85349354619564</v>
      </c>
      <c r="F32" s="182">
        <f t="shared" si="8"/>
        <v>365.62134171195652</v>
      </c>
      <c r="G32" s="182">
        <f t="shared" si="9"/>
        <v>990.04814877717388</v>
      </c>
      <c r="H32" s="182">
        <f t="shared" si="10"/>
        <v>736.83164572010878</v>
      </c>
      <c r="I32" s="182">
        <f t="shared" si="11"/>
        <v>667.73786175271732</v>
      </c>
      <c r="J32" s="182">
        <f t="shared" si="12"/>
        <v>404.54566066576086</v>
      </c>
      <c r="K32" s="182">
        <f t="shared" si="13"/>
        <v>9820.0435903532598</v>
      </c>
    </row>
    <row r="33" spans="1:11" x14ac:dyDescent="0.2">
      <c r="A33" s="182" t="s">
        <v>80</v>
      </c>
      <c r="B33" s="183">
        <f t="shared" si="5"/>
        <v>1451</v>
      </c>
      <c r="C33" s="183">
        <f t="shared" si="14"/>
        <v>5563.3738249483113</v>
      </c>
      <c r="D33" s="183">
        <f t="shared" si="6"/>
        <v>225.71610613370089</v>
      </c>
      <c r="E33" s="183">
        <f t="shared" si="7"/>
        <v>878.25351481736743</v>
      </c>
      <c r="F33" s="183">
        <f t="shared" si="8"/>
        <v>105.4485871812543</v>
      </c>
      <c r="G33" s="183">
        <f t="shared" si="9"/>
        <v>1036.1407856650585</v>
      </c>
      <c r="H33" s="183">
        <f t="shared" si="10"/>
        <v>743.51408683666432</v>
      </c>
      <c r="I33" s="183">
        <f t="shared" si="11"/>
        <v>304.12384562370778</v>
      </c>
      <c r="J33" s="183">
        <f t="shared" si="12"/>
        <v>95.17453480358374</v>
      </c>
      <c r="K33" s="183">
        <f t="shared" si="13"/>
        <v>8951.7452860096491</v>
      </c>
    </row>
    <row r="34" spans="1:11" x14ac:dyDescent="0.2">
      <c r="A34" s="182" t="s">
        <v>219</v>
      </c>
      <c r="B34" s="182">
        <f>SUM(B28:B33)</f>
        <v>86936</v>
      </c>
      <c r="C34" s="182">
        <f t="shared" si="14"/>
        <v>4469.2659850924829</v>
      </c>
      <c r="D34" s="182">
        <f t="shared" si="6"/>
        <v>717.23239532529681</v>
      </c>
      <c r="E34" s="182">
        <f t="shared" si="7"/>
        <v>372.33187574767646</v>
      </c>
      <c r="F34" s="182">
        <f t="shared" si="8"/>
        <v>408.11401030643236</v>
      </c>
      <c r="G34" s="182">
        <f t="shared" si="9"/>
        <v>719.44984735897663</v>
      </c>
      <c r="H34" s="182">
        <f t="shared" si="10"/>
        <v>359.78744191129113</v>
      </c>
      <c r="I34" s="182">
        <f t="shared" si="11"/>
        <v>361.44735288027977</v>
      </c>
      <c r="J34" s="182">
        <f t="shared" si="12"/>
        <v>367.08156195362108</v>
      </c>
      <c r="K34" s="182">
        <f t="shared" si="13"/>
        <v>7774.7104705760576</v>
      </c>
    </row>
    <row r="35" spans="1:11" x14ac:dyDescent="0.2">
      <c r="A35" s="182"/>
      <c r="B35" s="182"/>
      <c r="C35" s="182"/>
      <c r="D35" s="182"/>
      <c r="E35" s="182"/>
      <c r="F35" s="182"/>
      <c r="G35" s="182"/>
      <c r="H35" s="182"/>
      <c r="I35" s="182"/>
      <c r="J35" s="182"/>
      <c r="K35" s="182"/>
    </row>
    <row r="36" spans="1:11" x14ac:dyDescent="0.2">
      <c r="A36" s="182" t="s">
        <v>81</v>
      </c>
      <c r="B36" s="182">
        <f>B12</f>
        <v>22656</v>
      </c>
      <c r="C36" s="182">
        <f t="shared" ref="C36:C41" si="15">C12/B36</f>
        <v>4298.1400432556493</v>
      </c>
      <c r="D36" s="182">
        <f t="shared" ref="D36:D41" si="16">D12/B36</f>
        <v>707.65531779661023</v>
      </c>
      <c r="E36" s="182">
        <f t="shared" ref="E36:E41" si="17">E12/B36</f>
        <v>329.99249205508477</v>
      </c>
      <c r="F36" s="182">
        <f t="shared" ref="F36:F41" si="18">F12/B36</f>
        <v>462.632766154661</v>
      </c>
      <c r="G36" s="182">
        <f t="shared" ref="G36:G41" si="19">G12/B36</f>
        <v>740.41474973516949</v>
      </c>
      <c r="H36" s="182">
        <f t="shared" ref="H36:H41" si="20">H12/B36</f>
        <v>282.20336776129943</v>
      </c>
      <c r="I36" s="182">
        <f t="shared" ref="I36:I41" si="21">I12/B36</f>
        <v>599.51621204096045</v>
      </c>
      <c r="J36" s="182">
        <f t="shared" ref="J36:J41" si="22">J12/B36</f>
        <v>407.79350061793787</v>
      </c>
      <c r="K36" s="182">
        <f t="shared" ref="K36:K41" si="23">SUM(C36:J36)</f>
        <v>7828.3484494173736</v>
      </c>
    </row>
    <row r="37" spans="1:11" x14ac:dyDescent="0.2">
      <c r="A37" s="182" t="s">
        <v>82</v>
      </c>
      <c r="B37" s="182">
        <f>B13</f>
        <v>9214</v>
      </c>
      <c r="C37" s="182">
        <f t="shared" si="15"/>
        <v>3973.9355155198614</v>
      </c>
      <c r="D37" s="182">
        <f t="shared" si="16"/>
        <v>664.88714022140221</v>
      </c>
      <c r="E37" s="182">
        <f t="shared" si="17"/>
        <v>382.91071955719559</v>
      </c>
      <c r="F37" s="182">
        <f t="shared" si="18"/>
        <v>544.34008248317775</v>
      </c>
      <c r="G37" s="182">
        <f t="shared" si="19"/>
        <v>902.36954308660734</v>
      </c>
      <c r="H37" s="182">
        <f t="shared" si="20"/>
        <v>574.84936292598218</v>
      </c>
      <c r="I37" s="182">
        <f t="shared" si="21"/>
        <v>735.10339808986328</v>
      </c>
      <c r="J37" s="182">
        <f t="shared" si="22"/>
        <v>348.55134686346861</v>
      </c>
      <c r="K37" s="182">
        <f t="shared" si="23"/>
        <v>8126.9471087475595</v>
      </c>
    </row>
    <row r="38" spans="1:11" x14ac:dyDescent="0.2">
      <c r="A38" s="182" t="s">
        <v>83</v>
      </c>
      <c r="B38" s="182">
        <f>B14</f>
        <v>4359</v>
      </c>
      <c r="C38" s="182">
        <f t="shared" si="15"/>
        <v>4223.0953796742378</v>
      </c>
      <c r="D38" s="182">
        <f t="shared" si="16"/>
        <v>627.6065611378757</v>
      </c>
      <c r="E38" s="182">
        <f t="shared" si="17"/>
        <v>573.37945170910757</v>
      </c>
      <c r="F38" s="182">
        <f t="shared" si="18"/>
        <v>558.19988988300065</v>
      </c>
      <c r="G38" s="182">
        <f t="shared" si="19"/>
        <v>1161.1125097499425</v>
      </c>
      <c r="H38" s="182">
        <f t="shared" si="20"/>
        <v>610.18549667354898</v>
      </c>
      <c r="I38" s="182">
        <f t="shared" si="21"/>
        <v>979.751385638908</v>
      </c>
      <c r="J38" s="182">
        <f t="shared" si="22"/>
        <v>405.89754072034867</v>
      </c>
      <c r="K38" s="182">
        <f t="shared" si="23"/>
        <v>9139.2282151869695</v>
      </c>
    </row>
    <row r="39" spans="1:11" x14ac:dyDescent="0.2">
      <c r="A39" s="182" t="s">
        <v>84</v>
      </c>
      <c r="B39" s="182">
        <f>B15</f>
        <v>5093</v>
      </c>
      <c r="C39" s="182">
        <f t="shared" si="15"/>
        <v>5137.7171745533087</v>
      </c>
      <c r="D39" s="182">
        <f t="shared" si="16"/>
        <v>575.58794227370902</v>
      </c>
      <c r="E39" s="182">
        <f t="shared" si="17"/>
        <v>894.11016689573921</v>
      </c>
      <c r="F39" s="182">
        <f t="shared" si="18"/>
        <v>591.43833496956609</v>
      </c>
      <c r="G39" s="182">
        <f t="shared" si="19"/>
        <v>1359.0672118594148</v>
      </c>
      <c r="H39" s="182">
        <f t="shared" si="20"/>
        <v>851.89133712939326</v>
      </c>
      <c r="I39" s="182">
        <f t="shared" si="21"/>
        <v>957.62154525819756</v>
      </c>
      <c r="J39" s="182">
        <f t="shared" si="22"/>
        <v>590.92655213037506</v>
      </c>
      <c r="K39" s="182">
        <f t="shared" si="23"/>
        <v>10958.360265069705</v>
      </c>
    </row>
    <row r="40" spans="1:11" x14ac:dyDescent="0.2">
      <c r="A40" s="182" t="s">
        <v>85</v>
      </c>
      <c r="B40" s="183">
        <f>B16</f>
        <v>1714</v>
      </c>
      <c r="C40" s="183">
        <f t="shared" si="15"/>
        <v>7132.9705425904313</v>
      </c>
      <c r="D40" s="183">
        <f t="shared" si="16"/>
        <v>477.80521003500581</v>
      </c>
      <c r="E40" s="183">
        <f t="shared" si="17"/>
        <v>1776.1214352392067</v>
      </c>
      <c r="F40" s="183">
        <f t="shared" si="18"/>
        <v>504.59077596266042</v>
      </c>
      <c r="G40" s="183">
        <f t="shared" si="19"/>
        <v>2001.7673278879815</v>
      </c>
      <c r="H40" s="183">
        <f t="shared" si="20"/>
        <v>1180.1523103850643</v>
      </c>
      <c r="I40" s="183">
        <f t="shared" si="21"/>
        <v>1461.0018494749124</v>
      </c>
      <c r="J40" s="183">
        <f t="shared" si="22"/>
        <v>427.61824970828474</v>
      </c>
      <c r="K40" s="183">
        <f t="shared" si="23"/>
        <v>14962.027701283549</v>
      </c>
    </row>
    <row r="41" spans="1:11" x14ac:dyDescent="0.2">
      <c r="A41" s="182" t="s">
        <v>220</v>
      </c>
      <c r="B41" s="182">
        <f>SUM(B36:B40)</f>
        <v>43036</v>
      </c>
      <c r="C41" s="182">
        <f t="shared" si="15"/>
        <v>4433.387872943581</v>
      </c>
      <c r="D41" s="182">
        <f t="shared" si="16"/>
        <v>665.60724765312762</v>
      </c>
      <c r="E41" s="182">
        <f t="shared" si="17"/>
        <v>490.32869039873594</v>
      </c>
      <c r="F41" s="182">
        <f t="shared" si="18"/>
        <v>506.72029974904734</v>
      </c>
      <c r="G41" s="182">
        <f t="shared" si="19"/>
        <v>941.14967654986538</v>
      </c>
      <c r="H41" s="182">
        <f t="shared" si="20"/>
        <v>481.26042731666513</v>
      </c>
      <c r="I41" s="182">
        <f t="shared" si="21"/>
        <v>743.74807138209871</v>
      </c>
      <c r="J41" s="182">
        <f t="shared" si="22"/>
        <v>417.37976693930659</v>
      </c>
      <c r="K41" s="182">
        <f t="shared" si="23"/>
        <v>8679.5820529324264</v>
      </c>
    </row>
    <row r="42" spans="1:11" x14ac:dyDescent="0.2">
      <c r="A42" s="182"/>
      <c r="B42" s="182"/>
      <c r="C42" s="182"/>
      <c r="D42" s="182"/>
      <c r="E42" s="182"/>
      <c r="F42" s="182"/>
      <c r="G42" s="182"/>
      <c r="H42" s="182"/>
      <c r="I42" s="182"/>
      <c r="J42" s="182"/>
      <c r="K42" s="182"/>
    </row>
    <row r="43" spans="1:11" x14ac:dyDescent="0.2">
      <c r="A43" s="182" t="s">
        <v>86</v>
      </c>
      <c r="B43" s="182">
        <f>B19</f>
        <v>11457</v>
      </c>
      <c r="C43" s="182">
        <f t="shared" si="14"/>
        <v>4138.6993907654714</v>
      </c>
      <c r="D43" s="182">
        <f>D19/B43</f>
        <v>476.90634110151001</v>
      </c>
      <c r="E43" s="182">
        <f>E19/B43</f>
        <v>355.0874085711792</v>
      </c>
      <c r="F43" s="182">
        <f>F19/B43</f>
        <v>460.27135986732998</v>
      </c>
      <c r="G43" s="182">
        <f>G19/B43</f>
        <v>707.04110063716507</v>
      </c>
      <c r="H43" s="182">
        <f>H19/B43</f>
        <v>393.52849262459637</v>
      </c>
      <c r="I43" s="182">
        <f>I19/B43</f>
        <v>502.48081784062151</v>
      </c>
      <c r="J43" s="182">
        <f>J19/B43</f>
        <v>416.03535305926511</v>
      </c>
      <c r="K43" s="182">
        <f>SUM(C43:J43)</f>
        <v>7450.0502644671387</v>
      </c>
    </row>
    <row r="44" spans="1:11" x14ac:dyDescent="0.2">
      <c r="A44" s="182" t="s">
        <v>87</v>
      </c>
      <c r="B44" s="183">
        <f>B20</f>
        <v>6223</v>
      </c>
      <c r="C44" s="183">
        <f t="shared" si="14"/>
        <v>5800.7793636509714</v>
      </c>
      <c r="D44" s="183">
        <f>D20/B44</f>
        <v>450.19394825646793</v>
      </c>
      <c r="E44" s="183">
        <f>E20/B44</f>
        <v>1095.4931094327494</v>
      </c>
      <c r="F44" s="183">
        <f>F20/B44</f>
        <v>370.3958251647116</v>
      </c>
      <c r="G44" s="183">
        <f>G20/B44</f>
        <v>1312.0211923509562</v>
      </c>
      <c r="H44" s="183">
        <f>H20/B44</f>
        <v>873.60202474690675</v>
      </c>
      <c r="I44" s="183">
        <f>I20/B44</f>
        <v>987.36736461513749</v>
      </c>
      <c r="J44" s="183">
        <f>J20/B44</f>
        <v>532.86598907279449</v>
      </c>
      <c r="K44" s="183">
        <f>SUM(C44:J44)</f>
        <v>11422.718817290695</v>
      </c>
    </row>
    <row r="45" spans="1:11" x14ac:dyDescent="0.2">
      <c r="A45" s="182" t="s">
        <v>221</v>
      </c>
      <c r="B45" s="182">
        <f>SUM(B43:B44)</f>
        <v>17680</v>
      </c>
      <c r="C45" s="182">
        <f t="shared" si="14"/>
        <v>4723.7176979638016</v>
      </c>
      <c r="D45" s="182">
        <f>D21/B45</f>
        <v>467.5041227375566</v>
      </c>
      <c r="E45" s="182">
        <f>E21/B45</f>
        <v>615.69513914027152</v>
      </c>
      <c r="F45" s="182">
        <f>F21/B45</f>
        <v>428.63700169683256</v>
      </c>
      <c r="G45" s="182">
        <f>G21/B45</f>
        <v>919.98177432126693</v>
      </c>
      <c r="H45" s="182">
        <f>H21/B45</f>
        <v>562.50460067873303</v>
      </c>
      <c r="I45" s="182">
        <f>I21/B45</f>
        <v>673.15100904977373</v>
      </c>
      <c r="J45" s="182">
        <f>J21/B45</f>
        <v>457.15735803167422</v>
      </c>
      <c r="K45" s="182">
        <f>SUM(C45:J45)</f>
        <v>8848.3487036199112</v>
      </c>
    </row>
    <row r="46" spans="1:11" x14ac:dyDescent="0.2">
      <c r="A46" s="182"/>
      <c r="B46" s="182"/>
      <c r="C46" s="182"/>
      <c r="D46" s="182"/>
      <c r="E46" s="182"/>
      <c r="F46" s="182"/>
      <c r="G46" s="182"/>
      <c r="H46" s="182"/>
      <c r="I46" s="182"/>
      <c r="J46" s="182"/>
      <c r="K46" s="182"/>
    </row>
    <row r="47" spans="1:11" ht="13.5" thickBot="1" x14ac:dyDescent="0.25">
      <c r="A47" s="182" t="s">
        <v>222</v>
      </c>
      <c r="B47" s="192">
        <f>B34+B41+B45</f>
        <v>147652</v>
      </c>
      <c r="C47" s="192">
        <f>C23/$B$47</f>
        <v>4489.2769287242982</v>
      </c>
      <c r="D47" s="192">
        <f t="shared" ref="D47:J47" si="24">D23/$B$47</f>
        <v>672.2825421938071</v>
      </c>
      <c r="E47" s="192">
        <f t="shared" si="24"/>
        <v>435.86486827134075</v>
      </c>
      <c r="F47" s="192">
        <f t="shared" si="24"/>
        <v>439.3121434860347</v>
      </c>
      <c r="G47" s="192">
        <f t="shared" si="24"/>
        <v>808.08039972367453</v>
      </c>
      <c r="H47" s="192">
        <f t="shared" si="24"/>
        <v>419.4666251727034</v>
      </c>
      <c r="I47" s="192">
        <f t="shared" si="24"/>
        <v>510.19992218188713</v>
      </c>
      <c r="J47" s="192">
        <f t="shared" si="24"/>
        <v>392.52770304499768</v>
      </c>
      <c r="K47" s="192">
        <f>SUM(C47:J47)</f>
        <v>8167.0111327987433</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509</v>
      </c>
      <c r="B50" s="182"/>
      <c r="C50" s="182"/>
      <c r="D50" s="182"/>
      <c r="E50" s="182"/>
      <c r="F50" s="182"/>
      <c r="G50" s="182"/>
      <c r="H50" s="182"/>
      <c r="I50" s="182"/>
      <c r="J50" s="182"/>
      <c r="K50" s="182"/>
    </row>
    <row r="51" spans="1:11" ht="37.5" customHeight="1" x14ac:dyDescent="0.2">
      <c r="A51" s="21" t="s">
        <v>245</v>
      </c>
      <c r="B51" s="12" t="str">
        <f>B27</f>
        <v>ANB05</v>
      </c>
      <c r="C51" s="12" t="str">
        <f t="shared" ref="C51:K51" si="25">C27</f>
        <v>05/Pupil Instruction</v>
      </c>
      <c r="D51" s="12" t="str">
        <f t="shared" si="25"/>
        <v>05/Pupil Student Services</v>
      </c>
      <c r="E51" s="12" t="str">
        <f t="shared" si="25"/>
        <v>05/Pupil General Admin</v>
      </c>
      <c r="F51" s="12" t="str">
        <f t="shared" si="25"/>
        <v>05/Pupil Bldg Admin</v>
      </c>
      <c r="G51" s="12" t="str">
        <f t="shared" si="25"/>
        <v>05/Pupil Bldg OM</v>
      </c>
      <c r="H51" s="12" t="str">
        <f t="shared" si="25"/>
        <v>05/Pupil Transport</v>
      </c>
      <c r="I51" s="12" t="str">
        <f t="shared" si="25"/>
        <v>05/Pupil Other</v>
      </c>
      <c r="J51" s="12" t="str">
        <f t="shared" si="25"/>
        <v>05/Pupil Bonds/ Facilities</v>
      </c>
      <c r="K51" s="12" t="str">
        <f t="shared" si="25"/>
        <v>05/Pupil Total</v>
      </c>
    </row>
    <row r="52" spans="1:11" x14ac:dyDescent="0.2">
      <c r="A52" s="182" t="s">
        <v>102</v>
      </c>
      <c r="B52" s="182">
        <f t="shared" ref="B52:B57" si="26">B28</f>
        <v>35945</v>
      </c>
      <c r="C52" s="191">
        <f>C4/$K$4</f>
        <v>0.58813168077868316</v>
      </c>
      <c r="D52" s="191">
        <f t="shared" ref="D52:K52" si="27">D4/$K$4</f>
        <v>0.11446524118485413</v>
      </c>
      <c r="E52" s="191">
        <f t="shared" si="27"/>
        <v>2.9900064448495682E-2</v>
      </c>
      <c r="F52" s="191">
        <f t="shared" si="27"/>
        <v>5.9921762912811101E-2</v>
      </c>
      <c r="G52" s="191">
        <f t="shared" si="27"/>
        <v>8.9531272543698873E-2</v>
      </c>
      <c r="H52" s="191">
        <f t="shared" si="27"/>
        <v>4.211335733261988E-2</v>
      </c>
      <c r="I52" s="191">
        <f t="shared" si="27"/>
        <v>3.1294607383834369E-2</v>
      </c>
      <c r="J52" s="191">
        <f t="shared" si="27"/>
        <v>4.4642013415002922E-2</v>
      </c>
      <c r="K52" s="191">
        <f t="shared" si="27"/>
        <v>1</v>
      </c>
    </row>
    <row r="53" spans="1:11" x14ac:dyDescent="0.2">
      <c r="A53" s="182" t="s">
        <v>76</v>
      </c>
      <c r="B53" s="182">
        <f t="shared" si="26"/>
        <v>18832</v>
      </c>
      <c r="C53" s="191">
        <f t="shared" ref="C53:K53" si="28">C5/$K$5</f>
        <v>0.5555301118353263</v>
      </c>
      <c r="D53" s="191">
        <f t="shared" si="28"/>
        <v>0.10576068674686502</v>
      </c>
      <c r="E53" s="191">
        <f t="shared" si="28"/>
        <v>3.9508615236735149E-2</v>
      </c>
      <c r="F53" s="191">
        <f t="shared" si="28"/>
        <v>6.0148699995233736E-2</v>
      </c>
      <c r="G53" s="191">
        <f t="shared" si="28"/>
        <v>9.4982974830200698E-2</v>
      </c>
      <c r="H53" s="191">
        <f t="shared" si="28"/>
        <v>4.2260123050686244E-2</v>
      </c>
      <c r="I53" s="191">
        <f t="shared" si="28"/>
        <v>4.882360235128979E-2</v>
      </c>
      <c r="J53" s="191">
        <f t="shared" si="28"/>
        <v>5.2985185953662986E-2</v>
      </c>
      <c r="K53" s="191">
        <f t="shared" si="28"/>
        <v>1</v>
      </c>
    </row>
    <row r="54" spans="1:11" x14ac:dyDescent="0.2">
      <c r="A54" s="182" t="s">
        <v>77</v>
      </c>
      <c r="B54" s="182">
        <f t="shared" si="26"/>
        <v>11889</v>
      </c>
      <c r="C54" s="191">
        <f>C6/$K$6</f>
        <v>0.57374136956688615</v>
      </c>
      <c r="D54" s="191">
        <f t="shared" ref="D54:K54" si="29">D6/$K$6</f>
        <v>9.6169776602344825E-2</v>
      </c>
      <c r="E54" s="191">
        <f t="shared" si="29"/>
        <v>5.3192434540376074E-2</v>
      </c>
      <c r="F54" s="191">
        <f t="shared" si="29"/>
        <v>4.8403102046939338E-2</v>
      </c>
      <c r="G54" s="191">
        <f t="shared" si="29"/>
        <v>8.9305002894216765E-2</v>
      </c>
      <c r="H54" s="191">
        <f t="shared" si="29"/>
        <v>4.3207418290434535E-2</v>
      </c>
      <c r="I54" s="191">
        <f t="shared" si="29"/>
        <v>5.5261675859887303E-2</v>
      </c>
      <c r="J54" s="191">
        <f t="shared" si="29"/>
        <v>4.0719220198915114E-2</v>
      </c>
      <c r="K54" s="191">
        <f t="shared" si="29"/>
        <v>1</v>
      </c>
    </row>
    <row r="55" spans="1:11" x14ac:dyDescent="0.2">
      <c r="A55" s="182" t="s">
        <v>78</v>
      </c>
      <c r="B55" s="182">
        <f t="shared" si="26"/>
        <v>12931</v>
      </c>
      <c r="C55" s="191">
        <f>C7/$K$7</f>
        <v>0.57856809470990977</v>
      </c>
      <c r="D55" s="191">
        <f t="shared" ref="D55:K55" si="30">D7/$K$7</f>
        <v>4.90245188452475E-2</v>
      </c>
      <c r="E55" s="191">
        <f t="shared" si="30"/>
        <v>7.2968742213732937E-2</v>
      </c>
      <c r="F55" s="191">
        <f t="shared" si="30"/>
        <v>4.0416814906366894E-2</v>
      </c>
      <c r="G55" s="191">
        <f t="shared" si="30"/>
        <v>9.2095188089992189E-2</v>
      </c>
      <c r="H55" s="191">
        <f t="shared" si="30"/>
        <v>4.4576824216926624E-2</v>
      </c>
      <c r="I55" s="191">
        <f t="shared" si="30"/>
        <v>6.2185797745283461E-2</v>
      </c>
      <c r="J55" s="191">
        <f t="shared" si="30"/>
        <v>6.0164019272540621E-2</v>
      </c>
      <c r="K55" s="191">
        <f t="shared" si="30"/>
        <v>1</v>
      </c>
    </row>
    <row r="56" spans="1:11" x14ac:dyDescent="0.2">
      <c r="A56" s="182" t="s">
        <v>79</v>
      </c>
      <c r="B56" s="182">
        <f t="shared" si="26"/>
        <v>5888</v>
      </c>
      <c r="C56" s="191">
        <f>C8/$K$8</f>
        <v>0.55057872320769952</v>
      </c>
      <c r="D56" s="191">
        <f t="shared" ref="D56:K56" si="31">D8/$K$8</f>
        <v>4.2127957228732978E-2</v>
      </c>
      <c r="E56" s="191">
        <f t="shared" si="31"/>
        <v>8.5015253330068263E-2</v>
      </c>
      <c r="F56" s="191">
        <f t="shared" si="31"/>
        <v>3.7232150585474522E-2</v>
      </c>
      <c r="G56" s="191">
        <f t="shared" si="31"/>
        <v>0.10081911955561476</v>
      </c>
      <c r="H56" s="191">
        <f t="shared" si="31"/>
        <v>7.5033439407940786E-2</v>
      </c>
      <c r="I56" s="191">
        <f t="shared" si="31"/>
        <v>6.7997443759686665E-2</v>
      </c>
      <c r="J56" s="191">
        <f t="shared" si="31"/>
        <v>4.1195912924782439E-2</v>
      </c>
      <c r="K56" s="191">
        <f t="shared" si="31"/>
        <v>1</v>
      </c>
    </row>
    <row r="57" spans="1:11" x14ac:dyDescent="0.2">
      <c r="A57" s="182" t="s">
        <v>80</v>
      </c>
      <c r="B57" s="183">
        <f t="shared" si="26"/>
        <v>1451</v>
      </c>
      <c r="C57" s="193">
        <f>C9/$K$9</f>
        <v>0.62148482191993371</v>
      </c>
      <c r="D57" s="193">
        <f t="shared" ref="D57:K57" si="32">D9/$K$9</f>
        <v>2.5214759683395403E-2</v>
      </c>
      <c r="E57" s="193">
        <f t="shared" si="32"/>
        <v>9.8109752540653433E-2</v>
      </c>
      <c r="F57" s="193">
        <f t="shared" si="32"/>
        <v>1.1779667965536957E-2</v>
      </c>
      <c r="G57" s="193">
        <f t="shared" si="32"/>
        <v>0.11574734898728685</v>
      </c>
      <c r="H57" s="193">
        <f t="shared" si="32"/>
        <v>8.3058003001791739E-2</v>
      </c>
      <c r="I57" s="193">
        <f t="shared" si="32"/>
        <v>3.3973692939969116E-2</v>
      </c>
      <c r="J57" s="193">
        <f t="shared" si="32"/>
        <v>1.0631952961432952E-2</v>
      </c>
      <c r="K57" s="193">
        <f t="shared" si="32"/>
        <v>1</v>
      </c>
    </row>
    <row r="58" spans="1:11" x14ac:dyDescent="0.2">
      <c r="A58" s="182" t="s">
        <v>219</v>
      </c>
      <c r="B58" s="182">
        <f>SUM(B52:B57)</f>
        <v>86936</v>
      </c>
      <c r="C58" s="191">
        <f>C10/$K$10</f>
        <v>0.57484661351785871</v>
      </c>
      <c r="D58" s="191">
        <f t="shared" ref="D58:K58" si="33">D10/$K$10</f>
        <v>9.225197491787171E-2</v>
      </c>
      <c r="E58" s="191">
        <f t="shared" si="33"/>
        <v>4.7890127504656661E-2</v>
      </c>
      <c r="F58" s="191">
        <f t="shared" si="33"/>
        <v>5.2492502692025489E-2</v>
      </c>
      <c r="G58" s="191">
        <f t="shared" si="33"/>
        <v>9.2537188372709925E-2</v>
      </c>
      <c r="H58" s="191">
        <f t="shared" si="33"/>
        <v>4.6276635415933791E-2</v>
      </c>
      <c r="I58" s="191">
        <f t="shared" si="33"/>
        <v>4.6490136738622352E-2</v>
      </c>
      <c r="J58" s="191">
        <f t="shared" si="33"/>
        <v>4.7214820840321629E-2</v>
      </c>
      <c r="K58" s="191">
        <f t="shared" si="33"/>
        <v>1</v>
      </c>
    </row>
    <row r="59" spans="1:11" x14ac:dyDescent="0.2">
      <c r="A59" s="182"/>
      <c r="B59" s="182"/>
      <c r="C59" s="191"/>
      <c r="D59" s="191"/>
      <c r="E59" s="191"/>
      <c r="F59" s="191"/>
      <c r="G59" s="191"/>
      <c r="H59" s="191"/>
      <c r="I59" s="191"/>
      <c r="J59" s="191"/>
      <c r="K59" s="191"/>
    </row>
    <row r="60" spans="1:11" x14ac:dyDescent="0.2">
      <c r="A60" s="182"/>
      <c r="B60" s="182"/>
      <c r="C60" s="191"/>
      <c r="D60" s="191"/>
      <c r="E60" s="191"/>
      <c r="F60" s="191"/>
      <c r="G60" s="191"/>
      <c r="H60" s="191"/>
      <c r="I60" s="191"/>
      <c r="J60" s="191"/>
      <c r="K60" s="191"/>
    </row>
    <row r="61" spans="1:11" x14ac:dyDescent="0.2">
      <c r="A61" s="182" t="s">
        <v>81</v>
      </c>
      <c r="B61" s="182">
        <f>B12</f>
        <v>22656</v>
      </c>
      <c r="C61" s="191">
        <f t="shared" ref="C61:K61" si="34">C12/$K$12</f>
        <v>0.54904812567145489</v>
      </c>
      <c r="D61" s="191">
        <f t="shared" si="34"/>
        <v>9.0396502195718889E-2</v>
      </c>
      <c r="E61" s="191">
        <f t="shared" si="34"/>
        <v>4.2153526275346687E-2</v>
      </c>
      <c r="F61" s="191">
        <f t="shared" si="34"/>
        <v>5.9097109581152135E-2</v>
      </c>
      <c r="G61" s="191">
        <f t="shared" si="34"/>
        <v>9.4581220358206583E-2</v>
      </c>
      <c r="H61" s="191">
        <f t="shared" si="34"/>
        <v>3.6048902215422264E-2</v>
      </c>
      <c r="I61" s="191">
        <f t="shared" si="34"/>
        <v>7.6582719320009263E-2</v>
      </c>
      <c r="J61" s="191">
        <f t="shared" si="34"/>
        <v>5.2091894382689109E-2</v>
      </c>
      <c r="K61" s="191">
        <f t="shared" si="34"/>
        <v>1</v>
      </c>
    </row>
    <row r="62" spans="1:11" x14ac:dyDescent="0.2">
      <c r="A62" s="182" t="s">
        <v>82</v>
      </c>
      <c r="B62" s="182">
        <f>B13</f>
        <v>9214</v>
      </c>
      <c r="C62" s="191">
        <f t="shared" ref="C62:K62" si="35">C13/$K$13</f>
        <v>0.48898257394125993</v>
      </c>
      <c r="D62" s="191">
        <f t="shared" si="35"/>
        <v>8.1812657486812157E-2</v>
      </c>
      <c r="E62" s="191">
        <f t="shared" si="35"/>
        <v>4.7116182058702466E-2</v>
      </c>
      <c r="F62" s="191">
        <f t="shared" si="35"/>
        <v>6.6979651177656779E-2</v>
      </c>
      <c r="G62" s="191">
        <f t="shared" si="35"/>
        <v>0.11103425813062431</v>
      </c>
      <c r="H62" s="191">
        <f t="shared" si="35"/>
        <v>7.0733739894435238E-2</v>
      </c>
      <c r="I62" s="191">
        <f t="shared" si="35"/>
        <v>9.0452587946416432E-2</v>
      </c>
      <c r="J62" s="191">
        <f t="shared" si="35"/>
        <v>4.2888349364092734E-2</v>
      </c>
      <c r="K62" s="191">
        <f t="shared" si="35"/>
        <v>1</v>
      </c>
    </row>
    <row r="63" spans="1:11" x14ac:dyDescent="0.2">
      <c r="A63" s="182" t="s">
        <v>83</v>
      </c>
      <c r="B63" s="182">
        <f>B14</f>
        <v>4359</v>
      </c>
      <c r="C63" s="191">
        <f t="shared" ref="C63:K63" si="36">C14/$K$14</f>
        <v>0.46208446492851268</v>
      </c>
      <c r="D63" s="191">
        <f t="shared" si="36"/>
        <v>6.8671724390792666E-2</v>
      </c>
      <c r="E63" s="191">
        <f t="shared" si="36"/>
        <v>6.2738279229782562E-2</v>
      </c>
      <c r="F63" s="191">
        <f t="shared" si="36"/>
        <v>6.1077355411195515E-2</v>
      </c>
      <c r="G63" s="191">
        <f t="shared" si="36"/>
        <v>0.12704710752495291</v>
      </c>
      <c r="H63" s="191">
        <f t="shared" si="36"/>
        <v>6.6765538873357233E-2</v>
      </c>
      <c r="I63" s="191">
        <f t="shared" si="36"/>
        <v>0.10720285811561432</v>
      </c>
      <c r="J63" s="191">
        <f t="shared" si="36"/>
        <v>4.4412671525791939E-2</v>
      </c>
      <c r="K63" s="191">
        <f t="shared" si="36"/>
        <v>1</v>
      </c>
    </row>
    <row r="64" spans="1:11" x14ac:dyDescent="0.2">
      <c r="A64" s="182" t="s">
        <v>84</v>
      </c>
      <c r="B64" s="182">
        <f>B15</f>
        <v>5093</v>
      </c>
      <c r="C64" s="191">
        <f t="shared" ref="C64:K64" si="37">C15/$K$15</f>
        <v>0.46883995874182266</v>
      </c>
      <c r="D64" s="191">
        <f t="shared" si="37"/>
        <v>5.2525006328585776E-2</v>
      </c>
      <c r="E64" s="191">
        <f t="shared" si="37"/>
        <v>8.1591601778758641E-2</v>
      </c>
      <c r="F64" s="191">
        <f t="shared" si="37"/>
        <v>5.3971426441855902E-2</v>
      </c>
      <c r="G64" s="191">
        <f t="shared" si="37"/>
        <v>0.1240210377269222</v>
      </c>
      <c r="H64" s="191">
        <f t="shared" si="37"/>
        <v>7.7738942371226624E-2</v>
      </c>
      <c r="I64" s="191">
        <f t="shared" si="37"/>
        <v>8.7387302670698094E-2</v>
      </c>
      <c r="J64" s="191">
        <f t="shared" si="37"/>
        <v>5.3924723940130134E-2</v>
      </c>
      <c r="K64" s="191">
        <f t="shared" si="37"/>
        <v>1</v>
      </c>
    </row>
    <row r="65" spans="1:11" x14ac:dyDescent="0.2">
      <c r="A65" s="182" t="s">
        <v>85</v>
      </c>
      <c r="B65" s="183">
        <f>B16</f>
        <v>1714</v>
      </c>
      <c r="C65" s="193">
        <f t="shared" ref="C65:K65" si="38">C16/$K$16</f>
        <v>0.47673822592766063</v>
      </c>
      <c r="D65" s="193">
        <f t="shared" si="38"/>
        <v>3.1934522484142733E-2</v>
      </c>
      <c r="E65" s="193">
        <f t="shared" si="38"/>
        <v>0.11870860492303718</v>
      </c>
      <c r="F65" s="193">
        <f t="shared" si="38"/>
        <v>3.3724758838628077E-2</v>
      </c>
      <c r="G65" s="193">
        <f t="shared" si="38"/>
        <v>0.13378984238321229</v>
      </c>
      <c r="H65" s="193">
        <f t="shared" si="38"/>
        <v>7.8876495482214801E-2</v>
      </c>
      <c r="I65" s="193">
        <f t="shared" si="38"/>
        <v>9.7647316168889178E-2</v>
      </c>
      <c r="J65" s="193">
        <f t="shared" si="38"/>
        <v>2.8580233792215255E-2</v>
      </c>
      <c r="K65" s="193">
        <f t="shared" si="38"/>
        <v>1</v>
      </c>
    </row>
    <row r="66" spans="1:11" x14ac:dyDescent="0.2">
      <c r="A66" s="182" t="s">
        <v>220</v>
      </c>
      <c r="B66" s="182">
        <f>SUM(B61:B65)</f>
        <v>43036</v>
      </c>
      <c r="C66" s="191">
        <f>C17/$K$17</f>
        <v>0.5107835660641914</v>
      </c>
      <c r="D66" s="191">
        <f t="shared" ref="D66:K66" si="39">D17/$K$17</f>
        <v>7.6686555135249829E-2</v>
      </c>
      <c r="E66" s="191">
        <f t="shared" si="39"/>
        <v>5.6492200593123786E-2</v>
      </c>
      <c r="F66" s="191">
        <f t="shared" si="39"/>
        <v>5.8380725783662588E-2</v>
      </c>
      <c r="G66" s="191">
        <f t="shared" si="39"/>
        <v>0.10843260318414691</v>
      </c>
      <c r="H66" s="191">
        <f t="shared" si="39"/>
        <v>5.5447419516481154E-2</v>
      </c>
      <c r="I66" s="191">
        <f t="shared" si="39"/>
        <v>8.5689387674009104E-2</v>
      </c>
      <c r="J66" s="191">
        <f t="shared" si="39"/>
        <v>4.8087542049135103E-2</v>
      </c>
      <c r="K66" s="191">
        <f t="shared" si="39"/>
        <v>1</v>
      </c>
    </row>
    <row r="67" spans="1:11" x14ac:dyDescent="0.2">
      <c r="A67" s="182"/>
      <c r="B67" s="182"/>
      <c r="C67" s="191"/>
      <c r="D67" s="191"/>
      <c r="E67" s="191"/>
      <c r="F67" s="191"/>
      <c r="G67" s="191"/>
      <c r="H67" s="191"/>
      <c r="I67" s="191"/>
      <c r="J67" s="191"/>
      <c r="K67" s="191"/>
    </row>
    <row r="68" spans="1:11" x14ac:dyDescent="0.2">
      <c r="A68" s="182"/>
      <c r="B68" s="33"/>
      <c r="C68" s="191"/>
      <c r="D68" s="191"/>
      <c r="E68" s="191"/>
      <c r="F68" s="191"/>
      <c r="G68" s="191"/>
      <c r="H68" s="191"/>
      <c r="I68" s="191"/>
      <c r="J68" s="191"/>
      <c r="K68" s="191"/>
    </row>
    <row r="69" spans="1:11" x14ac:dyDescent="0.2">
      <c r="A69" s="182" t="s">
        <v>86</v>
      </c>
      <c r="B69" s="182">
        <f>B19</f>
        <v>11457</v>
      </c>
      <c r="C69" s="191">
        <f>C19/$K$19</f>
        <v>0.5555263714803258</v>
      </c>
      <c r="D69" s="191">
        <f t="shared" ref="D69:K69" si="40">D19/$K$19</f>
        <v>6.4013842077832006E-2</v>
      </c>
      <c r="E69" s="191">
        <f t="shared" si="40"/>
        <v>4.7662417831562998E-2</v>
      </c>
      <c r="F69" s="191">
        <f t="shared" si="40"/>
        <v>6.1780973755651655E-2</v>
      </c>
      <c r="G69" s="191">
        <f t="shared" si="40"/>
        <v>9.4904205413134324E-2</v>
      </c>
      <c r="H69" s="191">
        <f t="shared" si="40"/>
        <v>5.2822260072730297E-2</v>
      </c>
      <c r="I69" s="191">
        <f t="shared" si="40"/>
        <v>6.7446634586774995E-2</v>
      </c>
      <c r="J69" s="191">
        <f t="shared" si="40"/>
        <v>5.5843294781987865E-2</v>
      </c>
      <c r="K69" s="191">
        <f t="shared" si="40"/>
        <v>1</v>
      </c>
    </row>
    <row r="70" spans="1:11" x14ac:dyDescent="0.2">
      <c r="A70" s="182" t="s">
        <v>87</v>
      </c>
      <c r="B70" s="183">
        <f>B20</f>
        <v>6223</v>
      </c>
      <c r="C70" s="193">
        <f>C20/$K$20</f>
        <v>0.50782825493964434</v>
      </c>
      <c r="D70" s="193">
        <f t="shared" ref="D70:K70" si="41">D20/$K$20</f>
        <v>3.9412153573718758E-2</v>
      </c>
      <c r="E70" s="193">
        <f t="shared" si="41"/>
        <v>9.5904760237509268E-2</v>
      </c>
      <c r="F70" s="193">
        <f t="shared" si="41"/>
        <v>3.2426240292638506E-2</v>
      </c>
      <c r="G70" s="193">
        <f t="shared" si="41"/>
        <v>0.11486067488284273</v>
      </c>
      <c r="H70" s="193">
        <f t="shared" si="41"/>
        <v>7.6479342503338682E-2</v>
      </c>
      <c r="I70" s="193">
        <f t="shared" si="41"/>
        <v>8.6438910071089961E-2</v>
      </c>
      <c r="J70" s="193">
        <f t="shared" si="41"/>
        <v>4.6649663499217842E-2</v>
      </c>
      <c r="K70" s="193">
        <f t="shared" si="41"/>
        <v>1</v>
      </c>
    </row>
    <row r="71" spans="1:11" x14ac:dyDescent="0.2">
      <c r="A71" s="182" t="s">
        <v>221</v>
      </c>
      <c r="B71" s="182">
        <f>SUM(B69:B70)</f>
        <v>17680</v>
      </c>
      <c r="C71" s="191">
        <f>C21/$K$21</f>
        <v>0.53385302231944165</v>
      </c>
      <c r="D71" s="191">
        <f t="shared" ref="D71:K71" si="42">D21/$K$21</f>
        <v>5.2835182969936306E-2</v>
      </c>
      <c r="E71" s="191">
        <f t="shared" si="42"/>
        <v>6.9583055524064866E-2</v>
      </c>
      <c r="F71" s="191">
        <f t="shared" si="42"/>
        <v>4.8442598280679733E-2</v>
      </c>
      <c r="G71" s="191">
        <f t="shared" si="42"/>
        <v>0.10397214272815641</v>
      </c>
      <c r="H71" s="191">
        <f t="shared" si="42"/>
        <v>6.3571703548325267E-2</v>
      </c>
      <c r="I71" s="191">
        <f t="shared" si="42"/>
        <v>7.6076455799530582E-2</v>
      </c>
      <c r="J71" s="191">
        <f t="shared" si="42"/>
        <v>5.1665838829865349E-2</v>
      </c>
      <c r="K71" s="191">
        <f t="shared" si="42"/>
        <v>1</v>
      </c>
    </row>
    <row r="72" spans="1:11" x14ac:dyDescent="0.2">
      <c r="A72" s="182"/>
      <c r="B72" s="182"/>
      <c r="C72" s="191"/>
      <c r="D72" s="191"/>
      <c r="E72" s="191"/>
      <c r="F72" s="191"/>
      <c r="G72" s="191"/>
      <c r="H72" s="191"/>
      <c r="I72" s="191"/>
      <c r="J72" s="191"/>
      <c r="K72" s="191"/>
    </row>
    <row r="73" spans="1:11" ht="13.5" thickBot="1" x14ac:dyDescent="0.25">
      <c r="A73" s="182" t="s">
        <v>222</v>
      </c>
      <c r="B73" s="192">
        <f>B58+B66+B71</f>
        <v>147652</v>
      </c>
      <c r="C73" s="195">
        <f>C23/$K$23</f>
        <v>0.54968419360852194</v>
      </c>
      <c r="D73" s="195">
        <f t="shared" ref="D73:K73" si="43">D23/$K$23</f>
        <v>8.2316839203747161E-2</v>
      </c>
      <c r="E73" s="195">
        <f t="shared" si="43"/>
        <v>5.3368957282414621E-2</v>
      </c>
      <c r="F73" s="195">
        <f t="shared" si="43"/>
        <v>5.3791054810952289E-2</v>
      </c>
      <c r="G73" s="195">
        <f t="shared" si="43"/>
        <v>9.8944446944417772E-2</v>
      </c>
      <c r="H73" s="195">
        <f t="shared" si="43"/>
        <v>5.1361093838616687E-2</v>
      </c>
      <c r="I73" s="195">
        <f t="shared" si="43"/>
        <v>6.247082486920124E-2</v>
      </c>
      <c r="J73" s="195">
        <f t="shared" si="43"/>
        <v>4.8062589442128364E-2</v>
      </c>
      <c r="K73" s="195">
        <f t="shared" si="43"/>
        <v>1</v>
      </c>
    </row>
    <row r="74" spans="1:11" ht="13.5" thickTop="1" x14ac:dyDescent="0.2">
      <c r="A74" s="33"/>
      <c r="B74" s="33"/>
      <c r="C74" s="33"/>
      <c r="D74" s="33"/>
      <c r="E74" s="33"/>
      <c r="F74" s="33"/>
      <c r="G74" s="33"/>
      <c r="H74" s="33"/>
      <c r="I74" s="33"/>
      <c r="J74" s="33"/>
      <c r="K74" s="33"/>
    </row>
    <row r="75" spans="1:11" x14ac:dyDescent="0.2">
      <c r="A75" s="33"/>
      <c r="B75" s="182"/>
      <c r="C75" s="182"/>
      <c r="D75" s="182"/>
      <c r="E75" s="182"/>
      <c r="F75" s="182"/>
      <c r="G75" s="182"/>
      <c r="H75" s="182"/>
      <c r="I75" s="182"/>
      <c r="J75" s="182"/>
      <c r="K75" s="182"/>
    </row>
  </sheetData>
  <phoneticPr fontId="7" type="noConversion"/>
  <pageMargins left="0.25" right="0.25" top="1" bottom="1" header="0.5" footer="0.5"/>
  <pageSetup orientation="landscape" horizontalDpi="4294967293" r:id="rId1"/>
  <headerFooter alignWithMargins="0"/>
  <rowBreaks count="2" manualBreakCount="2">
    <brk id="23" max="16383" man="1"/>
    <brk id="47" max="16383"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46"/>
  <dimension ref="A1:K84"/>
  <sheetViews>
    <sheetView topLeftCell="A28" workbookViewId="0">
      <selection activeCell="K47" sqref="K47"/>
    </sheetView>
  </sheetViews>
  <sheetFormatPr defaultRowHeight="12.75" x14ac:dyDescent="0.2"/>
  <cols>
    <col min="1" max="1" width="16.42578125" customWidth="1"/>
    <col min="2" max="2" width="9.5703125" bestFit="1" customWidth="1"/>
    <col min="3" max="3" width="9.7109375" bestFit="1" customWidth="1"/>
    <col min="4" max="6" width="9.42578125" bestFit="1" customWidth="1"/>
    <col min="7" max="7" width="9.7109375" bestFit="1" customWidth="1"/>
    <col min="8" max="10" width="9.42578125" bestFit="1" customWidth="1"/>
    <col min="11" max="11" width="11" bestFit="1" customWidth="1"/>
  </cols>
  <sheetData>
    <row r="1" spans="1:11" x14ac:dyDescent="0.2">
      <c r="A1" s="36" t="s">
        <v>247</v>
      </c>
      <c r="B1" s="22"/>
      <c r="C1" s="22"/>
      <c r="D1" s="22"/>
      <c r="E1" s="22"/>
      <c r="F1" s="22"/>
      <c r="G1" s="22"/>
      <c r="H1" s="22"/>
      <c r="I1" s="22"/>
      <c r="J1" s="22"/>
      <c r="K1" s="22"/>
    </row>
    <row r="2" spans="1:11" x14ac:dyDescent="0.2">
      <c r="A2" s="22" t="s">
        <v>510</v>
      </c>
      <c r="B2" s="22"/>
      <c r="C2" s="22"/>
      <c r="D2" s="22"/>
      <c r="E2" s="22"/>
      <c r="F2" s="22"/>
      <c r="G2" s="22"/>
      <c r="H2" s="22"/>
      <c r="I2" s="22"/>
      <c r="J2" s="22"/>
      <c r="K2" s="22"/>
    </row>
    <row r="3" spans="1:11" s="196" customFormat="1" ht="22.5" x14ac:dyDescent="0.2">
      <c r="A3" s="155" t="s">
        <v>245</v>
      </c>
      <c r="B3" s="141" t="s">
        <v>498</v>
      </c>
      <c r="C3" s="141" t="s">
        <v>94</v>
      </c>
      <c r="D3" s="141" t="s">
        <v>95</v>
      </c>
      <c r="E3" s="141" t="s">
        <v>96</v>
      </c>
      <c r="F3" s="141" t="s">
        <v>97</v>
      </c>
      <c r="G3" s="141" t="s">
        <v>98</v>
      </c>
      <c r="H3" s="141" t="s">
        <v>99</v>
      </c>
      <c r="I3" s="141" t="s">
        <v>93</v>
      </c>
      <c r="J3" s="141" t="s">
        <v>115</v>
      </c>
      <c r="K3" s="141" t="s">
        <v>113</v>
      </c>
    </row>
    <row r="4" spans="1:11" x14ac:dyDescent="0.2">
      <c r="A4" s="33" t="s">
        <v>102</v>
      </c>
      <c r="B4" s="182">
        <v>33931</v>
      </c>
      <c r="C4" s="182">
        <v>139846246.40000001</v>
      </c>
      <c r="D4" s="182">
        <v>25887967.210000001</v>
      </c>
      <c r="E4" s="182">
        <v>7011581.8300000001</v>
      </c>
      <c r="F4" s="182">
        <v>13815493.82</v>
      </c>
      <c r="G4" s="182">
        <v>21329973.43</v>
      </c>
      <c r="H4" s="182">
        <v>9560194.9499999993</v>
      </c>
      <c r="I4" s="182">
        <v>8097916.2300000004</v>
      </c>
      <c r="J4" s="182">
        <v>7338726.9000000004</v>
      </c>
      <c r="K4" s="182">
        <f t="shared" ref="K4:K9" si="0">SUM(C4:J4)</f>
        <v>232888100.77000001</v>
      </c>
    </row>
    <row r="5" spans="1:11" x14ac:dyDescent="0.2">
      <c r="A5" s="33" t="s">
        <v>76</v>
      </c>
      <c r="B5" s="182">
        <v>21202</v>
      </c>
      <c r="C5" s="182">
        <v>89924774.939999998</v>
      </c>
      <c r="D5" s="182">
        <v>17484212</v>
      </c>
      <c r="E5" s="182">
        <v>6495914.6500000004</v>
      </c>
      <c r="F5" s="182">
        <v>9259893.1099999994</v>
      </c>
      <c r="G5" s="182">
        <v>14912484.65</v>
      </c>
      <c r="H5" s="182">
        <v>6502470.6799999997</v>
      </c>
      <c r="I5" s="182">
        <v>6977393.1600000001</v>
      </c>
      <c r="J5" s="182">
        <v>6828738</v>
      </c>
      <c r="K5" s="182">
        <f t="shared" si="0"/>
        <v>158385881.19</v>
      </c>
    </row>
    <row r="6" spans="1:11" x14ac:dyDescent="0.2">
      <c r="A6" s="33" t="s">
        <v>77</v>
      </c>
      <c r="B6" s="182">
        <v>11728</v>
      </c>
      <c r="C6" s="182">
        <v>57017089.609999999</v>
      </c>
      <c r="D6" s="182">
        <v>8541211.0500000007</v>
      </c>
      <c r="E6" s="182">
        <v>4927801.95</v>
      </c>
      <c r="F6" s="182">
        <v>5069406.58</v>
      </c>
      <c r="G6" s="182">
        <v>8812942.2799999993</v>
      </c>
      <c r="H6" s="182">
        <v>4331582.21</v>
      </c>
      <c r="I6" s="182">
        <v>5020643.8600000003</v>
      </c>
      <c r="J6" s="182">
        <v>7136536</v>
      </c>
      <c r="K6" s="182">
        <f t="shared" si="0"/>
        <v>100857213.53999999</v>
      </c>
    </row>
    <row r="7" spans="1:11" x14ac:dyDescent="0.2">
      <c r="A7" s="33" t="s">
        <v>78</v>
      </c>
      <c r="B7" s="182">
        <v>13035</v>
      </c>
      <c r="C7" s="182">
        <v>55734422.189999998</v>
      </c>
      <c r="D7" s="182">
        <v>4855102.8</v>
      </c>
      <c r="E7" s="182">
        <v>7989244.6500000004</v>
      </c>
      <c r="F7" s="182">
        <v>4006993.18</v>
      </c>
      <c r="G7" s="182">
        <v>9082614.3300000001</v>
      </c>
      <c r="H7" s="182">
        <v>4711171.08</v>
      </c>
      <c r="I7" s="182">
        <v>6691179.6699999999</v>
      </c>
      <c r="J7" s="182">
        <v>5401403</v>
      </c>
      <c r="K7" s="182">
        <f t="shared" si="0"/>
        <v>98472130.900000006</v>
      </c>
    </row>
    <row r="8" spans="1:11" x14ac:dyDescent="0.2">
      <c r="A8" s="33" t="s">
        <v>79</v>
      </c>
      <c r="B8" s="182">
        <v>6607</v>
      </c>
      <c r="C8" s="182">
        <v>33810559.57</v>
      </c>
      <c r="D8" s="182">
        <v>2466122.7799999998</v>
      </c>
      <c r="E8" s="182">
        <v>5331076</v>
      </c>
      <c r="F8" s="182">
        <v>2093678.3</v>
      </c>
      <c r="G8" s="182">
        <v>5877579</v>
      </c>
      <c r="H8" s="182">
        <v>4130328.96</v>
      </c>
      <c r="I8" s="182">
        <v>3841258.58</v>
      </c>
      <c r="J8" s="182">
        <v>2667473</v>
      </c>
      <c r="K8" s="182">
        <f t="shared" si="0"/>
        <v>60218076.189999998</v>
      </c>
    </row>
    <row r="9" spans="1:11" x14ac:dyDescent="0.2">
      <c r="A9" s="33" t="s">
        <v>80</v>
      </c>
      <c r="B9" s="183">
        <v>1364</v>
      </c>
      <c r="C9" s="183">
        <v>7381713.5199999996</v>
      </c>
      <c r="D9" s="183">
        <v>386429.69</v>
      </c>
      <c r="E9" s="183">
        <v>1067674.04</v>
      </c>
      <c r="F9" s="183">
        <v>74064.320000000007</v>
      </c>
      <c r="G9" s="183">
        <v>1394412.27</v>
      </c>
      <c r="H9" s="183">
        <v>907047.28</v>
      </c>
      <c r="I9" s="183">
        <v>313617.99</v>
      </c>
      <c r="J9" s="183">
        <v>220222.7</v>
      </c>
      <c r="K9" s="183">
        <f t="shared" si="0"/>
        <v>11745181.809999999</v>
      </c>
    </row>
    <row r="10" spans="1:11" x14ac:dyDescent="0.2">
      <c r="A10" s="182" t="s">
        <v>103</v>
      </c>
      <c r="B10" s="182">
        <f>SUM(B4:B9)</f>
        <v>87867</v>
      </c>
      <c r="C10" s="182">
        <f t="shared" ref="C10:J10" si="1">SUM(C4:C9)</f>
        <v>383714806.22999996</v>
      </c>
      <c r="D10" s="182">
        <f t="shared" si="1"/>
        <v>59621045.530000001</v>
      </c>
      <c r="E10" s="182">
        <f t="shared" si="1"/>
        <v>32823293.119999997</v>
      </c>
      <c r="F10" s="182">
        <f t="shared" si="1"/>
        <v>34319529.309999995</v>
      </c>
      <c r="G10" s="182">
        <f t="shared" si="1"/>
        <v>61410005.960000001</v>
      </c>
      <c r="H10" s="182">
        <f t="shared" si="1"/>
        <v>30142795.160000004</v>
      </c>
      <c r="I10" s="182">
        <f t="shared" si="1"/>
        <v>30942009.489999998</v>
      </c>
      <c r="J10" s="182">
        <f t="shared" si="1"/>
        <v>29593099.599999998</v>
      </c>
      <c r="K10" s="182">
        <f>SUM(K4:K9)</f>
        <v>662566584.39999986</v>
      </c>
    </row>
    <row r="11" spans="1:11" x14ac:dyDescent="0.2">
      <c r="A11" s="33"/>
      <c r="B11" s="182"/>
      <c r="C11" s="182"/>
      <c r="D11" s="182"/>
      <c r="E11" s="182"/>
      <c r="F11" s="182"/>
      <c r="G11" s="182"/>
      <c r="H11" s="182"/>
      <c r="I11" s="182"/>
      <c r="J11" s="182"/>
      <c r="K11" s="182"/>
    </row>
    <row r="12" spans="1:11" x14ac:dyDescent="0.2">
      <c r="A12" s="33" t="s">
        <v>81</v>
      </c>
      <c r="B12" s="182">
        <v>22769</v>
      </c>
      <c r="C12" s="182">
        <v>88833572.980000004</v>
      </c>
      <c r="D12" s="182">
        <v>15417777.789999999</v>
      </c>
      <c r="E12" s="182">
        <v>7960226.8499999996</v>
      </c>
      <c r="F12" s="182">
        <v>9745422.5800000001</v>
      </c>
      <c r="G12" s="182">
        <v>16945266.379999999</v>
      </c>
      <c r="H12" s="182">
        <v>6211523.8600000003</v>
      </c>
      <c r="I12" s="182">
        <v>12782972.85</v>
      </c>
      <c r="J12" s="182">
        <v>10432951.560000001</v>
      </c>
      <c r="K12" s="182">
        <f>SUM(C12:J12)</f>
        <v>168329714.85000002</v>
      </c>
    </row>
    <row r="13" spans="1:11" x14ac:dyDescent="0.2">
      <c r="A13" s="33" t="s">
        <v>82</v>
      </c>
      <c r="B13" s="182">
        <v>9254</v>
      </c>
      <c r="C13" s="182">
        <v>34761525.43</v>
      </c>
      <c r="D13" s="182">
        <v>5988012.2800000003</v>
      </c>
      <c r="E13" s="182">
        <v>3923061.61</v>
      </c>
      <c r="F13" s="182">
        <v>4562597.2300000004</v>
      </c>
      <c r="G13" s="182">
        <v>8423646.2599999998</v>
      </c>
      <c r="H13" s="182">
        <v>4566437.6100000003</v>
      </c>
      <c r="I13" s="182">
        <v>6472253.6600000001</v>
      </c>
      <c r="J13" s="182">
        <v>4029803.19</v>
      </c>
      <c r="K13" s="182">
        <f>SUM(C13:J13)</f>
        <v>72727337.269999996</v>
      </c>
    </row>
    <row r="14" spans="1:11" x14ac:dyDescent="0.2">
      <c r="A14" s="33" t="s">
        <v>83</v>
      </c>
      <c r="B14" s="182">
        <v>5112</v>
      </c>
      <c r="C14" s="182">
        <v>21523071.620000001</v>
      </c>
      <c r="D14" s="182">
        <v>2820576.32</v>
      </c>
      <c r="E14" s="182">
        <v>2798281.5</v>
      </c>
      <c r="F14" s="182">
        <v>2805614.89</v>
      </c>
      <c r="G14" s="182">
        <v>5497521.1600000001</v>
      </c>
      <c r="H14" s="182">
        <v>2849594.93</v>
      </c>
      <c r="I14" s="182">
        <v>4747407.8499999996</v>
      </c>
      <c r="J14" s="182">
        <v>2546381.75</v>
      </c>
      <c r="K14" s="182">
        <f>SUM(C14:J14)</f>
        <v>45588450.020000003</v>
      </c>
    </row>
    <row r="15" spans="1:11" x14ac:dyDescent="0.2">
      <c r="A15" s="33" t="s">
        <v>84</v>
      </c>
      <c r="B15" s="182">
        <v>4817</v>
      </c>
      <c r="C15" s="182">
        <v>24698308.52</v>
      </c>
      <c r="D15" s="182">
        <v>2813279.31</v>
      </c>
      <c r="E15" s="182">
        <v>4853499.51</v>
      </c>
      <c r="F15" s="182">
        <v>2764074.66</v>
      </c>
      <c r="G15" s="182">
        <v>5975320.9199999999</v>
      </c>
      <c r="H15" s="182">
        <v>4264520.9000000004</v>
      </c>
      <c r="I15" s="182">
        <v>4630978.26</v>
      </c>
      <c r="J15" s="182">
        <v>2436519.2799999998</v>
      </c>
      <c r="K15" s="182">
        <f>SUM(C15:J15)</f>
        <v>52436501.359999999</v>
      </c>
    </row>
    <row r="16" spans="1:11" x14ac:dyDescent="0.2">
      <c r="A16" s="33" t="s">
        <v>85</v>
      </c>
      <c r="B16" s="183">
        <v>1482</v>
      </c>
      <c r="C16" s="183">
        <v>10630251.34</v>
      </c>
      <c r="D16" s="183">
        <v>797754.44</v>
      </c>
      <c r="E16" s="183">
        <v>2578794.7599999998</v>
      </c>
      <c r="F16" s="183">
        <v>644342.12</v>
      </c>
      <c r="G16" s="183">
        <v>2758728.67</v>
      </c>
      <c r="H16" s="183">
        <v>1738264.49</v>
      </c>
      <c r="I16" s="183">
        <v>2012247.09</v>
      </c>
      <c r="J16" s="183">
        <v>563436</v>
      </c>
      <c r="K16" s="183">
        <f>SUM(C16:J16)</f>
        <v>21723818.909999996</v>
      </c>
    </row>
    <row r="17" spans="1:11" x14ac:dyDescent="0.2">
      <c r="A17" s="182" t="s">
        <v>104</v>
      </c>
      <c r="B17" s="182">
        <f>SUM(B12:B16)</f>
        <v>43434</v>
      </c>
      <c r="C17" s="182">
        <f t="shared" ref="C17:J17" si="2">SUM(C12:C16)</f>
        <v>180446729.89000002</v>
      </c>
      <c r="D17" s="182">
        <f t="shared" si="2"/>
        <v>27837400.140000001</v>
      </c>
      <c r="E17" s="182">
        <f t="shared" si="2"/>
        <v>22113864.229999997</v>
      </c>
      <c r="F17" s="182">
        <f t="shared" si="2"/>
        <v>20522051.48</v>
      </c>
      <c r="G17" s="182">
        <f t="shared" si="2"/>
        <v>39600483.390000001</v>
      </c>
      <c r="H17" s="182">
        <f t="shared" si="2"/>
        <v>19630341.789999999</v>
      </c>
      <c r="I17" s="182">
        <f t="shared" si="2"/>
        <v>30645859.709999997</v>
      </c>
      <c r="J17" s="182">
        <f t="shared" si="2"/>
        <v>20009091.780000001</v>
      </c>
      <c r="K17" s="182">
        <f>SUM(K12:K16)</f>
        <v>360805822.40999997</v>
      </c>
    </row>
    <row r="18" spans="1:11" x14ac:dyDescent="0.2">
      <c r="A18" s="33"/>
      <c r="B18" s="182"/>
      <c r="C18" s="182"/>
      <c r="D18" s="182"/>
      <c r="E18" s="182"/>
      <c r="F18" s="182"/>
      <c r="G18" s="182"/>
      <c r="H18" s="182"/>
      <c r="I18" s="182"/>
      <c r="J18" s="182"/>
      <c r="K18" s="182"/>
    </row>
    <row r="19" spans="1:11" x14ac:dyDescent="0.2">
      <c r="A19" s="33" t="s">
        <v>86</v>
      </c>
      <c r="B19" s="182">
        <v>12099</v>
      </c>
      <c r="C19" s="182">
        <v>47918372.960000001</v>
      </c>
      <c r="D19" s="182">
        <v>5405677.5199999996</v>
      </c>
      <c r="E19" s="182">
        <v>4328853.6399999997</v>
      </c>
      <c r="F19" s="182">
        <v>5033912.09</v>
      </c>
      <c r="G19" s="182">
        <v>8426931.8800000008</v>
      </c>
      <c r="H19" s="182">
        <v>4595770.91</v>
      </c>
      <c r="I19" s="182">
        <v>5898263.0499999998</v>
      </c>
      <c r="J19" s="182">
        <v>5269296.7</v>
      </c>
      <c r="K19" s="182">
        <f>SUM(C19:J19)</f>
        <v>86877078.75</v>
      </c>
    </row>
    <row r="20" spans="1:11" x14ac:dyDescent="0.2">
      <c r="A20" s="33" t="s">
        <v>87</v>
      </c>
      <c r="B20" s="183">
        <v>6063</v>
      </c>
      <c r="C20" s="183">
        <v>33776796.210000001</v>
      </c>
      <c r="D20" s="183">
        <v>2523284.4</v>
      </c>
      <c r="E20" s="183">
        <v>6275837.5099999998</v>
      </c>
      <c r="F20" s="183">
        <v>1953617.39</v>
      </c>
      <c r="G20" s="183">
        <v>7350494.0099999998</v>
      </c>
      <c r="H20" s="183">
        <v>4621945.0199999996</v>
      </c>
      <c r="I20" s="183">
        <v>5533669.1500000004</v>
      </c>
      <c r="J20" s="183">
        <v>3020919</v>
      </c>
      <c r="K20" s="183">
        <f>SUM(C20:J20)</f>
        <v>65056562.68999999</v>
      </c>
    </row>
    <row r="21" spans="1:11" x14ac:dyDescent="0.2">
      <c r="A21" s="182" t="s">
        <v>105</v>
      </c>
      <c r="B21" s="182">
        <f>SUM(B19:B20)</f>
        <v>18162</v>
      </c>
      <c r="C21" s="182">
        <f t="shared" ref="C21:K21" si="3">SUM(C19:C20)</f>
        <v>81695169.170000002</v>
      </c>
      <c r="D21" s="182">
        <f t="shared" si="3"/>
        <v>7928961.9199999999</v>
      </c>
      <c r="E21" s="182">
        <f t="shared" si="3"/>
        <v>10604691.149999999</v>
      </c>
      <c r="F21" s="182">
        <f t="shared" si="3"/>
        <v>6987529.4799999995</v>
      </c>
      <c r="G21" s="182">
        <f t="shared" si="3"/>
        <v>15777425.890000001</v>
      </c>
      <c r="H21" s="182">
        <f t="shared" si="3"/>
        <v>9217715.9299999997</v>
      </c>
      <c r="I21" s="182">
        <f t="shared" si="3"/>
        <v>11431932.199999999</v>
      </c>
      <c r="J21" s="182">
        <f t="shared" si="3"/>
        <v>8290215.7000000002</v>
      </c>
      <c r="K21" s="182">
        <f t="shared" si="3"/>
        <v>151933641.44</v>
      </c>
    </row>
    <row r="22" spans="1:11" x14ac:dyDescent="0.2">
      <c r="A22" s="33"/>
      <c r="B22" s="182"/>
      <c r="C22" s="182"/>
      <c r="D22" s="182"/>
      <c r="E22" s="182"/>
      <c r="F22" s="182"/>
      <c r="G22" s="182"/>
      <c r="H22" s="182"/>
      <c r="I22" s="182"/>
      <c r="J22" s="182"/>
      <c r="K22" s="182"/>
    </row>
    <row r="23" spans="1:11" ht="13.5" thickBot="1" x14ac:dyDescent="0.25">
      <c r="A23" s="182" t="s">
        <v>209</v>
      </c>
      <c r="B23" s="192">
        <f>B10+B17+B21</f>
        <v>149463</v>
      </c>
      <c r="C23" s="192">
        <f t="shared" ref="C23:J23" si="4">C10+C17+C21</f>
        <v>645856705.28999996</v>
      </c>
      <c r="D23" s="192">
        <f t="shared" si="4"/>
        <v>95387407.590000004</v>
      </c>
      <c r="E23" s="192">
        <f t="shared" si="4"/>
        <v>65541848.499999993</v>
      </c>
      <c r="F23" s="192">
        <f t="shared" si="4"/>
        <v>61829110.269999988</v>
      </c>
      <c r="G23" s="192">
        <f t="shared" si="4"/>
        <v>116787915.23999999</v>
      </c>
      <c r="H23" s="192">
        <f t="shared" si="4"/>
        <v>58990852.880000003</v>
      </c>
      <c r="I23" s="192">
        <f t="shared" si="4"/>
        <v>73019801.399999991</v>
      </c>
      <c r="J23" s="192">
        <f t="shared" si="4"/>
        <v>57892407.079999998</v>
      </c>
      <c r="K23" s="192">
        <f>(K10+K17+K21)</f>
        <v>1175306048.2499998</v>
      </c>
    </row>
    <row r="24" spans="1:11" ht="13.5" thickTop="1" x14ac:dyDescent="0.2">
      <c r="A24" s="33"/>
      <c r="B24" s="182"/>
      <c r="C24" s="182"/>
      <c r="D24" s="182"/>
      <c r="E24" s="182"/>
      <c r="F24" s="182"/>
      <c r="G24" s="182"/>
      <c r="H24" s="182"/>
      <c r="I24" s="182"/>
      <c r="J24" s="182"/>
      <c r="K24" s="182"/>
    </row>
    <row r="25" spans="1:11" x14ac:dyDescent="0.2">
      <c r="A25" s="36" t="s">
        <v>247</v>
      </c>
      <c r="B25" s="22"/>
      <c r="C25" s="22"/>
      <c r="D25" s="22"/>
      <c r="E25" s="22"/>
      <c r="F25" s="22"/>
      <c r="G25" s="22"/>
      <c r="H25" s="22"/>
      <c r="I25" s="22"/>
      <c r="J25" s="22"/>
      <c r="K25" s="22"/>
    </row>
    <row r="26" spans="1:11" x14ac:dyDescent="0.2">
      <c r="A26" s="36" t="s">
        <v>499</v>
      </c>
      <c r="B26" s="22"/>
      <c r="C26" s="22"/>
      <c r="D26" s="22"/>
      <c r="E26" s="22"/>
      <c r="F26" s="22"/>
      <c r="G26" s="22"/>
      <c r="H26" s="22"/>
      <c r="I26" s="22"/>
      <c r="J26" s="22"/>
      <c r="K26" s="22"/>
    </row>
    <row r="27" spans="1:11" ht="33.75" x14ac:dyDescent="0.2">
      <c r="A27" s="21" t="s">
        <v>245</v>
      </c>
      <c r="B27" s="12" t="s">
        <v>498</v>
      </c>
      <c r="C27" s="12" t="s">
        <v>500</v>
      </c>
      <c r="D27" s="12" t="s">
        <v>501</v>
      </c>
      <c r="E27" s="12" t="s">
        <v>502</v>
      </c>
      <c r="F27" s="12" t="s">
        <v>503</v>
      </c>
      <c r="G27" s="12" t="s">
        <v>504</v>
      </c>
      <c r="H27" s="12" t="s">
        <v>505</v>
      </c>
      <c r="I27" s="12" t="s">
        <v>506</v>
      </c>
      <c r="J27" s="12" t="s">
        <v>507</v>
      </c>
      <c r="K27" s="12" t="s">
        <v>508</v>
      </c>
    </row>
    <row r="28" spans="1:11" x14ac:dyDescent="0.2">
      <c r="A28" s="182" t="s">
        <v>102</v>
      </c>
      <c r="B28" s="182">
        <f t="shared" ref="B28:B33" si="5">B4</f>
        <v>33931</v>
      </c>
      <c r="C28" s="182">
        <f>C4/B28</f>
        <v>4121.4890925702166</v>
      </c>
      <c r="D28" s="182">
        <f t="shared" ref="D28:D34" si="6">D4/B28</f>
        <v>762.95915858654325</v>
      </c>
      <c r="E28" s="182">
        <f t="shared" ref="E28:E34" si="7">E4/B28</f>
        <v>206.64235743125755</v>
      </c>
      <c r="F28" s="182">
        <f t="shared" ref="F28:F34" si="8">F4/B28</f>
        <v>407.16435766703017</v>
      </c>
      <c r="G28" s="182">
        <f t="shared" ref="G28:G34" si="9">G4/B28</f>
        <v>628.6279045710412</v>
      </c>
      <c r="H28" s="182">
        <f t="shared" ref="H28:H34" si="10">H4/B28</f>
        <v>281.75399929268218</v>
      </c>
      <c r="I28" s="182">
        <f t="shared" ref="I28:I34" si="11">I4/B28</f>
        <v>238.65834281335654</v>
      </c>
      <c r="J28" s="182">
        <f t="shared" ref="J28:J34" si="12">J4/B28</f>
        <v>216.28383778845304</v>
      </c>
      <c r="K28" s="182">
        <f t="shared" ref="K28:K34" si="13">SUM(C28:J28)</f>
        <v>6863.5790507205811</v>
      </c>
    </row>
    <row r="29" spans="1:11" x14ac:dyDescent="0.2">
      <c r="A29" s="182" t="s">
        <v>76</v>
      </c>
      <c r="B29" s="182">
        <f t="shared" si="5"/>
        <v>21202</v>
      </c>
      <c r="C29" s="182">
        <f t="shared" ref="C29:C45" si="14">C5/B29</f>
        <v>4241.3345410810298</v>
      </c>
      <c r="D29" s="182">
        <f t="shared" si="6"/>
        <v>824.64918403924162</v>
      </c>
      <c r="E29" s="182">
        <f t="shared" si="7"/>
        <v>306.38216441845111</v>
      </c>
      <c r="F29" s="182">
        <f t="shared" si="8"/>
        <v>436.74620837656823</v>
      </c>
      <c r="G29" s="182">
        <f t="shared" si="9"/>
        <v>703.35273323271394</v>
      </c>
      <c r="H29" s="182">
        <f t="shared" si="10"/>
        <v>306.69138194509952</v>
      </c>
      <c r="I29" s="182">
        <f t="shared" si="11"/>
        <v>329.09127252146027</v>
      </c>
      <c r="J29" s="182">
        <f t="shared" si="12"/>
        <v>322.07989812281858</v>
      </c>
      <c r="K29" s="182">
        <f t="shared" si="13"/>
        <v>7470.3273837373836</v>
      </c>
    </row>
    <row r="30" spans="1:11" x14ac:dyDescent="0.2">
      <c r="A30" s="182" t="s">
        <v>77</v>
      </c>
      <c r="B30" s="182">
        <f t="shared" si="5"/>
        <v>11728</v>
      </c>
      <c r="C30" s="182">
        <f t="shared" si="14"/>
        <v>4861.6208739768072</v>
      </c>
      <c r="D30" s="182">
        <f t="shared" si="6"/>
        <v>728.27515774215556</v>
      </c>
      <c r="E30" s="182">
        <f t="shared" si="7"/>
        <v>420.17410896998638</v>
      </c>
      <c r="F30" s="182">
        <f t="shared" si="8"/>
        <v>432.24817360163712</v>
      </c>
      <c r="G30" s="182">
        <f t="shared" si="9"/>
        <v>751.44460095497948</v>
      </c>
      <c r="H30" s="182">
        <f t="shared" si="10"/>
        <v>369.3368187244202</v>
      </c>
      <c r="I30" s="182">
        <f t="shared" si="11"/>
        <v>428.09037005457031</v>
      </c>
      <c r="J30" s="182">
        <f t="shared" si="12"/>
        <v>608.5040927694406</v>
      </c>
      <c r="K30" s="182">
        <f t="shared" si="13"/>
        <v>8599.6941967939965</v>
      </c>
    </row>
    <row r="31" spans="1:11" x14ac:dyDescent="0.2">
      <c r="A31" s="182" t="s">
        <v>78</v>
      </c>
      <c r="B31" s="182">
        <f t="shared" si="5"/>
        <v>13035</v>
      </c>
      <c r="C31" s="182">
        <f t="shared" si="14"/>
        <v>4275.7516064441888</v>
      </c>
      <c r="D31" s="182">
        <f t="shared" si="6"/>
        <v>372.46665132336017</v>
      </c>
      <c r="E31" s="182">
        <f t="shared" si="7"/>
        <v>612.90714614499427</v>
      </c>
      <c r="F31" s="182">
        <f t="shared" si="8"/>
        <v>307.40262217107789</v>
      </c>
      <c r="G31" s="182">
        <f t="shared" si="9"/>
        <v>696.78667663981594</v>
      </c>
      <c r="H31" s="182">
        <f t="shared" si="10"/>
        <v>361.42470886075949</v>
      </c>
      <c r="I31" s="182">
        <f t="shared" si="11"/>
        <v>513.32410203298809</v>
      </c>
      <c r="J31" s="182">
        <f t="shared" si="12"/>
        <v>414.37690832374375</v>
      </c>
      <c r="K31" s="182">
        <f t="shared" si="13"/>
        <v>7554.4404219409289</v>
      </c>
    </row>
    <row r="32" spans="1:11" x14ac:dyDescent="0.2">
      <c r="A32" s="182" t="s">
        <v>79</v>
      </c>
      <c r="B32" s="182">
        <f t="shared" si="5"/>
        <v>6607</v>
      </c>
      <c r="C32" s="182">
        <f t="shared" si="14"/>
        <v>5117.3845270168003</v>
      </c>
      <c r="D32" s="182">
        <f t="shared" si="6"/>
        <v>373.2590858180717</v>
      </c>
      <c r="E32" s="182">
        <f t="shared" si="7"/>
        <v>806.88300287573782</v>
      </c>
      <c r="F32" s="182">
        <f t="shared" si="8"/>
        <v>316.88789163008931</v>
      </c>
      <c r="G32" s="182">
        <f t="shared" si="9"/>
        <v>889.59875889208411</v>
      </c>
      <c r="H32" s="182">
        <f t="shared" si="10"/>
        <v>625.14438625700018</v>
      </c>
      <c r="I32" s="182">
        <f t="shared" si="11"/>
        <v>581.3922476161647</v>
      </c>
      <c r="J32" s="182">
        <f t="shared" si="12"/>
        <v>403.73437263508401</v>
      </c>
      <c r="K32" s="182">
        <f t="shared" si="13"/>
        <v>9114.2842727410334</v>
      </c>
    </row>
    <row r="33" spans="1:11" x14ac:dyDescent="0.2">
      <c r="A33" s="182" t="s">
        <v>80</v>
      </c>
      <c r="B33" s="183">
        <f t="shared" si="5"/>
        <v>1364</v>
      </c>
      <c r="C33" s="183">
        <f t="shared" si="14"/>
        <v>5411.8134310850437</v>
      </c>
      <c r="D33" s="183">
        <f t="shared" si="6"/>
        <v>283.30622434017596</v>
      </c>
      <c r="E33" s="183">
        <f t="shared" si="7"/>
        <v>782.75222873900293</v>
      </c>
      <c r="F33" s="183">
        <f t="shared" si="8"/>
        <v>54.299354838709682</v>
      </c>
      <c r="G33" s="183">
        <f t="shared" si="9"/>
        <v>1022.2963856304985</v>
      </c>
      <c r="H33" s="183">
        <f t="shared" si="10"/>
        <v>664.99067448680353</v>
      </c>
      <c r="I33" s="183">
        <f t="shared" si="11"/>
        <v>229.92521260997066</v>
      </c>
      <c r="J33" s="183">
        <f t="shared" si="12"/>
        <v>161.45359237536658</v>
      </c>
      <c r="K33" s="183">
        <f t="shared" si="13"/>
        <v>8610.8371041055725</v>
      </c>
    </row>
    <row r="34" spans="1:11" x14ac:dyDescent="0.2">
      <c r="A34" s="182" t="s">
        <v>219</v>
      </c>
      <c r="B34" s="182">
        <f>SUM(B28:B33)</f>
        <v>87867</v>
      </c>
      <c r="C34" s="182">
        <f t="shared" si="14"/>
        <v>4366.9956437570418</v>
      </c>
      <c r="D34" s="182">
        <f t="shared" si="6"/>
        <v>678.53739777163219</v>
      </c>
      <c r="E34" s="182">
        <f t="shared" si="7"/>
        <v>373.55654705407034</v>
      </c>
      <c r="F34" s="182">
        <f t="shared" si="8"/>
        <v>390.58496716628537</v>
      </c>
      <c r="G34" s="182">
        <f t="shared" si="9"/>
        <v>698.89726472964821</v>
      </c>
      <c r="H34" s="182">
        <f t="shared" si="10"/>
        <v>343.05023683521688</v>
      </c>
      <c r="I34" s="182">
        <f t="shared" si="11"/>
        <v>352.14596481045214</v>
      </c>
      <c r="J34" s="182">
        <f t="shared" si="12"/>
        <v>336.79424129650494</v>
      </c>
      <c r="K34" s="182">
        <f t="shared" si="13"/>
        <v>7540.5622634208512</v>
      </c>
    </row>
    <row r="35" spans="1:11" x14ac:dyDescent="0.2">
      <c r="A35" s="182"/>
      <c r="B35" s="182"/>
      <c r="C35" s="182"/>
      <c r="D35" s="182"/>
      <c r="E35" s="182"/>
      <c r="F35" s="182"/>
      <c r="G35" s="182"/>
      <c r="H35" s="182"/>
      <c r="I35" s="182"/>
      <c r="J35" s="182"/>
      <c r="K35" s="182"/>
    </row>
    <row r="36" spans="1:11" x14ac:dyDescent="0.2">
      <c r="A36" s="182" t="s">
        <v>81</v>
      </c>
      <c r="B36" s="182">
        <f>B12</f>
        <v>22769</v>
      </c>
      <c r="C36" s="182">
        <f t="shared" ref="C36:C41" si="15">C12/B36</f>
        <v>3901.5140313584261</v>
      </c>
      <c r="D36" s="182">
        <f t="shared" ref="D36:D41" si="16">D12/B36</f>
        <v>677.13899556414424</v>
      </c>
      <c r="E36" s="182">
        <f t="shared" ref="E36:E41" si="17">E12/B36</f>
        <v>349.60810092669857</v>
      </c>
      <c r="F36" s="182">
        <f t="shared" ref="F36:F41" si="18">F12/B36</f>
        <v>428.01276208880495</v>
      </c>
      <c r="G36" s="182">
        <f t="shared" ref="G36:G41" si="19">G12/B36</f>
        <v>744.22532302692252</v>
      </c>
      <c r="H36" s="182">
        <f t="shared" ref="H36:H41" si="20">H12/B36</f>
        <v>272.80617769774693</v>
      </c>
      <c r="I36" s="182">
        <f t="shared" ref="I36:I41" si="21">I12/B36</f>
        <v>561.42003820984667</v>
      </c>
      <c r="J36" s="182">
        <f t="shared" ref="J36:J41" si="22">J12/B36</f>
        <v>458.20859765470595</v>
      </c>
      <c r="K36" s="182">
        <f t="shared" ref="K36:K41" si="23">SUM(C36:J36)</f>
        <v>7392.9340265272958</v>
      </c>
    </row>
    <row r="37" spans="1:11" x14ac:dyDescent="0.2">
      <c r="A37" s="182" t="s">
        <v>82</v>
      </c>
      <c r="B37" s="182">
        <f>B13</f>
        <v>9254</v>
      </c>
      <c r="C37" s="182">
        <f t="shared" si="15"/>
        <v>3756.378369353793</v>
      </c>
      <c r="D37" s="182">
        <f t="shared" si="16"/>
        <v>647.07286362653986</v>
      </c>
      <c r="E37" s="182">
        <f t="shared" si="17"/>
        <v>423.93144694186299</v>
      </c>
      <c r="F37" s="182">
        <f t="shared" si="18"/>
        <v>493.04054787119088</v>
      </c>
      <c r="G37" s="182">
        <f t="shared" si="19"/>
        <v>910.27082991138968</v>
      </c>
      <c r="H37" s="182">
        <f t="shared" si="20"/>
        <v>493.4555446293495</v>
      </c>
      <c r="I37" s="182">
        <f t="shared" si="21"/>
        <v>699.40065485195589</v>
      </c>
      <c r="J37" s="182">
        <f t="shared" si="22"/>
        <v>435.46608925869896</v>
      </c>
      <c r="K37" s="182">
        <f t="shared" si="23"/>
        <v>7859.0163464447814</v>
      </c>
    </row>
    <row r="38" spans="1:11" x14ac:dyDescent="0.2">
      <c r="A38" s="182" t="s">
        <v>83</v>
      </c>
      <c r="B38" s="182">
        <f>B14</f>
        <v>5112</v>
      </c>
      <c r="C38" s="182">
        <f t="shared" si="15"/>
        <v>4210.303525039124</v>
      </c>
      <c r="D38" s="182">
        <f t="shared" si="16"/>
        <v>551.75593114240996</v>
      </c>
      <c r="E38" s="182">
        <f t="shared" si="17"/>
        <v>547.39465962441318</v>
      </c>
      <c r="F38" s="182">
        <f t="shared" si="18"/>
        <v>548.82920383411579</v>
      </c>
      <c r="G38" s="182">
        <f t="shared" si="19"/>
        <v>1075.4149374021908</v>
      </c>
      <c r="H38" s="182">
        <f t="shared" si="20"/>
        <v>557.43249804381855</v>
      </c>
      <c r="I38" s="182">
        <f t="shared" si="21"/>
        <v>928.67915688575897</v>
      </c>
      <c r="J38" s="182">
        <f t="shared" si="22"/>
        <v>498.1184956964006</v>
      </c>
      <c r="K38" s="182">
        <f t="shared" si="23"/>
        <v>8917.9284076682325</v>
      </c>
    </row>
    <row r="39" spans="1:11" x14ac:dyDescent="0.2">
      <c r="A39" s="182" t="s">
        <v>84</v>
      </c>
      <c r="B39" s="182">
        <f>B15</f>
        <v>4817</v>
      </c>
      <c r="C39" s="182">
        <f t="shared" si="15"/>
        <v>5127.3216773925678</v>
      </c>
      <c r="D39" s="182">
        <f t="shared" si="16"/>
        <v>584.03141166701266</v>
      </c>
      <c r="E39" s="182">
        <f t="shared" si="17"/>
        <v>1007.5772285654972</v>
      </c>
      <c r="F39" s="182">
        <f t="shared" si="18"/>
        <v>573.81662030309326</v>
      </c>
      <c r="G39" s="182">
        <f t="shared" si="19"/>
        <v>1240.4652107120614</v>
      </c>
      <c r="H39" s="182">
        <f t="shared" si="20"/>
        <v>885.30639402117504</v>
      </c>
      <c r="I39" s="182">
        <f t="shared" si="21"/>
        <v>961.38224205937297</v>
      </c>
      <c r="J39" s="182">
        <f t="shared" si="22"/>
        <v>505.81674901390903</v>
      </c>
      <c r="K39" s="182">
        <f t="shared" si="23"/>
        <v>10885.717533734691</v>
      </c>
    </row>
    <row r="40" spans="1:11" x14ac:dyDescent="0.2">
      <c r="A40" s="182" t="s">
        <v>85</v>
      </c>
      <c r="B40" s="183">
        <f>B16</f>
        <v>1482</v>
      </c>
      <c r="C40" s="183">
        <f t="shared" si="15"/>
        <v>7172.9091363022944</v>
      </c>
      <c r="D40" s="183">
        <f t="shared" si="16"/>
        <v>538.29584345479077</v>
      </c>
      <c r="E40" s="183">
        <f t="shared" si="17"/>
        <v>1740.0774358974356</v>
      </c>
      <c r="F40" s="183">
        <f t="shared" si="18"/>
        <v>434.77875843454791</v>
      </c>
      <c r="G40" s="183">
        <f t="shared" si="19"/>
        <v>1861.4903306342781</v>
      </c>
      <c r="H40" s="183">
        <f t="shared" si="20"/>
        <v>1172.9180094466938</v>
      </c>
      <c r="I40" s="183">
        <f t="shared" si="21"/>
        <v>1357.7915587044536</v>
      </c>
      <c r="J40" s="183">
        <f t="shared" si="22"/>
        <v>380.18623481781378</v>
      </c>
      <c r="K40" s="183">
        <f t="shared" si="23"/>
        <v>14658.44730769231</v>
      </c>
    </row>
    <row r="41" spans="1:11" x14ac:dyDescent="0.2">
      <c r="A41" s="182" t="s">
        <v>220</v>
      </c>
      <c r="B41" s="182">
        <f>SUM(B36:B40)</f>
        <v>43434</v>
      </c>
      <c r="C41" s="182">
        <f t="shared" si="15"/>
        <v>4154.5040726159232</v>
      </c>
      <c r="D41" s="182">
        <f t="shared" si="16"/>
        <v>640.91265230004149</v>
      </c>
      <c r="E41" s="182">
        <f t="shared" si="17"/>
        <v>509.13717893815897</v>
      </c>
      <c r="F41" s="182">
        <f t="shared" si="18"/>
        <v>472.48817700419028</v>
      </c>
      <c r="G41" s="182">
        <f t="shared" si="19"/>
        <v>911.73926854537922</v>
      </c>
      <c r="H41" s="182">
        <f t="shared" si="20"/>
        <v>451.95795436754617</v>
      </c>
      <c r="I41" s="182">
        <f t="shared" si="21"/>
        <v>705.57304669153189</v>
      </c>
      <c r="J41" s="182">
        <f t="shared" si="22"/>
        <v>460.67808122668879</v>
      </c>
      <c r="K41" s="182">
        <f t="shared" si="23"/>
        <v>8306.990431689459</v>
      </c>
    </row>
    <row r="42" spans="1:11" x14ac:dyDescent="0.2">
      <c r="A42" s="182"/>
      <c r="B42" s="182"/>
      <c r="C42" s="182"/>
      <c r="D42" s="182"/>
      <c r="E42" s="182"/>
      <c r="F42" s="182"/>
      <c r="G42" s="182"/>
      <c r="H42" s="182"/>
      <c r="I42" s="182"/>
      <c r="J42" s="182"/>
      <c r="K42" s="182"/>
    </row>
    <row r="43" spans="1:11" x14ac:dyDescent="0.2">
      <c r="A43" s="182" t="s">
        <v>86</v>
      </c>
      <c r="B43" s="182">
        <f>B19</f>
        <v>12099</v>
      </c>
      <c r="C43" s="182">
        <f t="shared" si="14"/>
        <v>3960.5234283825112</v>
      </c>
      <c r="D43" s="182">
        <f>D19/B43</f>
        <v>446.78713282089427</v>
      </c>
      <c r="E43" s="182">
        <f>E19/B43</f>
        <v>357.78606827010492</v>
      </c>
      <c r="F43" s="182">
        <f>F19/B43</f>
        <v>416.06017770063642</v>
      </c>
      <c r="G43" s="182">
        <f>G19/B43</f>
        <v>696.49821307546085</v>
      </c>
      <c r="H43" s="182">
        <f>H19/B43</f>
        <v>379.84717001405073</v>
      </c>
      <c r="I43" s="182">
        <f>I19/B43</f>
        <v>487.50004545830234</v>
      </c>
      <c r="J43" s="182">
        <f>J19/B43</f>
        <v>435.51505909579305</v>
      </c>
      <c r="K43" s="182">
        <f>SUM(C43:J43)</f>
        <v>7180.5172948177533</v>
      </c>
    </row>
    <row r="44" spans="1:11" x14ac:dyDescent="0.2">
      <c r="A44" s="182" t="s">
        <v>87</v>
      </c>
      <c r="B44" s="183">
        <f>B20</f>
        <v>6063</v>
      </c>
      <c r="C44" s="183">
        <f t="shared" si="14"/>
        <v>5570.9708411677393</v>
      </c>
      <c r="D44" s="183">
        <f>D20/B44</f>
        <v>416.17753587333004</v>
      </c>
      <c r="E44" s="183">
        <f>E20/B44</f>
        <v>1035.1043229424376</v>
      </c>
      <c r="F44" s="183">
        <f>F20/B44</f>
        <v>322.21959261091865</v>
      </c>
      <c r="G44" s="183">
        <f>G20/B44</f>
        <v>1212.3526323602177</v>
      </c>
      <c r="H44" s="183">
        <f>H20/B44</f>
        <v>762.31981197427012</v>
      </c>
      <c r="I44" s="183">
        <f>I20/B44</f>
        <v>912.69489526636983</v>
      </c>
      <c r="J44" s="183">
        <f>J20/B44</f>
        <v>498.25482434438396</v>
      </c>
      <c r="K44" s="183">
        <f>SUM(C44:J44)</f>
        <v>10730.094456539668</v>
      </c>
    </row>
    <row r="45" spans="1:11" x14ac:dyDescent="0.2">
      <c r="A45" s="182" t="s">
        <v>221</v>
      </c>
      <c r="B45" s="182">
        <f>SUM(B43:B44)</f>
        <v>18162</v>
      </c>
      <c r="C45" s="182">
        <f t="shared" si="14"/>
        <v>4498.1372739786366</v>
      </c>
      <c r="D45" s="182">
        <f>D21/B45</f>
        <v>436.56876555445433</v>
      </c>
      <c r="E45" s="182">
        <f>E21/B45</f>
        <v>583.8944582094482</v>
      </c>
      <c r="F45" s="182">
        <f>F21/B45</f>
        <v>384.73348089417465</v>
      </c>
      <c r="G45" s="182">
        <f>G21/B45</f>
        <v>868.70531274088762</v>
      </c>
      <c r="H45" s="182">
        <f>H21/B45</f>
        <v>507.52758121352275</v>
      </c>
      <c r="I45" s="182">
        <f>I21/B45</f>
        <v>629.4423631758616</v>
      </c>
      <c r="J45" s="182">
        <f>J21/B45</f>
        <v>456.45940425063321</v>
      </c>
      <c r="K45" s="182">
        <f>SUM(C45:J45)</f>
        <v>8365.4686400176179</v>
      </c>
    </row>
    <row r="46" spans="1:11" x14ac:dyDescent="0.2">
      <c r="A46" s="182"/>
      <c r="B46" s="182"/>
      <c r="C46" s="182"/>
      <c r="D46" s="182"/>
      <c r="E46" s="182"/>
      <c r="F46" s="182"/>
      <c r="G46" s="182"/>
      <c r="H46" s="182"/>
      <c r="I46" s="182"/>
      <c r="J46" s="182"/>
      <c r="K46" s="182"/>
    </row>
    <row r="47" spans="1:11" ht="13.5" thickBot="1" x14ac:dyDescent="0.25">
      <c r="A47" s="182" t="s">
        <v>222</v>
      </c>
      <c r="B47" s="192">
        <f>B34+B41+B45</f>
        <v>149463</v>
      </c>
      <c r="C47" s="192">
        <f>C23/$B$47</f>
        <v>4321.1811972862843</v>
      </c>
      <c r="D47" s="192">
        <f t="shared" ref="D47:J47" si="24">D23/$B$47</f>
        <v>638.20080949800285</v>
      </c>
      <c r="E47" s="192">
        <f t="shared" si="24"/>
        <v>438.51554230812974</v>
      </c>
      <c r="F47" s="192">
        <f t="shared" si="24"/>
        <v>413.67502505636838</v>
      </c>
      <c r="G47" s="192">
        <f t="shared" si="24"/>
        <v>781.38345436663246</v>
      </c>
      <c r="H47" s="192">
        <f t="shared" si="24"/>
        <v>394.68532600041482</v>
      </c>
      <c r="I47" s="192">
        <f t="shared" si="24"/>
        <v>488.54767668252339</v>
      </c>
      <c r="J47" s="192">
        <f t="shared" si="24"/>
        <v>387.33604356931147</v>
      </c>
      <c r="K47" s="192">
        <f>SUM(C47:J47)</f>
        <v>7863.5250747676664</v>
      </c>
    </row>
    <row r="48" spans="1:11" ht="13.5" thickTop="1" x14ac:dyDescent="0.2">
      <c r="A48" s="182"/>
      <c r="B48" s="182"/>
      <c r="C48" s="182"/>
      <c r="D48" s="182"/>
      <c r="E48" s="182"/>
      <c r="F48" s="182"/>
      <c r="G48" s="182"/>
      <c r="H48" s="182"/>
      <c r="I48" s="182"/>
      <c r="J48" s="182"/>
      <c r="K48" s="182"/>
    </row>
    <row r="49" spans="1:11" x14ac:dyDescent="0.2">
      <c r="A49" s="36" t="s">
        <v>247</v>
      </c>
      <c r="B49" s="182"/>
      <c r="C49" s="182"/>
      <c r="D49" s="182"/>
      <c r="E49" s="182"/>
      <c r="F49" s="182"/>
      <c r="G49" s="182"/>
      <c r="H49" s="182"/>
      <c r="I49" s="182"/>
      <c r="J49" s="182"/>
      <c r="K49" s="182"/>
    </row>
    <row r="50" spans="1:11" x14ac:dyDescent="0.2">
      <c r="A50" s="22" t="s">
        <v>509</v>
      </c>
      <c r="B50" s="182"/>
      <c r="C50" s="182"/>
      <c r="D50" s="182"/>
      <c r="E50" s="182"/>
      <c r="F50" s="182"/>
      <c r="G50" s="182"/>
      <c r="H50" s="182"/>
      <c r="I50" s="182"/>
      <c r="J50" s="182"/>
      <c r="K50" s="182"/>
    </row>
    <row r="51" spans="1:11" ht="33.75" x14ac:dyDescent="0.2">
      <c r="A51" s="21" t="s">
        <v>245</v>
      </c>
      <c r="B51" s="12" t="s">
        <v>498</v>
      </c>
      <c r="C51" s="21" t="s">
        <v>500</v>
      </c>
      <c r="D51" s="21" t="s">
        <v>501</v>
      </c>
      <c r="E51" s="21" t="s">
        <v>502</v>
      </c>
      <c r="F51" s="21" t="s">
        <v>503</v>
      </c>
      <c r="G51" s="21" t="s">
        <v>504</v>
      </c>
      <c r="H51" s="21" t="s">
        <v>505</v>
      </c>
      <c r="I51" s="21" t="s">
        <v>506</v>
      </c>
      <c r="J51" s="21" t="s">
        <v>507</v>
      </c>
      <c r="K51" s="21" t="s">
        <v>508</v>
      </c>
    </row>
    <row r="52" spans="1:11" x14ac:dyDescent="0.2">
      <c r="A52" s="182" t="s">
        <v>102</v>
      </c>
      <c r="B52" s="182">
        <f t="shared" ref="B52:B57" si="25">B28</f>
        <v>33931</v>
      </c>
      <c r="C52" s="191">
        <f>C4/$K$4</f>
        <v>0.60048686874780255</v>
      </c>
      <c r="D52" s="191">
        <f t="shared" ref="D52:K52" si="26">D4/$K$4</f>
        <v>0.11116054072495067</v>
      </c>
      <c r="E52" s="191">
        <f t="shared" si="26"/>
        <v>3.0107084933998534E-2</v>
      </c>
      <c r="F52" s="191">
        <f t="shared" si="26"/>
        <v>5.9322454751108838E-2</v>
      </c>
      <c r="G52" s="191">
        <f t="shared" si="26"/>
        <v>9.1588936315236874E-2</v>
      </c>
      <c r="H52" s="191">
        <f t="shared" si="26"/>
        <v>4.1050594334322107E-2</v>
      </c>
      <c r="I52" s="191">
        <f t="shared" si="26"/>
        <v>3.4771704536323618E-2</v>
      </c>
      <c r="J52" s="191">
        <f t="shared" si="26"/>
        <v>3.1511815656256811E-2</v>
      </c>
      <c r="K52" s="191">
        <f t="shared" si="26"/>
        <v>1</v>
      </c>
    </row>
    <row r="53" spans="1:11" x14ac:dyDescent="0.2">
      <c r="A53" s="182" t="s">
        <v>76</v>
      </c>
      <c r="B53" s="182">
        <f t="shared" si="25"/>
        <v>21202</v>
      </c>
      <c r="C53" s="191">
        <f t="shared" ref="C53:K53" si="27">C5/$K$5</f>
        <v>0.56775751894277793</v>
      </c>
      <c r="D53" s="191">
        <f t="shared" si="27"/>
        <v>0.11038996575096177</v>
      </c>
      <c r="E53" s="191">
        <f t="shared" si="27"/>
        <v>4.1013217852464319E-2</v>
      </c>
      <c r="F53" s="191">
        <f t="shared" si="27"/>
        <v>5.8464132285199172E-2</v>
      </c>
      <c r="G53" s="191">
        <f t="shared" si="27"/>
        <v>9.4152866012791603E-2</v>
      </c>
      <c r="H53" s="191">
        <f t="shared" si="27"/>
        <v>4.1054610620246026E-2</v>
      </c>
      <c r="I53" s="191">
        <f t="shared" si="27"/>
        <v>4.405312586940692E-2</v>
      </c>
      <c r="J53" s="191">
        <f t="shared" si="27"/>
        <v>4.3114562666152254E-2</v>
      </c>
      <c r="K53" s="191">
        <f t="shared" si="27"/>
        <v>1</v>
      </c>
    </row>
    <row r="54" spans="1:11" x14ac:dyDescent="0.2">
      <c r="A54" s="182" t="s">
        <v>77</v>
      </c>
      <c r="B54" s="182">
        <f t="shared" si="25"/>
        <v>11728</v>
      </c>
      <c r="C54" s="191">
        <f>C6/$K$6</f>
        <v>0.565324854898822</v>
      </c>
      <c r="D54" s="191">
        <f t="shared" ref="D54:K54" si="28">D6/$K$6</f>
        <v>8.4686169191185864E-2</v>
      </c>
      <c r="E54" s="191">
        <f t="shared" si="28"/>
        <v>4.8859191891570876E-2</v>
      </c>
      <c r="F54" s="191">
        <f t="shared" si="28"/>
        <v>5.0263202819791096E-2</v>
      </c>
      <c r="G54" s="191">
        <f t="shared" si="28"/>
        <v>8.738038629735477E-2</v>
      </c>
      <c r="H54" s="191">
        <f t="shared" si="28"/>
        <v>4.2947668867354676E-2</v>
      </c>
      <c r="I54" s="191">
        <f t="shared" si="28"/>
        <v>4.9779720099136109E-2</v>
      </c>
      <c r="J54" s="191">
        <f t="shared" si="28"/>
        <v>7.0758805934784702E-2</v>
      </c>
      <c r="K54" s="191">
        <f t="shared" si="28"/>
        <v>1</v>
      </c>
    </row>
    <row r="55" spans="1:11" x14ac:dyDescent="0.2">
      <c r="A55" s="182" t="s">
        <v>78</v>
      </c>
      <c r="B55" s="182">
        <f t="shared" si="25"/>
        <v>13035</v>
      </c>
      <c r="C55" s="191">
        <f>C7/$K$7</f>
        <v>0.56599183627496774</v>
      </c>
      <c r="D55" s="191">
        <f t="shared" ref="D55:K55" si="29">D7/$K$7</f>
        <v>4.9304333679246089E-2</v>
      </c>
      <c r="E55" s="191">
        <f t="shared" si="29"/>
        <v>8.1132037836301157E-2</v>
      </c>
      <c r="F55" s="191">
        <f t="shared" si="29"/>
        <v>4.0691646899254821E-2</v>
      </c>
      <c r="G55" s="191">
        <f t="shared" si="29"/>
        <v>9.2235379157413963E-2</v>
      </c>
      <c r="H55" s="191">
        <f t="shared" si="29"/>
        <v>4.7842684391427137E-2</v>
      </c>
      <c r="I55" s="191">
        <f t="shared" si="29"/>
        <v>6.794998350137256E-2</v>
      </c>
      <c r="J55" s="191">
        <f t="shared" si="29"/>
        <v>5.4852098260016427E-2</v>
      </c>
      <c r="K55" s="191">
        <f t="shared" si="29"/>
        <v>1</v>
      </c>
    </row>
    <row r="56" spans="1:11" x14ac:dyDescent="0.2">
      <c r="A56" s="182" t="s">
        <v>79</v>
      </c>
      <c r="B56" s="182">
        <f t="shared" si="25"/>
        <v>6607</v>
      </c>
      <c r="C56" s="191">
        <f>C8/$K$8</f>
        <v>0.56146861057668074</v>
      </c>
      <c r="D56" s="191">
        <f t="shared" ref="D56:K56" si="30">D8/$K$8</f>
        <v>4.0953197711246905E-2</v>
      </c>
      <c r="E56" s="191">
        <f t="shared" si="30"/>
        <v>8.8529497076249922E-2</v>
      </c>
      <c r="F56" s="191">
        <f t="shared" si="30"/>
        <v>3.4768269471014468E-2</v>
      </c>
      <c r="G56" s="191">
        <f t="shared" si="30"/>
        <v>9.7604894939769746E-2</v>
      </c>
      <c r="H56" s="191">
        <f t="shared" si="30"/>
        <v>6.8589520312272861E-2</v>
      </c>
      <c r="I56" s="191">
        <f t="shared" si="30"/>
        <v>6.378912816610191E-2</v>
      </c>
      <c r="J56" s="191">
        <f t="shared" si="30"/>
        <v>4.4296881746663457E-2</v>
      </c>
      <c r="K56" s="191">
        <f t="shared" si="30"/>
        <v>1</v>
      </c>
    </row>
    <row r="57" spans="1:11" x14ac:dyDescent="0.2">
      <c r="A57" s="182" t="s">
        <v>80</v>
      </c>
      <c r="B57" s="183">
        <f t="shared" si="25"/>
        <v>1364</v>
      </c>
      <c r="C57" s="193">
        <f>C9/$K$9</f>
        <v>0.62848865512793628</v>
      </c>
      <c r="D57" s="193">
        <f t="shared" ref="D57:K57" si="31">D9/$K$9</f>
        <v>3.2901124584635108E-2</v>
      </c>
      <c r="E57" s="193">
        <f t="shared" si="31"/>
        <v>9.0903151374887081E-2</v>
      </c>
      <c r="F57" s="193">
        <f t="shared" si="31"/>
        <v>6.3059321854805764E-3</v>
      </c>
      <c r="G57" s="193">
        <f t="shared" si="31"/>
        <v>0.11872206770037221</v>
      </c>
      <c r="H57" s="193">
        <f t="shared" si="31"/>
        <v>7.7227180870689319E-2</v>
      </c>
      <c r="I57" s="193">
        <f t="shared" si="31"/>
        <v>2.6701842089237104E-2</v>
      </c>
      <c r="J57" s="193">
        <f t="shared" si="31"/>
        <v>1.8750046066762421E-2</v>
      </c>
      <c r="K57" s="193">
        <f t="shared" si="31"/>
        <v>1</v>
      </c>
    </row>
    <row r="58" spans="1:11" x14ac:dyDescent="0.2">
      <c r="A58" s="182" t="s">
        <v>219</v>
      </c>
      <c r="B58" s="182">
        <f>SUM(B52:B57)</f>
        <v>87867</v>
      </c>
      <c r="C58" s="191">
        <f>C10/$K$10</f>
        <v>0.57913395463111139</v>
      </c>
      <c r="D58" s="191">
        <f t="shared" ref="D58:K58" si="32">D10/$K$10</f>
        <v>8.9984987069625627E-2</v>
      </c>
      <c r="E58" s="191">
        <f t="shared" si="32"/>
        <v>4.9539614421883003E-2</v>
      </c>
      <c r="F58" s="191">
        <f t="shared" si="32"/>
        <v>5.1797857178503375E-2</v>
      </c>
      <c r="G58" s="191">
        <f t="shared" si="32"/>
        <v>9.2685033332326944E-2</v>
      </c>
      <c r="H58" s="191">
        <f t="shared" si="32"/>
        <v>4.5493986370134257E-2</v>
      </c>
      <c r="I58" s="191">
        <f t="shared" si="32"/>
        <v>4.6700226390107104E-2</v>
      </c>
      <c r="J58" s="191">
        <f t="shared" si="32"/>
        <v>4.4664340606308431E-2</v>
      </c>
      <c r="K58" s="191">
        <f t="shared" si="32"/>
        <v>1</v>
      </c>
    </row>
    <row r="59" spans="1:11" x14ac:dyDescent="0.2">
      <c r="A59" s="182"/>
      <c r="B59" s="182"/>
      <c r="C59" s="191"/>
      <c r="D59" s="191"/>
      <c r="E59" s="191"/>
      <c r="F59" s="191"/>
      <c r="G59" s="191"/>
      <c r="H59" s="191"/>
      <c r="I59" s="191"/>
      <c r="J59" s="191"/>
      <c r="K59" s="191"/>
    </row>
    <row r="60" spans="1:11" x14ac:dyDescent="0.2">
      <c r="A60" s="182"/>
      <c r="B60" s="182"/>
      <c r="C60" s="191"/>
      <c r="D60" s="191"/>
      <c r="E60" s="191"/>
      <c r="F60" s="191"/>
      <c r="G60" s="191"/>
      <c r="H60" s="191"/>
      <c r="I60" s="191"/>
      <c r="J60" s="191"/>
      <c r="K60" s="191"/>
    </row>
    <row r="61" spans="1:11" x14ac:dyDescent="0.2">
      <c r="A61" s="182" t="s">
        <v>81</v>
      </c>
      <c r="B61" s="182">
        <f>B12</f>
        <v>22769</v>
      </c>
      <c r="C61" s="191">
        <f t="shared" ref="C61:K61" si="33">C12/$K$12</f>
        <v>0.52773554009261125</v>
      </c>
      <c r="D61" s="191">
        <f t="shared" si="33"/>
        <v>9.1592728020355202E-2</v>
      </c>
      <c r="E61" s="191">
        <f t="shared" si="33"/>
        <v>4.7289492868763085E-2</v>
      </c>
      <c r="F61" s="191">
        <f t="shared" si="33"/>
        <v>5.78948439892756E-2</v>
      </c>
      <c r="G61" s="191">
        <f t="shared" si="33"/>
        <v>0.10066711272635413</v>
      </c>
      <c r="H61" s="191">
        <f t="shared" si="33"/>
        <v>3.6900934962880085E-2</v>
      </c>
      <c r="I61" s="191">
        <f t="shared" si="33"/>
        <v>7.5940084977812808E-2</v>
      </c>
      <c r="J61" s="191">
        <f t="shared" si="33"/>
        <v>6.1979262361947729E-2</v>
      </c>
      <c r="K61" s="191">
        <f t="shared" si="33"/>
        <v>1</v>
      </c>
    </row>
    <row r="62" spans="1:11" x14ac:dyDescent="0.2">
      <c r="A62" s="182" t="s">
        <v>82</v>
      </c>
      <c r="B62" s="182">
        <f>B13</f>
        <v>9254</v>
      </c>
      <c r="C62" s="191">
        <f t="shared" ref="C62:K62" si="34">C13/$K$13</f>
        <v>0.47797055048156034</v>
      </c>
      <c r="D62" s="191">
        <f t="shared" si="34"/>
        <v>8.2335095780690065E-2</v>
      </c>
      <c r="E62" s="191">
        <f t="shared" si="34"/>
        <v>5.3942049265954105E-2</v>
      </c>
      <c r="F62" s="191">
        <f t="shared" si="34"/>
        <v>6.273565623695769E-2</v>
      </c>
      <c r="G62" s="191">
        <f t="shared" si="34"/>
        <v>0.1158250332846264</v>
      </c>
      <c r="H62" s="191">
        <f t="shared" si="34"/>
        <v>6.2788461415095073E-2</v>
      </c>
      <c r="I62" s="191">
        <f t="shared" si="34"/>
        <v>8.8993408846686911E-2</v>
      </c>
      <c r="J62" s="191">
        <f t="shared" si="34"/>
        <v>5.5409744688429456E-2</v>
      </c>
      <c r="K62" s="191">
        <f t="shared" si="34"/>
        <v>1</v>
      </c>
    </row>
    <row r="63" spans="1:11" x14ac:dyDescent="0.2">
      <c r="A63" s="182" t="s">
        <v>83</v>
      </c>
      <c r="B63" s="182">
        <f>B14</f>
        <v>5112</v>
      </c>
      <c r="C63" s="191">
        <f t="shared" ref="C63:K63" si="35">C14/$K$14</f>
        <v>0.47211676664939617</v>
      </c>
      <c r="D63" s="191">
        <f t="shared" si="35"/>
        <v>6.1870414957354139E-2</v>
      </c>
      <c r="E63" s="191">
        <f t="shared" si="35"/>
        <v>6.138136959629846E-2</v>
      </c>
      <c r="F63" s="191">
        <f t="shared" si="35"/>
        <v>6.1542230296690398E-2</v>
      </c>
      <c r="G63" s="191">
        <f t="shared" si="35"/>
        <v>0.12059021874154957</v>
      </c>
      <c r="H63" s="191">
        <f t="shared" si="35"/>
        <v>6.2506949210816801E-2</v>
      </c>
      <c r="I63" s="191">
        <f t="shared" si="35"/>
        <v>0.10413619782899562</v>
      </c>
      <c r="J63" s="191">
        <f t="shared" si="35"/>
        <v>5.585585271889882E-2</v>
      </c>
      <c r="K63" s="191">
        <f t="shared" si="35"/>
        <v>1</v>
      </c>
    </row>
    <row r="64" spans="1:11" x14ac:dyDescent="0.2">
      <c r="A64" s="182" t="s">
        <v>84</v>
      </c>
      <c r="B64" s="182">
        <f>B15</f>
        <v>4817</v>
      </c>
      <c r="C64" s="191">
        <f t="shared" ref="C64:K64" si="36">C15/$K$15</f>
        <v>0.47101366184664156</v>
      </c>
      <c r="D64" s="191">
        <f t="shared" si="36"/>
        <v>5.3651163541319838E-2</v>
      </c>
      <c r="E64" s="191">
        <f t="shared" si="36"/>
        <v>9.2559560308544578E-2</v>
      </c>
      <c r="F64" s="191">
        <f t="shared" si="36"/>
        <v>5.2712797160577002E-2</v>
      </c>
      <c r="G64" s="191">
        <f t="shared" si="36"/>
        <v>0.11395346304622334</v>
      </c>
      <c r="H64" s="191">
        <f t="shared" si="36"/>
        <v>8.1327334764807441E-2</v>
      </c>
      <c r="I64" s="191">
        <f t="shared" si="36"/>
        <v>8.8315927643727907E-2</v>
      </c>
      <c r="J64" s="191">
        <f t="shared" si="36"/>
        <v>4.6466091688158344E-2</v>
      </c>
      <c r="K64" s="191">
        <f t="shared" si="36"/>
        <v>1</v>
      </c>
    </row>
    <row r="65" spans="1:11" x14ac:dyDescent="0.2">
      <c r="A65" s="182" t="s">
        <v>85</v>
      </c>
      <c r="B65" s="183">
        <f>B16</f>
        <v>1482</v>
      </c>
      <c r="C65" s="193">
        <f t="shared" ref="C65:K65" si="37">C16/$K$16</f>
        <v>0.48933621588544174</v>
      </c>
      <c r="D65" s="193">
        <f t="shared" si="37"/>
        <v>3.6722569052201698E-2</v>
      </c>
      <c r="E65" s="193">
        <f t="shared" si="37"/>
        <v>0.11870816870108039</v>
      </c>
      <c r="F65" s="193">
        <f t="shared" si="37"/>
        <v>2.9660628394549627E-2</v>
      </c>
      <c r="G65" s="193">
        <f t="shared" si="37"/>
        <v>0.1269909623823135</v>
      </c>
      <c r="H65" s="193">
        <f t="shared" si="37"/>
        <v>8.0016524589966775E-2</v>
      </c>
      <c r="I65" s="193">
        <f t="shared" si="37"/>
        <v>9.2628607259919407E-2</v>
      </c>
      <c r="J65" s="193">
        <f t="shared" si="37"/>
        <v>2.593632373452703E-2</v>
      </c>
      <c r="K65" s="193">
        <f t="shared" si="37"/>
        <v>1</v>
      </c>
    </row>
    <row r="66" spans="1:11" x14ac:dyDescent="0.2">
      <c r="A66" s="182" t="s">
        <v>220</v>
      </c>
      <c r="B66" s="182">
        <f>SUM(B61:B65)</f>
        <v>43434</v>
      </c>
      <c r="C66" s="191">
        <f>C17/$K$17</f>
        <v>0.50012144672363479</v>
      </c>
      <c r="D66" s="191">
        <f t="shared" ref="D66:K66" si="38">D17/$K$17</f>
        <v>7.715341164413668E-2</v>
      </c>
      <c r="E66" s="191">
        <f t="shared" si="38"/>
        <v>6.1290208905972178E-2</v>
      </c>
      <c r="F66" s="191">
        <f t="shared" si="38"/>
        <v>5.6878382235971421E-2</v>
      </c>
      <c r="G66" s="191">
        <f t="shared" si="38"/>
        <v>0.10975566615164037</v>
      </c>
      <c r="H66" s="191">
        <f t="shared" si="38"/>
        <v>5.440694293367903E-2</v>
      </c>
      <c r="I66" s="191">
        <f t="shared" si="38"/>
        <v>8.4937264884754879E-2</v>
      </c>
      <c r="J66" s="191">
        <f t="shared" si="38"/>
        <v>5.5456676520210822E-2</v>
      </c>
      <c r="K66" s="191">
        <f t="shared" si="38"/>
        <v>1</v>
      </c>
    </row>
    <row r="67" spans="1:11" x14ac:dyDescent="0.2">
      <c r="A67" s="182"/>
      <c r="B67" s="182"/>
      <c r="C67" s="191"/>
      <c r="D67" s="191"/>
      <c r="E67" s="191"/>
      <c r="F67" s="191"/>
      <c r="G67" s="191"/>
      <c r="H67" s="191"/>
      <c r="I67" s="191"/>
      <c r="J67" s="191"/>
      <c r="K67" s="191"/>
    </row>
    <row r="68" spans="1:11" x14ac:dyDescent="0.2">
      <c r="A68" s="182"/>
      <c r="B68" s="33"/>
      <c r="C68" s="191"/>
      <c r="D68" s="191"/>
      <c r="E68" s="191"/>
      <c r="F68" s="191"/>
      <c r="G68" s="191"/>
      <c r="H68" s="191"/>
      <c r="I68" s="191"/>
      <c r="J68" s="191"/>
      <c r="K68" s="191"/>
    </row>
    <row r="69" spans="1:11" x14ac:dyDescent="0.2">
      <c r="A69" s="182" t="s">
        <v>86</v>
      </c>
      <c r="B69" s="182">
        <f>B19</f>
        <v>12099</v>
      </c>
      <c r="C69" s="191">
        <f>C19/$K$19</f>
        <v>0.55156519590042041</v>
      </c>
      <c r="D69" s="191">
        <f t="shared" ref="D69:K69" si="39">D19/$K$19</f>
        <v>6.2222137274614564E-2</v>
      </c>
      <c r="E69" s="191">
        <f t="shared" si="39"/>
        <v>4.9827338836482223E-2</v>
      </c>
      <c r="F69" s="191">
        <f t="shared" si="39"/>
        <v>5.7942925365685134E-2</v>
      </c>
      <c r="G69" s="191">
        <f t="shared" si="39"/>
        <v>9.6998333752100305E-2</v>
      </c>
      <c r="H69" s="191">
        <f t="shared" si="39"/>
        <v>5.2899694328177441E-2</v>
      </c>
      <c r="I69" s="191">
        <f t="shared" si="39"/>
        <v>6.7892050870782761E-2</v>
      </c>
      <c r="J69" s="191">
        <f t="shared" si="39"/>
        <v>6.0652323671737181E-2</v>
      </c>
      <c r="K69" s="191">
        <f t="shared" si="39"/>
        <v>1</v>
      </c>
    </row>
    <row r="70" spans="1:11" x14ac:dyDescent="0.2">
      <c r="A70" s="182" t="s">
        <v>87</v>
      </c>
      <c r="B70" s="183">
        <f>B20</f>
        <v>6063</v>
      </c>
      <c r="C70" s="193">
        <f>C20/$K$20</f>
        <v>0.51919122089110803</v>
      </c>
      <c r="D70" s="193">
        <f t="shared" ref="D70:K70" si="40">D20/$K$20</f>
        <v>3.8786008600295456E-2</v>
      </c>
      <c r="E70" s="193">
        <f t="shared" si="40"/>
        <v>9.6467400835560504E-2</v>
      </c>
      <c r="F70" s="193">
        <f t="shared" si="40"/>
        <v>3.0029520608230588E-2</v>
      </c>
      <c r="G70" s="193">
        <f t="shared" si="40"/>
        <v>0.11298620317562309</v>
      </c>
      <c r="H70" s="193">
        <f t="shared" si="40"/>
        <v>7.1045023420987632E-2</v>
      </c>
      <c r="I70" s="193">
        <f t="shared" si="40"/>
        <v>8.5059353294892032E-2</v>
      </c>
      <c r="J70" s="193">
        <f t="shared" si="40"/>
        <v>4.6435269173302839E-2</v>
      </c>
      <c r="K70" s="193">
        <f t="shared" si="40"/>
        <v>1</v>
      </c>
    </row>
    <row r="71" spans="1:11" x14ac:dyDescent="0.2">
      <c r="A71" s="182" t="s">
        <v>221</v>
      </c>
      <c r="B71" s="182">
        <f>SUM(B69:B70)</f>
        <v>18162</v>
      </c>
      <c r="C71" s="191">
        <f>C21/$K$21</f>
        <v>0.53770296292320607</v>
      </c>
      <c r="D71" s="191">
        <f t="shared" ref="D71:K71" si="41">D21/$K$21</f>
        <v>5.2187006411817095E-2</v>
      </c>
      <c r="E71" s="191">
        <f t="shared" si="41"/>
        <v>6.9798176687471084E-2</v>
      </c>
      <c r="F71" s="191">
        <f t="shared" si="41"/>
        <v>4.5990666805412146E-2</v>
      </c>
      <c r="G71" s="191">
        <f t="shared" si="41"/>
        <v>0.10384418974273484</v>
      </c>
      <c r="H71" s="191">
        <f t="shared" si="41"/>
        <v>6.0669354348623056E-2</v>
      </c>
      <c r="I71" s="191">
        <f t="shared" si="41"/>
        <v>7.524292902908257E-2</v>
      </c>
      <c r="J71" s="191">
        <f t="shared" si="41"/>
        <v>5.4564714051653154E-2</v>
      </c>
      <c r="K71" s="191">
        <f t="shared" si="41"/>
        <v>1</v>
      </c>
    </row>
    <row r="72" spans="1:11" x14ac:dyDescent="0.2">
      <c r="A72" s="182"/>
      <c r="B72" s="182"/>
      <c r="C72" s="191"/>
      <c r="D72" s="191"/>
      <c r="E72" s="191"/>
      <c r="F72" s="191"/>
      <c r="G72" s="191"/>
      <c r="H72" s="191"/>
      <c r="I72" s="191"/>
      <c r="J72" s="191"/>
      <c r="K72" s="191"/>
    </row>
    <row r="73" spans="1:11" ht="13.5" thickBot="1" x14ac:dyDescent="0.25">
      <c r="A73" s="182" t="s">
        <v>222</v>
      </c>
      <c r="B73" s="192">
        <f>B58+B66+B71</f>
        <v>149463</v>
      </c>
      <c r="C73" s="195">
        <f>C23/$K$23</f>
        <v>0.54952214893445317</v>
      </c>
      <c r="D73" s="195">
        <f t="shared" ref="D73:K73" si="42">D23/$K$23</f>
        <v>8.1159633043690518E-2</v>
      </c>
      <c r="E73" s="195">
        <f t="shared" si="42"/>
        <v>5.5765771475089494E-2</v>
      </c>
      <c r="F73" s="195">
        <f t="shared" si="42"/>
        <v>5.2606817060170778E-2</v>
      </c>
      <c r="G73" s="195">
        <f t="shared" si="42"/>
        <v>9.9368088349323286E-2</v>
      </c>
      <c r="H73" s="195">
        <f t="shared" si="42"/>
        <v>5.0191907859094109E-2</v>
      </c>
      <c r="I73" s="195">
        <f t="shared" si="42"/>
        <v>6.2128329475309503E-2</v>
      </c>
      <c r="J73" s="195">
        <f t="shared" si="42"/>
        <v>4.9257303802869294E-2</v>
      </c>
      <c r="K73" s="195">
        <f t="shared" si="42"/>
        <v>1</v>
      </c>
    </row>
    <row r="74" spans="1:11" ht="13.5" thickTop="1" x14ac:dyDescent="0.2">
      <c r="A74" s="33"/>
      <c r="B74" s="33"/>
      <c r="C74" s="33"/>
      <c r="D74" s="33"/>
      <c r="E74" s="33"/>
      <c r="F74" s="33"/>
      <c r="G74" s="33"/>
      <c r="H74" s="33"/>
      <c r="I74" s="33"/>
      <c r="J74" s="33"/>
      <c r="K74" s="33"/>
    </row>
    <row r="75" spans="1:11" x14ac:dyDescent="0.2">
      <c r="A75" s="33"/>
      <c r="B75" s="182"/>
      <c r="C75" s="182"/>
      <c r="D75" s="182"/>
      <c r="E75" s="182"/>
      <c r="F75" s="182"/>
      <c r="G75" s="182"/>
      <c r="H75" s="182"/>
      <c r="I75" s="182"/>
      <c r="J75" s="182"/>
      <c r="K75" s="182"/>
    </row>
    <row r="76" spans="1:11" x14ac:dyDescent="0.2">
      <c r="A76" s="33"/>
      <c r="B76" s="182"/>
      <c r="C76" s="182"/>
      <c r="D76" s="182"/>
      <c r="E76" s="182"/>
      <c r="F76" s="182"/>
      <c r="G76" s="182"/>
      <c r="H76" s="182"/>
      <c r="I76" s="182"/>
      <c r="J76" s="182"/>
      <c r="K76" s="182"/>
    </row>
    <row r="77" spans="1:11" x14ac:dyDescent="0.2">
      <c r="A77" s="33"/>
      <c r="B77" s="182"/>
      <c r="C77" s="182"/>
      <c r="D77" s="182"/>
      <c r="E77" s="182"/>
      <c r="F77" s="182"/>
      <c r="G77" s="182"/>
      <c r="H77" s="182"/>
      <c r="I77" s="182"/>
      <c r="J77" s="182"/>
      <c r="K77" s="182"/>
    </row>
    <row r="78" spans="1:11" x14ac:dyDescent="0.2">
      <c r="A78" s="33"/>
      <c r="B78" s="182"/>
      <c r="C78" s="182"/>
      <c r="D78" s="182"/>
      <c r="E78" s="182"/>
      <c r="F78" s="182"/>
      <c r="G78" s="182"/>
      <c r="H78" s="182"/>
      <c r="I78" s="182"/>
      <c r="J78" s="182"/>
      <c r="K78" s="182"/>
    </row>
    <row r="79" spans="1:11" x14ac:dyDescent="0.2">
      <c r="A79" s="33"/>
      <c r="B79" s="182"/>
      <c r="C79" s="182"/>
      <c r="D79" s="182"/>
      <c r="E79" s="182"/>
      <c r="F79" s="182"/>
      <c r="G79" s="182"/>
      <c r="H79" s="182"/>
      <c r="I79" s="182"/>
      <c r="J79" s="182"/>
      <c r="K79" s="182"/>
    </row>
    <row r="80" spans="1:11" x14ac:dyDescent="0.2">
      <c r="A80" s="33"/>
      <c r="B80" s="182"/>
      <c r="C80" s="182"/>
      <c r="D80" s="182"/>
      <c r="E80" s="182"/>
      <c r="F80" s="182"/>
      <c r="G80" s="182"/>
      <c r="H80" s="182"/>
      <c r="I80" s="182"/>
      <c r="J80" s="182"/>
      <c r="K80" s="182"/>
    </row>
    <row r="81" spans="1:11" x14ac:dyDescent="0.2">
      <c r="A81" s="33"/>
      <c r="B81" s="182"/>
      <c r="C81" s="182"/>
      <c r="D81" s="182"/>
      <c r="E81" s="182"/>
      <c r="F81" s="182"/>
      <c r="G81" s="182"/>
      <c r="H81" s="182"/>
      <c r="I81" s="182"/>
      <c r="J81" s="182"/>
      <c r="K81" s="182"/>
    </row>
    <row r="82" spans="1:11" x14ac:dyDescent="0.2">
      <c r="A82" s="33"/>
      <c r="B82" s="182"/>
      <c r="C82" s="182"/>
      <c r="D82" s="182"/>
      <c r="E82" s="182"/>
      <c r="F82" s="182"/>
      <c r="G82" s="182"/>
      <c r="H82" s="182"/>
      <c r="I82" s="182"/>
      <c r="J82" s="182"/>
      <c r="K82" s="182"/>
    </row>
    <row r="83" spans="1:11" x14ac:dyDescent="0.2">
      <c r="B83" s="122"/>
      <c r="C83" s="122"/>
      <c r="D83" s="122"/>
      <c r="E83" s="122"/>
      <c r="F83" s="122"/>
      <c r="G83" s="122"/>
      <c r="H83" s="122"/>
      <c r="I83" s="122"/>
      <c r="J83" s="122"/>
      <c r="K83" s="122"/>
    </row>
    <row r="84" spans="1:11" x14ac:dyDescent="0.2">
      <c r="B84" s="122"/>
      <c r="C84" s="122"/>
      <c r="D84" s="122"/>
      <c r="E84" s="122"/>
      <c r="F84" s="122"/>
      <c r="G84" s="122"/>
      <c r="H84" s="122"/>
      <c r="I84" s="122"/>
      <c r="J84" s="122"/>
      <c r="K84" s="122"/>
    </row>
  </sheetData>
  <phoneticPr fontId="7" type="noConversion"/>
  <pageMargins left="0.25" right="0.25" top="1" bottom="1" header="0.5" footer="0.5"/>
  <pageSetup orientation="landscape" horizontalDpi="4294967293" r:id="rId1"/>
  <headerFooter alignWithMargins="0"/>
  <rowBreaks count="2" manualBreakCount="2">
    <brk id="23" max="10" man="1"/>
    <brk id="47" max="10"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47"/>
  <dimension ref="A1:AC194"/>
  <sheetViews>
    <sheetView workbookViewId="0">
      <selection activeCell="B4" sqref="B4"/>
    </sheetView>
  </sheetViews>
  <sheetFormatPr defaultRowHeight="12.75" x14ac:dyDescent="0.2"/>
  <cols>
    <col min="1" max="1" width="16.7109375" customWidth="1"/>
    <col min="3" max="3" width="9.5703125" bestFit="1" customWidth="1"/>
    <col min="7" max="7" width="9.5703125" bestFit="1" customWidth="1"/>
    <col min="11" max="11" width="10.85546875" bestFit="1" customWidth="1"/>
  </cols>
  <sheetData>
    <row r="1" spans="1:29" x14ac:dyDescent="0.2">
      <c r="A1" s="36"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2" t="s">
        <v>464</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55" t="s">
        <v>245</v>
      </c>
      <c r="B3" s="141" t="s">
        <v>465</v>
      </c>
      <c r="C3" s="141" t="s">
        <v>94</v>
      </c>
      <c r="D3" s="141" t="s">
        <v>95</v>
      </c>
      <c r="E3" s="141" t="s">
        <v>96</v>
      </c>
      <c r="F3" s="141" t="s">
        <v>97</v>
      </c>
      <c r="G3" s="141" t="s">
        <v>98</v>
      </c>
      <c r="H3" s="141" t="s">
        <v>99</v>
      </c>
      <c r="I3" s="141" t="s">
        <v>93</v>
      </c>
      <c r="J3" s="141" t="s">
        <v>115</v>
      </c>
      <c r="K3" s="141" t="s">
        <v>113</v>
      </c>
      <c r="L3" s="141" t="s">
        <v>451</v>
      </c>
      <c r="M3" s="6"/>
      <c r="N3" s="6"/>
      <c r="O3" s="6"/>
      <c r="P3" s="1"/>
      <c r="Q3" s="1"/>
      <c r="R3" s="1"/>
      <c r="S3" s="1"/>
      <c r="T3" s="1"/>
      <c r="U3" s="1"/>
      <c r="V3" s="1"/>
      <c r="W3" s="1"/>
      <c r="X3" s="1"/>
      <c r="Y3" s="1"/>
      <c r="Z3" s="1"/>
      <c r="AA3" s="1"/>
      <c r="AB3" s="1"/>
      <c r="AC3" s="1"/>
    </row>
    <row r="4" spans="1:29" x14ac:dyDescent="0.2">
      <c r="A4" s="1" t="s">
        <v>102</v>
      </c>
      <c r="B4" s="182">
        <v>34236</v>
      </c>
      <c r="C4" s="182">
        <v>134140767.43000001</v>
      </c>
      <c r="D4" s="182">
        <v>23807371.699999999</v>
      </c>
      <c r="E4" s="182">
        <v>8167875.9400000004</v>
      </c>
      <c r="F4" s="182">
        <v>13021977.720000001</v>
      </c>
      <c r="G4" s="182">
        <v>22056519.41</v>
      </c>
      <c r="H4" s="182">
        <v>8897672.6199999992</v>
      </c>
      <c r="I4" s="182">
        <v>7987535.1799999997</v>
      </c>
      <c r="J4" s="182">
        <v>7335387.4299999997</v>
      </c>
      <c r="K4" s="6">
        <f t="shared" ref="K4:K9" si="0">SUM(C4:J4)</f>
        <v>225415107.43000001</v>
      </c>
      <c r="L4" s="6">
        <f>K4/B4</f>
        <v>6584.1543238111935</v>
      </c>
      <c r="M4" s="6"/>
      <c r="N4" s="6"/>
      <c r="O4" s="6"/>
      <c r="P4" s="1"/>
      <c r="Q4" s="1"/>
      <c r="R4" s="1"/>
      <c r="S4" s="1"/>
      <c r="T4" s="1"/>
      <c r="U4" s="1"/>
      <c r="V4" s="1"/>
      <c r="W4" s="1"/>
      <c r="X4" s="1"/>
      <c r="Y4" s="1"/>
      <c r="Z4" s="1"/>
      <c r="AA4" s="1"/>
      <c r="AB4" s="1"/>
      <c r="AC4" s="1"/>
    </row>
    <row r="5" spans="1:29" x14ac:dyDescent="0.2">
      <c r="A5" s="1" t="s">
        <v>76</v>
      </c>
      <c r="B5" s="182">
        <v>21444</v>
      </c>
      <c r="C5" s="182">
        <v>86105724.959999993</v>
      </c>
      <c r="D5" s="182">
        <v>15631896.4</v>
      </c>
      <c r="E5" s="182">
        <v>6503919.8600000003</v>
      </c>
      <c r="F5" s="182">
        <v>9080671.3300000001</v>
      </c>
      <c r="G5" s="182">
        <v>14422528.890000001</v>
      </c>
      <c r="H5" s="182">
        <v>6382772.5599999996</v>
      </c>
      <c r="I5" s="182">
        <v>7540203.3399999999</v>
      </c>
      <c r="J5" s="182">
        <v>10060542.65</v>
      </c>
      <c r="K5" s="6">
        <f t="shared" si="0"/>
        <v>155728259.99000001</v>
      </c>
      <c r="L5" s="6">
        <f t="shared" ref="L5:L23" si="1">K5/B5</f>
        <v>7262.0900946651745</v>
      </c>
      <c r="M5" s="6"/>
      <c r="N5" s="6"/>
      <c r="O5" s="6"/>
      <c r="P5" s="1"/>
      <c r="Q5" s="1"/>
      <c r="R5" s="1"/>
      <c r="S5" s="1"/>
      <c r="T5" s="1"/>
      <c r="U5" s="1"/>
      <c r="V5" s="1"/>
      <c r="W5" s="1"/>
      <c r="X5" s="1"/>
      <c r="Y5" s="1"/>
      <c r="Z5" s="1"/>
      <c r="AA5" s="1"/>
      <c r="AB5" s="1"/>
      <c r="AC5" s="1"/>
    </row>
    <row r="6" spans="1:29" x14ac:dyDescent="0.2">
      <c r="A6" s="1" t="s">
        <v>77</v>
      </c>
      <c r="B6" s="182">
        <v>12158</v>
      </c>
      <c r="C6" s="182">
        <v>55623505.399999999</v>
      </c>
      <c r="D6" s="182">
        <v>7962340.0700000003</v>
      </c>
      <c r="E6" s="182">
        <v>4745137.24</v>
      </c>
      <c r="F6" s="182">
        <v>5230025.12</v>
      </c>
      <c r="G6" s="182">
        <v>8872927.7899999991</v>
      </c>
      <c r="H6" s="182">
        <v>3829927.16</v>
      </c>
      <c r="I6" s="182">
        <v>4733545.8499999996</v>
      </c>
      <c r="J6" s="182">
        <v>5177241.6399999997</v>
      </c>
      <c r="K6" s="6">
        <f t="shared" si="0"/>
        <v>96174650.269999996</v>
      </c>
      <c r="L6" s="6">
        <f t="shared" si="1"/>
        <v>7910.4005815101164</v>
      </c>
      <c r="M6" s="6"/>
      <c r="N6" s="6"/>
      <c r="O6" s="6"/>
      <c r="P6" s="1"/>
      <c r="Q6" s="1"/>
      <c r="R6" s="1"/>
      <c r="S6" s="1"/>
      <c r="T6" s="1"/>
      <c r="U6" s="1"/>
      <c r="V6" s="1"/>
      <c r="W6" s="1"/>
      <c r="X6" s="1"/>
      <c r="Y6" s="1"/>
      <c r="Z6" s="1"/>
      <c r="AA6" s="1"/>
      <c r="AB6" s="1"/>
      <c r="AC6" s="1"/>
    </row>
    <row r="7" spans="1:29" x14ac:dyDescent="0.2">
      <c r="A7" s="1" t="s">
        <v>78</v>
      </c>
      <c r="B7" s="182">
        <v>13223</v>
      </c>
      <c r="C7" s="182">
        <v>54815324.18</v>
      </c>
      <c r="D7" s="182">
        <v>4370259.95</v>
      </c>
      <c r="E7" s="182">
        <v>7735117.96</v>
      </c>
      <c r="F7" s="182">
        <v>4019819.94</v>
      </c>
      <c r="G7" s="182">
        <v>8677367.0800000001</v>
      </c>
      <c r="H7" s="182">
        <v>4572971.1500000004</v>
      </c>
      <c r="I7" s="182">
        <v>6157785</v>
      </c>
      <c r="J7" s="182">
        <v>6185457.2999999998</v>
      </c>
      <c r="K7" s="6">
        <f t="shared" si="0"/>
        <v>96534102.560000002</v>
      </c>
      <c r="L7" s="6">
        <f t="shared" si="1"/>
        <v>7300.4690735839067</v>
      </c>
      <c r="M7" s="6"/>
      <c r="N7" s="6"/>
      <c r="O7" s="6"/>
      <c r="P7" s="1"/>
      <c r="Q7" s="1"/>
      <c r="R7" s="1"/>
      <c r="S7" s="1"/>
      <c r="T7" s="1"/>
      <c r="U7" s="1"/>
      <c r="V7" s="1"/>
      <c r="W7" s="1"/>
      <c r="X7" s="1"/>
      <c r="Y7" s="1"/>
      <c r="Z7" s="1"/>
      <c r="AA7" s="1"/>
      <c r="AB7" s="1"/>
      <c r="AC7" s="1"/>
    </row>
    <row r="8" spans="1:29" x14ac:dyDescent="0.2">
      <c r="A8" s="1" t="s">
        <v>79</v>
      </c>
      <c r="B8" s="182">
        <v>6800</v>
      </c>
      <c r="C8" s="182">
        <v>33883189.130000003</v>
      </c>
      <c r="D8" s="182">
        <v>2146587.5</v>
      </c>
      <c r="E8" s="182">
        <v>5361153.25</v>
      </c>
      <c r="F8" s="182">
        <v>2093288.36</v>
      </c>
      <c r="G8" s="182">
        <v>5783127.1900000004</v>
      </c>
      <c r="H8" s="182">
        <v>3632664.86</v>
      </c>
      <c r="I8" s="182">
        <v>3887829.04</v>
      </c>
      <c r="J8" s="182">
        <v>2768569.75</v>
      </c>
      <c r="K8" s="6">
        <f t="shared" si="0"/>
        <v>59556409.079999998</v>
      </c>
      <c r="L8" s="6">
        <f t="shared" si="1"/>
        <v>8758.2954529411763</v>
      </c>
      <c r="M8" s="6"/>
      <c r="N8" s="6"/>
      <c r="O8" s="6"/>
      <c r="P8" s="1"/>
      <c r="Q8" s="1"/>
      <c r="R8" s="1"/>
      <c r="S8" s="1"/>
      <c r="T8" s="1"/>
      <c r="U8" s="1"/>
      <c r="V8" s="1"/>
      <c r="W8" s="1"/>
      <c r="X8" s="1"/>
      <c r="Y8" s="1"/>
      <c r="Z8" s="1"/>
      <c r="AA8" s="1"/>
      <c r="AB8" s="1"/>
      <c r="AC8" s="1"/>
    </row>
    <row r="9" spans="1:29" x14ac:dyDescent="0.2">
      <c r="A9" s="1" t="s">
        <v>80</v>
      </c>
      <c r="B9" s="182">
        <v>1427</v>
      </c>
      <c r="C9" s="182">
        <v>7126389.5800000001</v>
      </c>
      <c r="D9" s="182">
        <v>504388.77</v>
      </c>
      <c r="E9" s="182">
        <v>1066651.95</v>
      </c>
      <c r="F9" s="182">
        <v>83010.66</v>
      </c>
      <c r="G9" s="182">
        <v>1465046.55</v>
      </c>
      <c r="H9" s="182">
        <v>947847.51</v>
      </c>
      <c r="I9" s="182">
        <v>256713.71</v>
      </c>
      <c r="J9" s="182">
        <v>521297.2</v>
      </c>
      <c r="K9" s="6">
        <f t="shared" si="0"/>
        <v>11971345.93</v>
      </c>
      <c r="L9" s="6">
        <f t="shared" si="1"/>
        <v>8389.1702382620879</v>
      </c>
      <c r="M9" s="6"/>
      <c r="N9" s="6"/>
      <c r="O9" s="6"/>
      <c r="P9" s="1"/>
      <c r="Q9" s="1"/>
      <c r="R9" s="1"/>
      <c r="S9" s="1"/>
      <c r="T9" s="1"/>
      <c r="U9" s="1"/>
      <c r="V9" s="1"/>
      <c r="W9" s="1"/>
      <c r="X9" s="1"/>
      <c r="Y9" s="1"/>
      <c r="Z9" s="1"/>
      <c r="AA9" s="1"/>
      <c r="AB9" s="1"/>
      <c r="AC9" s="1"/>
    </row>
    <row r="10" spans="1:29" ht="13.5" thickBot="1" x14ac:dyDescent="0.25">
      <c r="A10" s="8" t="s">
        <v>103</v>
      </c>
      <c r="B10" s="8">
        <f>SUM(B4:B9)</f>
        <v>89288</v>
      </c>
      <c r="C10" s="8">
        <f t="shared" ref="C10:K10" si="2">SUM(C4:C9)</f>
        <v>371694900.67999995</v>
      </c>
      <c r="D10" s="8">
        <f t="shared" si="2"/>
        <v>54422844.390000008</v>
      </c>
      <c r="E10" s="8">
        <f t="shared" si="2"/>
        <v>33579856.200000003</v>
      </c>
      <c r="F10" s="8">
        <f t="shared" si="2"/>
        <v>33528793.130000003</v>
      </c>
      <c r="G10" s="8">
        <f t="shared" si="2"/>
        <v>61277516.909999989</v>
      </c>
      <c r="H10" s="8">
        <f t="shared" si="2"/>
        <v>28263855.860000003</v>
      </c>
      <c r="I10" s="8">
        <f t="shared" si="2"/>
        <v>30563612.119999997</v>
      </c>
      <c r="J10" s="8">
        <f t="shared" si="2"/>
        <v>32048495.969999999</v>
      </c>
      <c r="K10" s="8">
        <f t="shared" si="2"/>
        <v>645379875.25999999</v>
      </c>
      <c r="L10" s="8">
        <f t="shared" si="1"/>
        <v>7228.0695643311528</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182">
        <v>23004</v>
      </c>
      <c r="C12" s="182">
        <v>87547137.670000002</v>
      </c>
      <c r="D12" s="182">
        <v>14103813.189999999</v>
      </c>
      <c r="E12" s="182">
        <v>7733399.7699999996</v>
      </c>
      <c r="F12" s="182">
        <v>9204667.5800000001</v>
      </c>
      <c r="G12" s="182">
        <v>16118641.65</v>
      </c>
      <c r="H12" s="182">
        <v>5878064.5499999998</v>
      </c>
      <c r="I12" s="182">
        <v>12333937.65</v>
      </c>
      <c r="J12" s="182">
        <v>9971730.0700000003</v>
      </c>
      <c r="K12" s="6">
        <f>SUM(C12:J12)</f>
        <v>162891392.13</v>
      </c>
      <c r="L12" s="6">
        <f>K12/B12</f>
        <v>7081.0029616588417</v>
      </c>
      <c r="M12" s="6"/>
      <c r="N12" s="6"/>
      <c r="O12" s="6"/>
      <c r="P12" s="1"/>
      <c r="Q12" s="1"/>
      <c r="R12" s="1"/>
      <c r="S12" s="1"/>
      <c r="T12" s="1"/>
      <c r="U12" s="1"/>
      <c r="V12" s="1"/>
      <c r="W12" s="1"/>
      <c r="X12" s="1"/>
      <c r="Y12" s="1"/>
      <c r="Z12" s="1"/>
      <c r="AA12" s="1"/>
      <c r="AB12" s="1"/>
      <c r="AC12" s="1"/>
    </row>
    <row r="13" spans="1:29" x14ac:dyDescent="0.2">
      <c r="A13" s="1" t="s">
        <v>82</v>
      </c>
      <c r="B13" s="182">
        <v>9223</v>
      </c>
      <c r="C13" s="182">
        <v>33643071.710000001</v>
      </c>
      <c r="D13" s="182">
        <v>5648876.46</v>
      </c>
      <c r="E13" s="182">
        <v>3751142.68</v>
      </c>
      <c r="F13" s="182">
        <v>4384945.55</v>
      </c>
      <c r="G13" s="182">
        <v>8214216.79</v>
      </c>
      <c r="H13" s="182">
        <v>4622681.72</v>
      </c>
      <c r="I13" s="182">
        <v>5893850.4800000004</v>
      </c>
      <c r="J13" s="182">
        <v>2504636.4</v>
      </c>
      <c r="K13" s="6">
        <f>SUM(C13:J13)</f>
        <v>68663421.790000007</v>
      </c>
      <c r="L13" s="6">
        <f>K13/B13</f>
        <v>7444.8034034479024</v>
      </c>
      <c r="M13" s="6"/>
      <c r="N13" s="6"/>
      <c r="O13" s="6"/>
      <c r="P13" s="1"/>
      <c r="Q13" s="1"/>
      <c r="R13" s="1"/>
      <c r="S13" s="1"/>
      <c r="T13" s="1"/>
      <c r="U13" s="1"/>
      <c r="V13" s="1"/>
      <c r="W13" s="1"/>
      <c r="X13" s="1"/>
      <c r="Y13" s="1"/>
      <c r="Z13" s="1"/>
      <c r="AA13" s="1"/>
      <c r="AB13" s="1"/>
      <c r="AC13" s="1"/>
    </row>
    <row r="14" spans="1:29" x14ac:dyDescent="0.2">
      <c r="A14" s="1" t="s">
        <v>83</v>
      </c>
      <c r="B14" s="182">
        <v>5092</v>
      </c>
      <c r="C14" s="182">
        <v>21962620.809999999</v>
      </c>
      <c r="D14" s="182">
        <v>2906161.76</v>
      </c>
      <c r="E14" s="182">
        <v>2731169.34</v>
      </c>
      <c r="F14" s="182">
        <v>3068589.33</v>
      </c>
      <c r="G14" s="182">
        <v>5208363.09</v>
      </c>
      <c r="H14" s="182">
        <v>2881486.65</v>
      </c>
      <c r="I14" s="182">
        <v>4563467.62</v>
      </c>
      <c r="J14" s="182">
        <v>2287274.4500000002</v>
      </c>
      <c r="K14" s="6">
        <f>SUM(C14:J14)</f>
        <v>45609133.049999997</v>
      </c>
      <c r="L14" s="6">
        <f>K14/B14</f>
        <v>8957.0174882168103</v>
      </c>
      <c r="M14" s="6"/>
      <c r="N14" s="6"/>
      <c r="O14" s="6"/>
      <c r="P14" s="1"/>
      <c r="Q14" s="1"/>
      <c r="R14" s="1"/>
      <c r="S14" s="1"/>
      <c r="T14" s="1"/>
      <c r="U14" s="1"/>
      <c r="V14" s="1"/>
      <c r="W14" s="1"/>
      <c r="X14" s="1"/>
      <c r="Y14" s="1"/>
      <c r="Z14" s="1"/>
      <c r="AA14" s="1"/>
      <c r="AB14" s="1"/>
      <c r="AC14" s="1"/>
    </row>
    <row r="15" spans="1:29" x14ac:dyDescent="0.2">
      <c r="A15" s="1" t="s">
        <v>84</v>
      </c>
      <c r="B15" s="182">
        <v>4900</v>
      </c>
      <c r="C15" s="182">
        <v>25602681.120000001</v>
      </c>
      <c r="D15" s="182">
        <v>3058021.09</v>
      </c>
      <c r="E15" s="182">
        <v>4688317.63</v>
      </c>
      <c r="F15" s="182">
        <v>2606178.04</v>
      </c>
      <c r="G15" s="182">
        <v>6060892.8700000001</v>
      </c>
      <c r="H15" s="182">
        <v>4239033.54</v>
      </c>
      <c r="I15" s="182">
        <v>4372843.3499999996</v>
      </c>
      <c r="J15" s="182">
        <v>3224624.62</v>
      </c>
      <c r="K15" s="6">
        <f>SUM(C15:J15)</f>
        <v>53852592.259999998</v>
      </c>
      <c r="L15" s="6">
        <f>K15/B15</f>
        <v>10990.324951020408</v>
      </c>
      <c r="M15" s="6"/>
      <c r="N15" s="6"/>
      <c r="O15" s="6"/>
      <c r="P15" s="1"/>
      <c r="Q15" s="1"/>
      <c r="R15" s="1"/>
      <c r="S15" s="1"/>
      <c r="T15" s="1"/>
      <c r="U15" s="1"/>
      <c r="V15" s="1"/>
      <c r="W15" s="1"/>
      <c r="X15" s="1"/>
      <c r="Y15" s="1"/>
      <c r="Z15" s="1"/>
      <c r="AA15" s="1"/>
      <c r="AB15" s="1"/>
      <c r="AC15" s="1"/>
    </row>
    <row r="16" spans="1:29" x14ac:dyDescent="0.2">
      <c r="A16" s="1" t="s">
        <v>85</v>
      </c>
      <c r="B16" s="182">
        <v>1532</v>
      </c>
      <c r="C16" s="182">
        <v>10338623.789999999</v>
      </c>
      <c r="D16" s="182">
        <v>757847.09</v>
      </c>
      <c r="E16" s="182">
        <v>2483455.54</v>
      </c>
      <c r="F16" s="182">
        <v>683511.54</v>
      </c>
      <c r="G16" s="182">
        <v>2821808.5</v>
      </c>
      <c r="H16" s="182">
        <v>1668083.31</v>
      </c>
      <c r="I16" s="182">
        <v>2090423.05</v>
      </c>
      <c r="J16" s="182">
        <v>598990.98</v>
      </c>
      <c r="K16" s="6">
        <f>SUM(C16:J16)</f>
        <v>21442743.799999997</v>
      </c>
      <c r="L16" s="6">
        <f>K16/B16</f>
        <v>13996.569060052218</v>
      </c>
      <c r="M16" s="6"/>
      <c r="N16" s="6"/>
      <c r="O16" s="6"/>
      <c r="P16" s="1"/>
      <c r="Q16" s="1"/>
      <c r="R16" s="1"/>
      <c r="S16" s="1"/>
      <c r="T16" s="1"/>
      <c r="U16" s="1"/>
      <c r="V16" s="1"/>
      <c r="W16" s="1"/>
      <c r="X16" s="1"/>
      <c r="Y16" s="1"/>
      <c r="Z16" s="1"/>
      <c r="AA16" s="1"/>
      <c r="AB16" s="1"/>
      <c r="AC16" s="1"/>
    </row>
    <row r="17" spans="1:29" ht="13.5" thickBot="1" x14ac:dyDescent="0.25">
      <c r="A17" s="8" t="s">
        <v>104</v>
      </c>
      <c r="B17" s="8">
        <f t="shared" ref="B17:K17" si="3">SUM(B12:B16)</f>
        <v>43751</v>
      </c>
      <c r="C17" s="8">
        <f t="shared" si="3"/>
        <v>179094135.09999999</v>
      </c>
      <c r="D17" s="8">
        <f t="shared" si="3"/>
        <v>26474719.589999996</v>
      </c>
      <c r="E17" s="8">
        <f t="shared" si="3"/>
        <v>21387484.959999997</v>
      </c>
      <c r="F17" s="8">
        <f t="shared" si="3"/>
        <v>19947892.039999999</v>
      </c>
      <c r="G17" s="8">
        <f t="shared" si="3"/>
        <v>38423922.899999999</v>
      </c>
      <c r="H17" s="8">
        <f t="shared" si="3"/>
        <v>19289349.77</v>
      </c>
      <c r="I17" s="8">
        <f t="shared" si="3"/>
        <v>29254522.150000002</v>
      </c>
      <c r="J17" s="8">
        <f t="shared" si="3"/>
        <v>18587256.520000003</v>
      </c>
      <c r="K17" s="8">
        <f t="shared" si="3"/>
        <v>352459283.03000003</v>
      </c>
      <c r="L17" s="8">
        <f t="shared" si="1"/>
        <v>8056.0280457589552</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182">
        <v>12215</v>
      </c>
      <c r="C19" s="182">
        <v>47374337.359999999</v>
      </c>
      <c r="D19" s="182">
        <v>5243717.4800000004</v>
      </c>
      <c r="E19" s="182">
        <v>3924030.74</v>
      </c>
      <c r="F19" s="182">
        <v>5212526.46</v>
      </c>
      <c r="G19" s="182">
        <v>7736036.6600000001</v>
      </c>
      <c r="H19" s="182">
        <v>4364475.7699999996</v>
      </c>
      <c r="I19" s="182">
        <v>5509335.5599999996</v>
      </c>
      <c r="J19" s="182">
        <v>5719820.9199999999</v>
      </c>
      <c r="K19" s="6">
        <f>SUM(C19:J19)</f>
        <v>85084280.950000003</v>
      </c>
      <c r="L19" s="6">
        <f t="shared" si="1"/>
        <v>6965.5571796970944</v>
      </c>
      <c r="M19" s="6"/>
      <c r="N19" s="6"/>
      <c r="O19" s="6"/>
      <c r="P19" s="1"/>
      <c r="Q19" s="1"/>
      <c r="R19" s="1"/>
      <c r="S19" s="1"/>
      <c r="T19" s="1"/>
      <c r="U19" s="1"/>
      <c r="V19" s="1"/>
      <c r="W19" s="1"/>
      <c r="X19" s="1"/>
      <c r="Y19" s="1"/>
      <c r="Z19" s="1"/>
      <c r="AA19" s="1"/>
      <c r="AB19" s="1"/>
      <c r="AC19" s="1"/>
    </row>
    <row r="20" spans="1:29" x14ac:dyDescent="0.2">
      <c r="A20" s="1" t="s">
        <v>87</v>
      </c>
      <c r="B20" s="182">
        <v>6257</v>
      </c>
      <c r="C20" s="182">
        <v>33581079.43</v>
      </c>
      <c r="D20" s="182">
        <v>2398303.62</v>
      </c>
      <c r="E20" s="182">
        <v>6295256.9500000002</v>
      </c>
      <c r="F20" s="182">
        <v>1896690.98</v>
      </c>
      <c r="G20" s="182">
        <v>7274738.5599999996</v>
      </c>
      <c r="H20" s="182">
        <v>4425146.55</v>
      </c>
      <c r="I20" s="182">
        <v>5452118.4299999997</v>
      </c>
      <c r="J20" s="182">
        <v>2616349.92</v>
      </c>
      <c r="K20" s="6">
        <f>SUM(C20:J20)</f>
        <v>63939684.439999998</v>
      </c>
      <c r="L20" s="6">
        <f t="shared" si="1"/>
        <v>10218.904337541953</v>
      </c>
      <c r="M20" s="6"/>
      <c r="N20" s="6"/>
      <c r="O20" s="6"/>
      <c r="P20" s="1"/>
      <c r="Q20" s="1"/>
      <c r="R20" s="1"/>
      <c r="S20" s="1"/>
      <c r="T20" s="1"/>
      <c r="U20" s="1"/>
      <c r="V20" s="1"/>
      <c r="W20" s="1"/>
      <c r="X20" s="1"/>
      <c r="Y20" s="1"/>
      <c r="Z20" s="1"/>
      <c r="AA20" s="1"/>
      <c r="AB20" s="1"/>
      <c r="AC20" s="1"/>
    </row>
    <row r="21" spans="1:29" ht="13.5" thickBot="1" x14ac:dyDescent="0.25">
      <c r="A21" s="8" t="s">
        <v>105</v>
      </c>
      <c r="B21" s="8">
        <f>SUM(B19:B20)</f>
        <v>18472</v>
      </c>
      <c r="C21" s="8">
        <f t="shared" ref="C21:K21" si="4">SUM(C19:C20)</f>
        <v>80955416.789999992</v>
      </c>
      <c r="D21" s="8">
        <f t="shared" si="4"/>
        <v>7642021.1000000006</v>
      </c>
      <c r="E21" s="8">
        <f t="shared" si="4"/>
        <v>10219287.690000001</v>
      </c>
      <c r="F21" s="8">
        <f t="shared" si="4"/>
        <v>7109217.4399999995</v>
      </c>
      <c r="G21" s="8">
        <f t="shared" si="4"/>
        <v>15010775.219999999</v>
      </c>
      <c r="H21" s="8">
        <f t="shared" si="4"/>
        <v>8789622.3200000003</v>
      </c>
      <c r="I21" s="8">
        <f t="shared" si="4"/>
        <v>10961453.989999998</v>
      </c>
      <c r="J21" s="8">
        <f t="shared" si="4"/>
        <v>8336170.8399999999</v>
      </c>
      <c r="K21" s="8">
        <f t="shared" si="4"/>
        <v>149023965.38999999</v>
      </c>
      <c r="L21" s="8">
        <f t="shared" si="1"/>
        <v>8067.5598413815496</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26" t="s">
        <v>209</v>
      </c>
      <c r="B23" s="126">
        <f>B10+B17+B21</f>
        <v>151511</v>
      </c>
      <c r="C23" s="126">
        <f>(C10+C17+C21)</f>
        <v>631744452.56999993</v>
      </c>
      <c r="D23" s="126">
        <f t="shared" ref="D23:K23" si="5">(D10+D17+D21)</f>
        <v>88539585.079999998</v>
      </c>
      <c r="E23" s="126">
        <f t="shared" si="5"/>
        <v>65186628.849999994</v>
      </c>
      <c r="F23" s="126">
        <f t="shared" si="5"/>
        <v>60585902.609999999</v>
      </c>
      <c r="G23" s="126">
        <f t="shared" si="5"/>
        <v>114712215.02999999</v>
      </c>
      <c r="H23" s="126">
        <f t="shared" si="5"/>
        <v>56342827.950000003</v>
      </c>
      <c r="I23" s="126">
        <f t="shared" si="5"/>
        <v>70779588.25999999</v>
      </c>
      <c r="J23" s="126">
        <f t="shared" si="5"/>
        <v>58971923.329999998</v>
      </c>
      <c r="K23" s="126">
        <f t="shared" si="5"/>
        <v>1146863123.6799998</v>
      </c>
      <c r="L23" s="126">
        <f t="shared" si="1"/>
        <v>7569.5040206981657</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6" t="s">
        <v>247</v>
      </c>
      <c r="B25" s="6"/>
      <c r="C25" s="6"/>
      <c r="D25" s="6"/>
      <c r="E25" s="6"/>
      <c r="F25" s="6"/>
      <c r="G25" s="6"/>
      <c r="H25" s="6"/>
      <c r="I25" s="6"/>
      <c r="J25" s="6"/>
      <c r="K25" s="6"/>
      <c r="N25" s="6"/>
      <c r="O25" s="6"/>
      <c r="P25" s="1"/>
      <c r="Q25" s="1"/>
      <c r="R25" s="1"/>
      <c r="S25" s="1"/>
      <c r="T25" s="1"/>
      <c r="U25" s="1"/>
      <c r="V25" s="1"/>
      <c r="W25" s="1"/>
      <c r="X25" s="1"/>
      <c r="Y25" s="1"/>
      <c r="Z25" s="1"/>
      <c r="AA25" s="1"/>
      <c r="AB25" s="1"/>
      <c r="AC25" s="1"/>
    </row>
    <row r="26" spans="1:29" x14ac:dyDescent="0.2">
      <c r="A26" s="36" t="s">
        <v>466</v>
      </c>
      <c r="B26" s="6"/>
      <c r="C26" s="6"/>
      <c r="D26" s="6"/>
      <c r="E26" s="6"/>
      <c r="F26" s="6"/>
      <c r="G26" s="6"/>
      <c r="H26" s="6"/>
      <c r="I26" s="6"/>
      <c r="J26" s="6"/>
      <c r="K26" s="6"/>
      <c r="N26" s="6"/>
      <c r="O26" s="6"/>
      <c r="P26" s="1"/>
      <c r="Q26" s="1"/>
      <c r="R26" s="1"/>
      <c r="S26" s="1"/>
      <c r="T26" s="1"/>
      <c r="U26" s="1"/>
      <c r="V26" s="1"/>
      <c r="W26" s="1"/>
      <c r="X26" s="1"/>
      <c r="Y26" s="1"/>
      <c r="Z26" s="1"/>
      <c r="AA26" s="1"/>
      <c r="AB26" s="1"/>
      <c r="AC26" s="1"/>
    </row>
    <row r="27" spans="1:29" ht="33.75" x14ac:dyDescent="0.2">
      <c r="A27" s="155" t="s">
        <v>245</v>
      </c>
      <c r="B27" s="141" t="s">
        <v>465</v>
      </c>
      <c r="C27" s="141" t="s">
        <v>467</v>
      </c>
      <c r="D27" s="141" t="s">
        <v>468</v>
      </c>
      <c r="E27" s="141" t="s">
        <v>469</v>
      </c>
      <c r="F27" s="141" t="s">
        <v>470</v>
      </c>
      <c r="G27" s="141" t="s">
        <v>471</v>
      </c>
      <c r="H27" s="141" t="s">
        <v>472</v>
      </c>
      <c r="I27" s="141" t="s">
        <v>473</v>
      </c>
      <c r="J27" s="141" t="s">
        <v>474</v>
      </c>
      <c r="K27" s="141" t="s">
        <v>475</v>
      </c>
      <c r="N27" s="6"/>
      <c r="O27" s="6"/>
      <c r="P27" s="1"/>
      <c r="Q27" s="1"/>
      <c r="R27" s="1"/>
      <c r="S27" s="1"/>
      <c r="T27" s="1"/>
      <c r="U27" s="1"/>
      <c r="V27" s="1"/>
      <c r="W27" s="1"/>
      <c r="X27" s="1"/>
      <c r="Y27" s="1"/>
      <c r="Z27" s="1"/>
      <c r="AA27" s="1"/>
      <c r="AB27" s="1"/>
      <c r="AC27" s="1"/>
    </row>
    <row r="28" spans="1:29" x14ac:dyDescent="0.2">
      <c r="A28" s="6" t="s">
        <v>102</v>
      </c>
      <c r="B28" s="6">
        <f t="shared" ref="B28:B33" si="6">B4</f>
        <v>34236</v>
      </c>
      <c r="C28" s="6">
        <f>C4/B28</f>
        <v>3918.1203245122097</v>
      </c>
      <c r="D28" s="6">
        <f t="shared" ref="D28:D34" si="7">D4/B28</f>
        <v>695.38999006893323</v>
      </c>
      <c r="E28" s="6">
        <f t="shared" ref="E28:E34" si="8">E4/B28</f>
        <v>238.57564960859915</v>
      </c>
      <c r="F28" s="6">
        <f t="shared" ref="F28:F34" si="9">F4/B28</f>
        <v>380.35920434630214</v>
      </c>
      <c r="G28" s="6">
        <f t="shared" ref="G28:G34" si="10">G4/B28</f>
        <v>644.2493109592242</v>
      </c>
      <c r="H28" s="6">
        <f t="shared" ref="H28:H34" si="11">H4/B28</f>
        <v>259.89229524477156</v>
      </c>
      <c r="I28" s="6">
        <f t="shared" ref="I28:I34" si="12">I4/B28</f>
        <v>233.30807278887718</v>
      </c>
      <c r="J28" s="6">
        <f t="shared" ref="J28:J34" si="13">J4/B28</f>
        <v>214.25947628227595</v>
      </c>
      <c r="K28" s="6">
        <f t="shared" ref="K28:K34" si="14">SUM(C28:J28)</f>
        <v>6584.1543238111935</v>
      </c>
      <c r="N28" s="6"/>
      <c r="O28" s="6"/>
      <c r="P28" s="1"/>
      <c r="Q28" s="1"/>
      <c r="R28" s="1"/>
      <c r="S28" s="1"/>
      <c r="T28" s="1"/>
      <c r="U28" s="1"/>
      <c r="V28" s="1"/>
      <c r="W28" s="1"/>
      <c r="X28" s="1"/>
      <c r="Y28" s="1"/>
      <c r="Z28" s="1"/>
      <c r="AA28" s="1"/>
      <c r="AB28" s="1"/>
      <c r="AC28" s="1"/>
    </row>
    <row r="29" spans="1:29" x14ac:dyDescent="0.2">
      <c r="A29" s="6" t="s">
        <v>76</v>
      </c>
      <c r="B29" s="6">
        <f t="shared" si="6"/>
        <v>21444</v>
      </c>
      <c r="C29" s="6">
        <f t="shared" ref="C29:C45" si="15">C5/B29</f>
        <v>4015.3760940123107</v>
      </c>
      <c r="D29" s="6">
        <f t="shared" si="7"/>
        <v>728.96364484238018</v>
      </c>
      <c r="E29" s="6">
        <f t="shared" si="8"/>
        <v>303.29788565566128</v>
      </c>
      <c r="F29" s="6">
        <f t="shared" si="9"/>
        <v>423.45977103152399</v>
      </c>
      <c r="G29" s="6">
        <f t="shared" si="10"/>
        <v>672.56709988808063</v>
      </c>
      <c r="H29" s="6">
        <f t="shared" si="11"/>
        <v>297.64841260958775</v>
      </c>
      <c r="I29" s="6">
        <f t="shared" si="12"/>
        <v>351.62298731579926</v>
      </c>
      <c r="J29" s="6">
        <f t="shared" si="13"/>
        <v>469.15419930983029</v>
      </c>
      <c r="K29" s="6">
        <f t="shared" si="14"/>
        <v>7262.0900946651727</v>
      </c>
      <c r="N29" s="6"/>
      <c r="O29" s="6"/>
      <c r="P29" s="1"/>
      <c r="Q29" s="1"/>
      <c r="R29" s="1"/>
      <c r="S29" s="1"/>
      <c r="T29" s="1"/>
      <c r="U29" s="1"/>
      <c r="V29" s="1"/>
      <c r="W29" s="1"/>
      <c r="X29" s="1"/>
      <c r="Y29" s="1"/>
      <c r="Z29" s="1"/>
      <c r="AA29" s="1"/>
      <c r="AB29" s="1"/>
      <c r="AC29" s="1"/>
    </row>
    <row r="30" spans="1:29" x14ac:dyDescent="0.2">
      <c r="A30" s="6" t="s">
        <v>77</v>
      </c>
      <c r="B30" s="6">
        <f t="shared" si="6"/>
        <v>12158</v>
      </c>
      <c r="C30" s="6">
        <f t="shared" si="15"/>
        <v>4575.0539068925809</v>
      </c>
      <c r="D30" s="6">
        <f t="shared" si="7"/>
        <v>654.9054178318803</v>
      </c>
      <c r="E30" s="6">
        <f t="shared" si="8"/>
        <v>390.28929429182432</v>
      </c>
      <c r="F30" s="6">
        <f t="shared" si="9"/>
        <v>430.17150189175851</v>
      </c>
      <c r="G30" s="6">
        <f t="shared" si="10"/>
        <v>729.80159483467673</v>
      </c>
      <c r="H30" s="6">
        <f t="shared" si="11"/>
        <v>315.0129264681691</v>
      </c>
      <c r="I30" s="6">
        <f t="shared" si="12"/>
        <v>389.33589817404174</v>
      </c>
      <c r="J30" s="6">
        <f t="shared" si="13"/>
        <v>425.83004112518506</v>
      </c>
      <c r="K30" s="6">
        <f t="shared" si="14"/>
        <v>7910.4005815101164</v>
      </c>
      <c r="N30" s="6"/>
      <c r="O30" s="6"/>
      <c r="P30" s="1"/>
      <c r="Q30" s="1"/>
      <c r="R30" s="1"/>
      <c r="S30" s="1"/>
      <c r="T30" s="1"/>
      <c r="U30" s="1"/>
      <c r="V30" s="1"/>
      <c r="W30" s="1"/>
      <c r="X30" s="1"/>
      <c r="Y30" s="1"/>
      <c r="Z30" s="1"/>
      <c r="AA30" s="1"/>
      <c r="AB30" s="1"/>
      <c r="AC30" s="1"/>
    </row>
    <row r="31" spans="1:29" x14ac:dyDescent="0.2">
      <c r="A31" s="6" t="s">
        <v>78</v>
      </c>
      <c r="B31" s="6">
        <f t="shared" si="6"/>
        <v>13223</v>
      </c>
      <c r="C31" s="6">
        <f t="shared" si="15"/>
        <v>4145.4529365499511</v>
      </c>
      <c r="D31" s="6">
        <f t="shared" si="7"/>
        <v>330.50442032821599</v>
      </c>
      <c r="E31" s="6">
        <f t="shared" si="8"/>
        <v>584.97451107918016</v>
      </c>
      <c r="F31" s="6">
        <f t="shared" si="9"/>
        <v>304.00211298495049</v>
      </c>
      <c r="G31" s="6">
        <f t="shared" si="10"/>
        <v>656.23285789911517</v>
      </c>
      <c r="H31" s="6">
        <f t="shared" si="11"/>
        <v>345.83461771156323</v>
      </c>
      <c r="I31" s="6">
        <f t="shared" si="12"/>
        <v>465.68743855403466</v>
      </c>
      <c r="J31" s="6">
        <f t="shared" si="13"/>
        <v>467.78017847689631</v>
      </c>
      <c r="K31" s="6">
        <f t="shared" si="14"/>
        <v>7300.4690735839076</v>
      </c>
      <c r="N31" s="6"/>
      <c r="O31" s="6"/>
      <c r="P31" s="1"/>
      <c r="Q31" s="1"/>
      <c r="R31" s="1"/>
      <c r="S31" s="1"/>
      <c r="T31" s="1"/>
      <c r="U31" s="1"/>
      <c r="V31" s="1"/>
      <c r="W31" s="1"/>
      <c r="X31" s="1"/>
      <c r="Y31" s="1"/>
      <c r="Z31" s="1"/>
      <c r="AA31" s="1"/>
      <c r="AB31" s="1"/>
      <c r="AC31" s="1"/>
    </row>
    <row r="32" spans="1:29" x14ac:dyDescent="0.2">
      <c r="A32" s="6" t="s">
        <v>79</v>
      </c>
      <c r="B32" s="6">
        <f t="shared" si="6"/>
        <v>6800</v>
      </c>
      <c r="C32" s="6">
        <f t="shared" si="15"/>
        <v>4982.8219308823536</v>
      </c>
      <c r="D32" s="6">
        <f t="shared" si="7"/>
        <v>315.67463235294116</v>
      </c>
      <c r="E32" s="6">
        <f t="shared" si="8"/>
        <v>788.4048897058824</v>
      </c>
      <c r="F32" s="6">
        <f t="shared" si="9"/>
        <v>307.83652352941181</v>
      </c>
      <c r="G32" s="6">
        <f t="shared" si="10"/>
        <v>850.45988088235299</v>
      </c>
      <c r="H32" s="6">
        <f t="shared" si="11"/>
        <v>534.21542058823525</v>
      </c>
      <c r="I32" s="6">
        <f t="shared" si="12"/>
        <v>571.73956470588234</v>
      </c>
      <c r="J32" s="6">
        <f t="shared" si="13"/>
        <v>407.14261029411767</v>
      </c>
      <c r="K32" s="6">
        <f t="shared" si="14"/>
        <v>8758.2954529411763</v>
      </c>
      <c r="N32" s="6"/>
      <c r="O32" s="6"/>
      <c r="P32" s="1"/>
      <c r="Q32" s="1"/>
      <c r="R32" s="1"/>
      <c r="S32" s="1"/>
      <c r="T32" s="1"/>
      <c r="U32" s="1"/>
      <c r="V32" s="1"/>
      <c r="W32" s="1"/>
      <c r="X32" s="1"/>
      <c r="Y32" s="1"/>
      <c r="Z32" s="1"/>
      <c r="AA32" s="1"/>
      <c r="AB32" s="1"/>
      <c r="AC32" s="1"/>
    </row>
    <row r="33" spans="1:29" x14ac:dyDescent="0.2">
      <c r="A33" s="6" t="s">
        <v>80</v>
      </c>
      <c r="B33" s="6">
        <f t="shared" si="6"/>
        <v>1427</v>
      </c>
      <c r="C33" s="6">
        <f t="shared" si="15"/>
        <v>4993.9660686755433</v>
      </c>
      <c r="D33" s="6">
        <f t="shared" si="7"/>
        <v>353.46094604064473</v>
      </c>
      <c r="E33" s="6">
        <f t="shared" si="8"/>
        <v>747.47859145059567</v>
      </c>
      <c r="F33" s="6">
        <f t="shared" si="9"/>
        <v>58.171450595655223</v>
      </c>
      <c r="G33" s="6">
        <f t="shared" si="10"/>
        <v>1026.6619131044149</v>
      </c>
      <c r="H33" s="6">
        <f t="shared" si="11"/>
        <v>664.22390329362304</v>
      </c>
      <c r="I33" s="6">
        <f t="shared" si="12"/>
        <v>179.89748423265593</v>
      </c>
      <c r="J33" s="6">
        <f t="shared" si="13"/>
        <v>365.30988086895587</v>
      </c>
      <c r="K33" s="6">
        <f t="shared" si="14"/>
        <v>8389.1702382620897</v>
      </c>
      <c r="N33" s="6"/>
      <c r="O33" s="6"/>
      <c r="P33" s="1"/>
      <c r="Q33" s="1"/>
      <c r="R33" s="1"/>
      <c r="S33" s="1"/>
      <c r="T33" s="1"/>
      <c r="U33" s="1"/>
      <c r="V33" s="1"/>
      <c r="W33" s="1"/>
      <c r="X33" s="1"/>
      <c r="Y33" s="1"/>
      <c r="Z33" s="1"/>
      <c r="AA33" s="1"/>
      <c r="AB33" s="1"/>
      <c r="AC33" s="1"/>
    </row>
    <row r="34" spans="1:29" ht="13.5" thickBot="1" x14ac:dyDescent="0.25">
      <c r="A34" s="8" t="s">
        <v>219</v>
      </c>
      <c r="B34" s="8">
        <f>SUM(B28:B33)</f>
        <v>89288</v>
      </c>
      <c r="C34" s="8">
        <f t="shared" si="15"/>
        <v>4162.876317982259</v>
      </c>
      <c r="D34" s="8">
        <f t="shared" si="7"/>
        <v>609.52025344951176</v>
      </c>
      <c r="E34" s="8">
        <f t="shared" si="8"/>
        <v>376.08476167010127</v>
      </c>
      <c r="F34" s="8">
        <f t="shared" si="9"/>
        <v>375.5128699265299</v>
      </c>
      <c r="G34" s="8">
        <f t="shared" si="10"/>
        <v>686.29062035211882</v>
      </c>
      <c r="H34" s="8">
        <f t="shared" si="11"/>
        <v>316.54708202670014</v>
      </c>
      <c r="I34" s="8">
        <f t="shared" si="12"/>
        <v>342.30369276946504</v>
      </c>
      <c r="J34" s="8">
        <f t="shared" si="13"/>
        <v>358.93396615446642</v>
      </c>
      <c r="K34" s="8">
        <f t="shared" si="14"/>
        <v>7228.0695643311519</v>
      </c>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N35" s="6"/>
      <c r="O35" s="6"/>
      <c r="P35" s="1"/>
      <c r="Q35" s="1"/>
      <c r="R35" s="1"/>
      <c r="S35" s="1"/>
      <c r="T35" s="1"/>
      <c r="U35" s="1"/>
      <c r="V35" s="1"/>
      <c r="W35" s="1"/>
      <c r="X35" s="1"/>
      <c r="Y35" s="1"/>
      <c r="Z35" s="1"/>
      <c r="AA35" s="1"/>
      <c r="AB35" s="1"/>
      <c r="AC35" s="1"/>
    </row>
    <row r="36" spans="1:29" x14ac:dyDescent="0.2">
      <c r="A36" s="6" t="s">
        <v>81</v>
      </c>
      <c r="B36" s="6">
        <f>B12</f>
        <v>23004</v>
      </c>
      <c r="C36" s="6">
        <f>C12/B36</f>
        <v>3805.7354229699185</v>
      </c>
      <c r="D36" s="6">
        <f t="shared" ref="D36:D41" si="16">D12/B36</f>
        <v>613.10264258389839</v>
      </c>
      <c r="E36" s="6">
        <f t="shared" ref="E36:E41" si="17">E12/B36</f>
        <v>336.17630716397144</v>
      </c>
      <c r="F36" s="6">
        <f t="shared" ref="F36:F41" si="18">F12/B36</f>
        <v>400.13334985219961</v>
      </c>
      <c r="G36" s="6">
        <f t="shared" ref="G36:G41" si="19">G12/B36</f>
        <v>700.6886476264998</v>
      </c>
      <c r="H36" s="6">
        <f t="shared" ref="H36:H41" si="20">H12/B36</f>
        <v>255.52358502869066</v>
      </c>
      <c r="I36" s="6">
        <f t="shared" ref="I36:I41" si="21">I12/B36</f>
        <v>536.1649126238915</v>
      </c>
      <c r="J36" s="6">
        <f t="shared" ref="J36:J41" si="22">J12/B36</f>
        <v>433.47809380977225</v>
      </c>
      <c r="K36" s="6">
        <f t="shared" ref="K36:K41" si="23">SUM(C36:J36)</f>
        <v>7081.0029616588427</v>
      </c>
      <c r="N36" s="6"/>
      <c r="O36" s="6"/>
      <c r="P36" s="1"/>
      <c r="Q36" s="1"/>
      <c r="R36" s="1"/>
      <c r="S36" s="1"/>
      <c r="T36" s="1"/>
      <c r="U36" s="1"/>
      <c r="V36" s="1"/>
      <c r="W36" s="1"/>
      <c r="X36" s="1"/>
      <c r="Y36" s="1"/>
      <c r="Z36" s="1"/>
      <c r="AA36" s="1"/>
      <c r="AB36" s="1"/>
      <c r="AC36" s="1"/>
    </row>
    <row r="37" spans="1:29" x14ac:dyDescent="0.2">
      <c r="A37" s="6" t="s">
        <v>82</v>
      </c>
      <c r="B37" s="6">
        <f>B13</f>
        <v>9223</v>
      </c>
      <c r="C37" s="6">
        <f>C13/B37</f>
        <v>3647.7362799522934</v>
      </c>
      <c r="D37" s="6">
        <f t="shared" si="16"/>
        <v>612.47711807437929</v>
      </c>
      <c r="E37" s="6">
        <f t="shared" si="17"/>
        <v>406.71610972568578</v>
      </c>
      <c r="F37" s="6">
        <f t="shared" si="18"/>
        <v>475.43592648812751</v>
      </c>
      <c r="G37" s="6">
        <f t="shared" si="19"/>
        <v>890.62309335357259</v>
      </c>
      <c r="H37" s="6">
        <f t="shared" si="20"/>
        <v>501.21237341429031</v>
      </c>
      <c r="I37" s="6">
        <f t="shared" si="21"/>
        <v>639.03832592431968</v>
      </c>
      <c r="J37" s="6">
        <f t="shared" si="22"/>
        <v>271.56417651523367</v>
      </c>
      <c r="K37" s="6">
        <f t="shared" si="23"/>
        <v>7444.8034034479033</v>
      </c>
      <c r="N37" s="6"/>
      <c r="O37" s="6"/>
      <c r="P37" s="1"/>
      <c r="Q37" s="1"/>
      <c r="R37" s="1"/>
      <c r="S37" s="1"/>
      <c r="T37" s="1"/>
      <c r="U37" s="1"/>
      <c r="V37" s="1"/>
      <c r="W37" s="1"/>
      <c r="X37" s="1"/>
      <c r="Y37" s="1"/>
      <c r="Z37" s="1"/>
      <c r="AA37" s="1"/>
      <c r="AB37" s="1"/>
      <c r="AC37" s="1"/>
    </row>
    <row r="38" spans="1:29" x14ac:dyDescent="0.2">
      <c r="A38" s="6" t="s">
        <v>83</v>
      </c>
      <c r="B38" s="6">
        <f>B14</f>
        <v>5092</v>
      </c>
      <c r="C38" s="6">
        <f>C14/B38</f>
        <v>4313.1619815396698</v>
      </c>
      <c r="D38" s="6">
        <f t="shared" si="16"/>
        <v>570.73090337784754</v>
      </c>
      <c r="E38" s="6">
        <f t="shared" si="17"/>
        <v>536.36475648075407</v>
      </c>
      <c r="F38" s="6">
        <f t="shared" si="18"/>
        <v>602.62948350353497</v>
      </c>
      <c r="G38" s="6">
        <f t="shared" si="19"/>
        <v>1022.8521386488609</v>
      </c>
      <c r="H38" s="6">
        <f t="shared" si="20"/>
        <v>565.88504516889236</v>
      </c>
      <c r="I38" s="6">
        <f t="shared" si="21"/>
        <v>896.20338177533392</v>
      </c>
      <c r="J38" s="6">
        <f t="shared" si="22"/>
        <v>449.18979772191676</v>
      </c>
      <c r="K38" s="6">
        <f t="shared" si="23"/>
        <v>8957.0174882168103</v>
      </c>
      <c r="N38" s="6"/>
      <c r="O38" s="6"/>
      <c r="P38" s="1"/>
      <c r="Q38" s="1"/>
      <c r="R38" s="1"/>
      <c r="S38" s="1"/>
      <c r="T38" s="1"/>
      <c r="U38" s="1"/>
      <c r="V38" s="1"/>
      <c r="W38" s="1"/>
      <c r="X38" s="1"/>
      <c r="Y38" s="1"/>
      <c r="Z38" s="1"/>
      <c r="AA38" s="1"/>
      <c r="AB38" s="1"/>
      <c r="AC38" s="1"/>
    </row>
    <row r="39" spans="1:29" x14ac:dyDescent="0.2">
      <c r="A39" s="6" t="s">
        <v>84</v>
      </c>
      <c r="B39" s="6">
        <f>B15</f>
        <v>4900</v>
      </c>
      <c r="C39" s="6">
        <f>C15/B39</f>
        <v>5225.0369632653064</v>
      </c>
      <c r="D39" s="6">
        <f t="shared" si="16"/>
        <v>624.08593673469386</v>
      </c>
      <c r="E39" s="6">
        <f t="shared" si="17"/>
        <v>956.79951632653058</v>
      </c>
      <c r="F39" s="6">
        <f t="shared" si="18"/>
        <v>531.87306938775509</v>
      </c>
      <c r="G39" s="6">
        <f t="shared" si="19"/>
        <v>1236.916912244898</v>
      </c>
      <c r="H39" s="6">
        <f t="shared" si="20"/>
        <v>865.10888571428575</v>
      </c>
      <c r="I39" s="6">
        <f t="shared" si="21"/>
        <v>892.41701020408152</v>
      </c>
      <c r="J39" s="6">
        <f t="shared" si="22"/>
        <v>658.08665714285712</v>
      </c>
      <c r="K39" s="6">
        <f t="shared" si="23"/>
        <v>10990.324951020408</v>
      </c>
      <c r="N39" s="6"/>
      <c r="O39" s="6"/>
      <c r="P39" s="1"/>
      <c r="Q39" s="1"/>
      <c r="R39" s="1"/>
      <c r="S39" s="1"/>
      <c r="T39" s="1"/>
      <c r="U39" s="1"/>
      <c r="V39" s="1"/>
      <c r="W39" s="1"/>
      <c r="X39" s="1"/>
      <c r="Y39" s="1"/>
      <c r="Z39" s="1"/>
      <c r="AA39" s="1"/>
      <c r="AB39" s="1"/>
      <c r="AC39" s="1"/>
    </row>
    <row r="40" spans="1:29" x14ac:dyDescent="0.2">
      <c r="A40" s="6" t="s">
        <v>85</v>
      </c>
      <c r="B40" s="6">
        <f>B16</f>
        <v>1532</v>
      </c>
      <c r="C40" s="6">
        <f>C16/B40</f>
        <v>6748.4489490861615</v>
      </c>
      <c r="D40" s="6">
        <f t="shared" si="16"/>
        <v>494.67825718015666</v>
      </c>
      <c r="E40" s="6">
        <f t="shared" si="17"/>
        <v>1621.0545300261097</v>
      </c>
      <c r="F40" s="6">
        <f t="shared" si="18"/>
        <v>446.15635770234991</v>
      </c>
      <c r="G40" s="6">
        <f t="shared" si="19"/>
        <v>1841.9115535248043</v>
      </c>
      <c r="H40" s="6">
        <f t="shared" si="20"/>
        <v>1088.827225848564</v>
      </c>
      <c r="I40" s="6">
        <f t="shared" si="21"/>
        <v>1364.505907310705</v>
      </c>
      <c r="J40" s="6">
        <f t="shared" si="22"/>
        <v>390.98627937336812</v>
      </c>
      <c r="K40" s="6">
        <f t="shared" si="23"/>
        <v>13996.569060052219</v>
      </c>
      <c r="N40" s="6"/>
      <c r="O40" s="6"/>
      <c r="P40" s="1"/>
      <c r="Q40" s="1"/>
      <c r="R40" s="1"/>
      <c r="S40" s="1"/>
      <c r="T40" s="1"/>
      <c r="U40" s="1"/>
      <c r="V40" s="1"/>
      <c r="W40" s="1"/>
      <c r="X40" s="1"/>
      <c r="Y40" s="1"/>
      <c r="Z40" s="1"/>
      <c r="AA40" s="1"/>
      <c r="AB40" s="1"/>
      <c r="AC40" s="1"/>
    </row>
    <row r="41" spans="1:29" ht="13.5" thickBot="1" x14ac:dyDescent="0.25">
      <c r="A41" s="8" t="s">
        <v>220</v>
      </c>
      <c r="B41" s="8">
        <f>SUM(B36:B40)</f>
        <v>43751</v>
      </c>
      <c r="C41" s="8">
        <f t="shared" si="15"/>
        <v>4093.4866654476468</v>
      </c>
      <c r="D41" s="8">
        <f t="shared" si="16"/>
        <v>605.12261639733936</v>
      </c>
      <c r="E41" s="8">
        <f t="shared" si="17"/>
        <v>488.84562547141775</v>
      </c>
      <c r="F41" s="8">
        <f t="shared" si="18"/>
        <v>455.94139653950765</v>
      </c>
      <c r="G41" s="8">
        <f t="shared" si="19"/>
        <v>878.24102077666794</v>
      </c>
      <c r="H41" s="8">
        <f t="shared" si="20"/>
        <v>440.88934584352359</v>
      </c>
      <c r="I41" s="8">
        <f t="shared" si="21"/>
        <v>668.65950835409478</v>
      </c>
      <c r="J41" s="8">
        <f t="shared" si="22"/>
        <v>424.84186692875596</v>
      </c>
      <c r="K41" s="8">
        <f t="shared" si="23"/>
        <v>8056.0280457589533</v>
      </c>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N42" s="6"/>
      <c r="O42" s="6"/>
      <c r="P42" s="1"/>
      <c r="Q42" s="1"/>
      <c r="R42" s="1"/>
      <c r="S42" s="1"/>
      <c r="T42" s="1"/>
      <c r="U42" s="1"/>
      <c r="V42" s="1"/>
      <c r="W42" s="1"/>
      <c r="X42" s="1"/>
      <c r="Y42" s="1"/>
      <c r="Z42" s="1"/>
      <c r="AA42" s="1"/>
      <c r="AB42" s="1"/>
      <c r="AC42" s="1"/>
    </row>
    <row r="43" spans="1:29" x14ac:dyDescent="0.2">
      <c r="A43" s="6" t="s">
        <v>86</v>
      </c>
      <c r="B43" s="6">
        <f>B19</f>
        <v>12215</v>
      </c>
      <c r="C43" s="6">
        <f t="shared" si="15"/>
        <v>3878.3739140401144</v>
      </c>
      <c r="D43" s="6">
        <f>D19/B43</f>
        <v>429.28509864920181</v>
      </c>
      <c r="E43" s="6">
        <f>E19/B43</f>
        <v>321.24688825214901</v>
      </c>
      <c r="F43" s="6">
        <f>F19/B43</f>
        <v>426.73159721653707</v>
      </c>
      <c r="G43" s="6">
        <f>G19/B43</f>
        <v>633.32269013507982</v>
      </c>
      <c r="H43" s="6">
        <f>H19/B43</f>
        <v>357.30460663119112</v>
      </c>
      <c r="I43" s="6">
        <f>I19/B43</f>
        <v>451.03033647155132</v>
      </c>
      <c r="J43" s="6">
        <f>J19/B43</f>
        <v>468.26204830126892</v>
      </c>
      <c r="K43" s="6">
        <f>SUM(C43:J43)</f>
        <v>6965.5571796970926</v>
      </c>
      <c r="N43" s="6"/>
      <c r="O43" s="6"/>
      <c r="P43" s="1"/>
      <c r="Q43" s="1"/>
      <c r="R43" s="1"/>
      <c r="S43" s="1"/>
      <c r="T43" s="1"/>
      <c r="U43" s="1"/>
      <c r="V43" s="1"/>
      <c r="W43" s="1"/>
      <c r="X43" s="1"/>
      <c r="Y43" s="1"/>
      <c r="Z43" s="1"/>
      <c r="AA43" s="1"/>
      <c r="AB43" s="1"/>
      <c r="AC43" s="1"/>
    </row>
    <row r="44" spans="1:29" x14ac:dyDescent="0.2">
      <c r="A44" s="7" t="s">
        <v>87</v>
      </c>
      <c r="B44" s="6">
        <f>B20</f>
        <v>6257</v>
      </c>
      <c r="C44" s="6">
        <f t="shared" si="15"/>
        <v>5366.9617116829149</v>
      </c>
      <c r="D44" s="6">
        <f>D20/B44</f>
        <v>383.2992840019179</v>
      </c>
      <c r="E44" s="6">
        <f>E20/B44</f>
        <v>1006.1142640242928</v>
      </c>
      <c r="F44" s="6">
        <f>F20/B44</f>
        <v>303.13105002397316</v>
      </c>
      <c r="G44" s="6">
        <f>G20/B44</f>
        <v>1162.655994885728</v>
      </c>
      <c r="H44" s="6">
        <f>H20/B44</f>
        <v>707.23134888924403</v>
      </c>
      <c r="I44" s="6">
        <f>I20/B44</f>
        <v>871.36302221511903</v>
      </c>
      <c r="J44" s="6">
        <f>J20/B44</f>
        <v>418.14766181876297</v>
      </c>
      <c r="K44" s="6">
        <f>SUM(C44:J44)</f>
        <v>10218.904337541951</v>
      </c>
      <c r="N44" s="6"/>
      <c r="O44" s="6"/>
      <c r="P44" s="1"/>
      <c r="Q44" s="1"/>
      <c r="R44" s="1"/>
      <c r="S44" s="1"/>
      <c r="T44" s="1"/>
      <c r="U44" s="1"/>
      <c r="V44" s="1"/>
      <c r="W44" s="1"/>
      <c r="X44" s="1"/>
      <c r="Y44" s="1"/>
      <c r="Z44" s="1"/>
      <c r="AA44" s="1"/>
      <c r="AB44" s="1"/>
      <c r="AC44" s="1"/>
    </row>
    <row r="45" spans="1:29" ht="13.5" thickBot="1" x14ac:dyDescent="0.25">
      <c r="A45" s="8" t="s">
        <v>221</v>
      </c>
      <c r="B45" s="8">
        <f>SUM(B43:B44)</f>
        <v>18472</v>
      </c>
      <c r="C45" s="8">
        <f t="shared" si="15"/>
        <v>4382.6016018839318</v>
      </c>
      <c r="D45" s="8">
        <f>D21/B45</f>
        <v>413.70837483759209</v>
      </c>
      <c r="E45" s="8">
        <f>E21/B45</f>
        <v>553.23125216543963</v>
      </c>
      <c r="F45" s="8">
        <f>F21/B45</f>
        <v>384.86452143785186</v>
      </c>
      <c r="G45" s="8">
        <f>G21/B45</f>
        <v>812.62317128627103</v>
      </c>
      <c r="H45" s="8">
        <f>H21/B45</f>
        <v>475.83490255521872</v>
      </c>
      <c r="I45" s="8">
        <f>I21/B45</f>
        <v>593.40915926808134</v>
      </c>
      <c r="J45" s="8">
        <f>J21/B45</f>
        <v>451.28685794716324</v>
      </c>
      <c r="K45" s="8">
        <f>SUM(C45:J45)</f>
        <v>8067.5598413815496</v>
      </c>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N46" s="6"/>
      <c r="O46" s="6"/>
      <c r="P46" s="1"/>
      <c r="Q46" s="1"/>
      <c r="R46" s="1"/>
      <c r="S46" s="1"/>
      <c r="T46" s="1"/>
      <c r="U46" s="1"/>
      <c r="V46" s="1"/>
      <c r="W46" s="1"/>
      <c r="X46" s="1"/>
      <c r="Y46" s="1"/>
      <c r="Z46" s="1"/>
      <c r="AA46" s="1"/>
      <c r="AB46" s="1"/>
      <c r="AC46" s="1"/>
    </row>
    <row r="47" spans="1:29" ht="13.5" thickBot="1" x14ac:dyDescent="0.25">
      <c r="A47" s="126" t="s">
        <v>222</v>
      </c>
      <c r="B47" s="126">
        <f>B34+B41+B45</f>
        <v>151511</v>
      </c>
      <c r="C47" s="126">
        <f>C23/$B$47</f>
        <v>4169.627634759192</v>
      </c>
      <c r="D47" s="126">
        <f t="shared" ref="D47:J47" si="24">D23/$B$47</f>
        <v>584.37727346529289</v>
      </c>
      <c r="E47" s="126">
        <f t="shared" si="24"/>
        <v>430.24353908297081</v>
      </c>
      <c r="F47" s="126">
        <f t="shared" si="24"/>
        <v>399.87791388084031</v>
      </c>
      <c r="G47" s="126">
        <f t="shared" si="24"/>
        <v>757.12136432338241</v>
      </c>
      <c r="H47" s="126">
        <f t="shared" si="24"/>
        <v>371.87285378619379</v>
      </c>
      <c r="I47" s="126">
        <f t="shared" si="24"/>
        <v>467.15808264746448</v>
      </c>
      <c r="J47" s="126">
        <f t="shared" si="24"/>
        <v>389.22535875282983</v>
      </c>
      <c r="K47" s="126">
        <f>SUM(C47:J47)</f>
        <v>7569.5040206981666</v>
      </c>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N48" s="6"/>
      <c r="O48" s="6"/>
      <c r="P48" s="1"/>
      <c r="Q48" s="1"/>
      <c r="R48" s="1"/>
      <c r="S48" s="1"/>
      <c r="T48" s="1"/>
      <c r="U48" s="1"/>
      <c r="V48" s="1"/>
      <c r="W48" s="1"/>
      <c r="X48" s="1"/>
      <c r="Y48" s="1"/>
      <c r="Z48" s="1"/>
      <c r="AA48" s="1"/>
      <c r="AB48" s="1"/>
      <c r="AC48" s="1"/>
    </row>
    <row r="49" spans="1:29" x14ac:dyDescent="0.2">
      <c r="A49" s="36" t="s">
        <v>247</v>
      </c>
      <c r="B49" s="6"/>
      <c r="C49" s="6"/>
      <c r="D49" s="6"/>
      <c r="E49" s="6"/>
      <c r="F49" s="6"/>
      <c r="G49" s="6"/>
      <c r="H49" s="6"/>
      <c r="I49" s="6"/>
      <c r="J49" s="6"/>
      <c r="K49" s="6"/>
      <c r="N49" s="6"/>
      <c r="O49" s="6"/>
      <c r="P49" s="1"/>
      <c r="Q49" s="1"/>
      <c r="R49" s="1"/>
      <c r="S49" s="1"/>
      <c r="T49" s="1"/>
      <c r="U49" s="1"/>
      <c r="V49" s="1"/>
      <c r="W49" s="1"/>
      <c r="X49" s="1"/>
      <c r="Y49" s="1"/>
      <c r="Z49" s="1"/>
      <c r="AA49" s="1"/>
      <c r="AB49" s="1"/>
      <c r="AC49" s="1"/>
    </row>
    <row r="50" spans="1:29" x14ac:dyDescent="0.2">
      <c r="A50" s="22" t="s">
        <v>476</v>
      </c>
      <c r="B50" s="6"/>
      <c r="C50" s="6"/>
      <c r="D50" s="6"/>
      <c r="E50" s="6"/>
      <c r="F50" s="6"/>
      <c r="G50" s="6"/>
      <c r="H50" s="6"/>
      <c r="I50" s="6"/>
      <c r="J50" s="6"/>
      <c r="K50" s="6"/>
      <c r="N50" s="6"/>
      <c r="O50" s="6"/>
      <c r="P50" s="1"/>
      <c r="Q50" s="1"/>
      <c r="R50" s="1"/>
      <c r="S50" s="1"/>
      <c r="T50" s="1"/>
      <c r="U50" s="1"/>
      <c r="V50" s="1"/>
      <c r="W50" s="1"/>
      <c r="X50" s="1"/>
      <c r="Y50" s="1"/>
      <c r="Z50" s="1"/>
      <c r="AA50" s="1"/>
      <c r="AB50" s="1"/>
      <c r="AC50" s="1"/>
    </row>
    <row r="51" spans="1:29" ht="33.75" x14ac:dyDescent="0.2">
      <c r="A51" s="155" t="s">
        <v>245</v>
      </c>
      <c r="B51" s="141" t="s">
        <v>465</v>
      </c>
      <c r="C51" s="141" t="s">
        <v>467</v>
      </c>
      <c r="D51" s="141" t="s">
        <v>468</v>
      </c>
      <c r="E51" s="141" t="s">
        <v>469</v>
      </c>
      <c r="F51" s="141" t="s">
        <v>470</v>
      </c>
      <c r="G51" s="141" t="s">
        <v>471</v>
      </c>
      <c r="H51" s="141" t="s">
        <v>472</v>
      </c>
      <c r="I51" s="141" t="s">
        <v>473</v>
      </c>
      <c r="J51" s="141" t="s">
        <v>474</v>
      </c>
      <c r="K51" s="141" t="s">
        <v>475</v>
      </c>
      <c r="N51" s="6"/>
      <c r="O51" s="6"/>
      <c r="P51" s="1"/>
      <c r="Q51" s="1"/>
      <c r="R51" s="1"/>
      <c r="S51" s="1"/>
      <c r="T51" s="1"/>
      <c r="U51" s="1"/>
      <c r="V51" s="1"/>
      <c r="W51" s="1"/>
      <c r="X51" s="1"/>
      <c r="Y51" s="1"/>
      <c r="Z51" s="1"/>
      <c r="AA51" s="1"/>
      <c r="AB51" s="1"/>
      <c r="AC51" s="1"/>
    </row>
    <row r="52" spans="1:29" x14ac:dyDescent="0.2">
      <c r="A52" s="6" t="s">
        <v>102</v>
      </c>
      <c r="B52" s="6">
        <f t="shared" ref="B52:B57" si="25">B28</f>
        <v>34236</v>
      </c>
      <c r="C52" s="9">
        <f>C4/$K$4</f>
        <v>0.59508330634696183</v>
      </c>
      <c r="D52" s="9">
        <f t="shared" ref="D52:K52" si="26">D4/$K$4</f>
        <v>0.10561568819158715</v>
      </c>
      <c r="E52" s="9">
        <f t="shared" si="26"/>
        <v>3.6234820430287432E-2</v>
      </c>
      <c r="F52" s="9">
        <f t="shared" si="26"/>
        <v>5.7768877465516906E-2</v>
      </c>
      <c r="G52" s="9">
        <f t="shared" si="26"/>
        <v>9.7848452401751246E-2</v>
      </c>
      <c r="H52" s="9">
        <f t="shared" si="26"/>
        <v>3.9472388170624574E-2</v>
      </c>
      <c r="I52" s="9">
        <f t="shared" si="26"/>
        <v>3.5434781949920703E-2</v>
      </c>
      <c r="J52" s="9">
        <f t="shared" si="26"/>
        <v>3.2541685043350158E-2</v>
      </c>
      <c r="K52" s="9">
        <f t="shared" si="26"/>
        <v>1</v>
      </c>
      <c r="N52" s="6"/>
      <c r="O52" s="6"/>
      <c r="P52" s="1"/>
      <c r="Q52" s="1"/>
      <c r="R52" s="1"/>
      <c r="S52" s="1"/>
      <c r="T52" s="1"/>
      <c r="U52" s="1"/>
      <c r="V52" s="1"/>
      <c r="W52" s="1"/>
      <c r="X52" s="1"/>
      <c r="Y52" s="1"/>
      <c r="Z52" s="1"/>
      <c r="AA52" s="1"/>
      <c r="AB52" s="1"/>
      <c r="AC52" s="1"/>
    </row>
    <row r="53" spans="1:29" x14ac:dyDescent="0.2">
      <c r="A53" s="6" t="s">
        <v>76</v>
      </c>
      <c r="B53" s="6">
        <f t="shared" si="25"/>
        <v>21444</v>
      </c>
      <c r="C53" s="9">
        <f t="shared" ref="C53:K53" si="27">C5/$K$5</f>
        <v>0.55292292462221837</v>
      </c>
      <c r="D53" s="9">
        <f t="shared" si="27"/>
        <v>0.10037931715800197</v>
      </c>
      <c r="E53" s="9">
        <f t="shared" si="27"/>
        <v>4.1764544601073983E-2</v>
      </c>
      <c r="F53" s="9">
        <f t="shared" si="27"/>
        <v>5.8311004891360818E-2</v>
      </c>
      <c r="G53" s="9">
        <f t="shared" si="27"/>
        <v>9.2613433752654364E-2</v>
      </c>
      <c r="H53" s="9">
        <f t="shared" si="27"/>
        <v>4.0986604232333072E-2</v>
      </c>
      <c r="I53" s="9">
        <f t="shared" si="27"/>
        <v>4.8418978934743055E-2</v>
      </c>
      <c r="J53" s="9">
        <f t="shared" si="27"/>
        <v>6.4603191807614313E-2</v>
      </c>
      <c r="K53" s="9">
        <f t="shared" si="27"/>
        <v>1</v>
      </c>
      <c r="N53" s="6"/>
      <c r="O53" s="6"/>
      <c r="P53" s="1"/>
      <c r="Q53" s="1"/>
      <c r="R53" s="1"/>
      <c r="S53" s="1"/>
      <c r="T53" s="1"/>
      <c r="U53" s="1"/>
      <c r="V53" s="1"/>
      <c r="W53" s="1"/>
      <c r="X53" s="1"/>
      <c r="Y53" s="1"/>
      <c r="Z53" s="1"/>
      <c r="AA53" s="1"/>
      <c r="AB53" s="1"/>
      <c r="AC53" s="1"/>
    </row>
    <row r="54" spans="1:29" x14ac:dyDescent="0.2">
      <c r="A54" s="6" t="s">
        <v>77</v>
      </c>
      <c r="B54" s="6">
        <f t="shared" si="25"/>
        <v>12158</v>
      </c>
      <c r="C54" s="9">
        <f>C6/$K$6</f>
        <v>0.57835932071333751</v>
      </c>
      <c r="D54" s="9">
        <f t="shared" ref="D54:K54" si="28">D6/$K$6</f>
        <v>8.2790423959396647E-2</v>
      </c>
      <c r="E54" s="9">
        <f t="shared" si="28"/>
        <v>4.933875222502538E-2</v>
      </c>
      <c r="F54" s="9">
        <f t="shared" si="28"/>
        <v>5.4380495331329687E-2</v>
      </c>
      <c r="G54" s="9">
        <f t="shared" si="28"/>
        <v>9.2258487710537115E-2</v>
      </c>
      <c r="H54" s="9">
        <f t="shared" si="28"/>
        <v>3.9822626328745579E-2</v>
      </c>
      <c r="I54" s="9">
        <f t="shared" si="28"/>
        <v>4.9218227846018453E-2</v>
      </c>
      <c r="J54" s="9">
        <f t="shared" si="28"/>
        <v>5.383166588560967E-2</v>
      </c>
      <c r="K54" s="9">
        <f t="shared" si="28"/>
        <v>1</v>
      </c>
      <c r="N54" s="6"/>
      <c r="O54" s="6"/>
      <c r="P54" s="1"/>
      <c r="Q54" s="1"/>
      <c r="R54" s="1"/>
      <c r="S54" s="1"/>
      <c r="T54" s="1"/>
      <c r="U54" s="1"/>
      <c r="V54" s="1"/>
      <c r="W54" s="1"/>
      <c r="X54" s="1"/>
      <c r="Y54" s="1"/>
      <c r="Z54" s="1"/>
      <c r="AA54" s="1"/>
      <c r="AB54" s="1"/>
      <c r="AC54" s="1"/>
    </row>
    <row r="55" spans="1:29" x14ac:dyDescent="0.2">
      <c r="A55" s="6" t="s">
        <v>78</v>
      </c>
      <c r="B55" s="6">
        <f t="shared" si="25"/>
        <v>13223</v>
      </c>
      <c r="C55" s="9">
        <f>C7/$K$7</f>
        <v>0.56783377818144598</v>
      </c>
      <c r="D55" s="9">
        <f t="shared" ref="D55:K55" si="29">D7/$K$7</f>
        <v>4.527166912111396E-2</v>
      </c>
      <c r="E55" s="9">
        <f t="shared" si="29"/>
        <v>8.0128345888876934E-2</v>
      </c>
      <c r="F55" s="9">
        <f t="shared" si="29"/>
        <v>4.1641449326174786E-2</v>
      </c>
      <c r="G55" s="9">
        <f t="shared" si="29"/>
        <v>8.9889136065740616E-2</v>
      </c>
      <c r="H55" s="9">
        <f t="shared" si="29"/>
        <v>4.7371561227885314E-2</v>
      </c>
      <c r="I55" s="9">
        <f t="shared" si="29"/>
        <v>6.3788700953351457E-2</v>
      </c>
      <c r="J55" s="9">
        <f t="shared" si="29"/>
        <v>6.4075359235410911E-2</v>
      </c>
      <c r="K55" s="9">
        <f t="shared" si="29"/>
        <v>1</v>
      </c>
      <c r="N55" s="6"/>
      <c r="O55" s="6"/>
      <c r="P55" s="1"/>
      <c r="Q55" s="1"/>
      <c r="R55" s="1"/>
      <c r="S55" s="1"/>
      <c r="T55" s="1"/>
      <c r="U55" s="1"/>
      <c r="V55" s="1"/>
      <c r="W55" s="1"/>
      <c r="X55" s="1"/>
      <c r="Y55" s="1"/>
      <c r="Z55" s="1"/>
      <c r="AA55" s="1"/>
      <c r="AB55" s="1"/>
      <c r="AC55" s="1"/>
    </row>
    <row r="56" spans="1:29" x14ac:dyDescent="0.2">
      <c r="A56" s="6" t="s">
        <v>79</v>
      </c>
      <c r="B56" s="6">
        <f t="shared" si="25"/>
        <v>6800</v>
      </c>
      <c r="C56" s="9">
        <f>C8/$K$8</f>
        <v>0.56892599223848306</v>
      </c>
      <c r="D56" s="9">
        <f t="shared" ref="D56:K56" si="30">D8/$K$8</f>
        <v>3.6042930276682157E-2</v>
      </c>
      <c r="E56" s="9">
        <f t="shared" si="30"/>
        <v>9.0018074172312071E-2</v>
      </c>
      <c r="F56" s="9">
        <f t="shared" si="30"/>
        <v>3.5147994856240587E-2</v>
      </c>
      <c r="G56" s="9">
        <f t="shared" si="30"/>
        <v>9.7103355950015929E-2</v>
      </c>
      <c r="H56" s="9">
        <f t="shared" si="30"/>
        <v>6.0995364161737335E-2</v>
      </c>
      <c r="I56" s="9">
        <f t="shared" si="30"/>
        <v>6.5279775931044101E-2</v>
      </c>
      <c r="J56" s="9">
        <f t="shared" si="30"/>
        <v>4.6486512413484823E-2</v>
      </c>
      <c r="K56" s="9">
        <f t="shared" si="30"/>
        <v>1</v>
      </c>
      <c r="N56" s="6"/>
      <c r="O56" s="6"/>
      <c r="P56" s="1"/>
      <c r="Q56" s="1"/>
      <c r="R56" s="1"/>
      <c r="S56" s="1"/>
      <c r="T56" s="1"/>
      <c r="U56" s="1"/>
      <c r="V56" s="1"/>
      <c r="W56" s="1"/>
      <c r="X56" s="1"/>
      <c r="Y56" s="1"/>
      <c r="Z56" s="1"/>
      <c r="AA56" s="1"/>
      <c r="AB56" s="1"/>
      <c r="AC56" s="1"/>
    </row>
    <row r="57" spans="1:29" x14ac:dyDescent="0.2">
      <c r="A57" s="6" t="s">
        <v>80</v>
      </c>
      <c r="B57" s="6">
        <f t="shared" si="25"/>
        <v>1427</v>
      </c>
      <c r="C57" s="9">
        <f>C9/$K$9</f>
        <v>0.59528724854081638</v>
      </c>
      <c r="D57" s="9">
        <f t="shared" ref="D57:K57" si="31">D9/$K$9</f>
        <v>4.2133004337967538E-2</v>
      </c>
      <c r="E57" s="9">
        <f t="shared" si="31"/>
        <v>8.9100419972576964E-2</v>
      </c>
      <c r="F57" s="9">
        <f t="shared" si="31"/>
        <v>6.9341125455222733E-3</v>
      </c>
      <c r="G57" s="9">
        <f t="shared" si="31"/>
        <v>0.12237943490786754</v>
      </c>
      <c r="H57" s="9">
        <f t="shared" si="31"/>
        <v>7.9176352896520141E-2</v>
      </c>
      <c r="I57" s="9">
        <f t="shared" si="31"/>
        <v>2.1444014023241913E-2</v>
      </c>
      <c r="J57" s="9">
        <f t="shared" si="31"/>
        <v>4.3545412775487312E-2</v>
      </c>
      <c r="K57" s="9">
        <f t="shared" si="31"/>
        <v>1</v>
      </c>
      <c r="N57" s="6"/>
      <c r="O57" s="6"/>
      <c r="P57" s="1"/>
      <c r="Q57" s="1"/>
      <c r="R57" s="1"/>
      <c r="S57" s="1"/>
      <c r="T57" s="1"/>
      <c r="U57" s="1"/>
      <c r="V57" s="1"/>
      <c r="W57" s="1"/>
      <c r="X57" s="1"/>
      <c r="Y57" s="1"/>
      <c r="Z57" s="1"/>
      <c r="AA57" s="1"/>
      <c r="AB57" s="1"/>
      <c r="AC57" s="1"/>
    </row>
    <row r="58" spans="1:29" ht="13.5" thickBot="1" x14ac:dyDescent="0.25">
      <c r="A58" s="8" t="s">
        <v>219</v>
      </c>
      <c r="B58" s="8">
        <f>SUM(B52:B57)</f>
        <v>89288</v>
      </c>
      <c r="C58" s="11">
        <f>C10/$K$10</f>
        <v>0.57593196647208378</v>
      </c>
      <c r="D58" s="11">
        <f t="shared" ref="D58:K58" si="32">D10/$K$10</f>
        <v>8.4326838310653907E-2</v>
      </c>
      <c r="E58" s="11">
        <f t="shared" si="32"/>
        <v>5.2031148610687472E-2</v>
      </c>
      <c r="F58" s="11">
        <f t="shared" si="32"/>
        <v>5.1952027658892334E-2</v>
      </c>
      <c r="G58" s="11">
        <f t="shared" si="32"/>
        <v>9.494798220244087E-2</v>
      </c>
      <c r="H58" s="11">
        <f t="shared" si="32"/>
        <v>4.3794138837399486E-2</v>
      </c>
      <c r="I58" s="11">
        <f t="shared" si="32"/>
        <v>4.7357553731725885E-2</v>
      </c>
      <c r="J58" s="11">
        <f t="shared" si="32"/>
        <v>4.965834417611617E-2</v>
      </c>
      <c r="K58" s="11">
        <f t="shared" si="32"/>
        <v>1</v>
      </c>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N60" s="6"/>
      <c r="O60" s="6"/>
      <c r="P60" s="1"/>
      <c r="Q60" s="1"/>
      <c r="R60" s="1"/>
      <c r="S60" s="1"/>
      <c r="T60" s="1"/>
      <c r="U60" s="1"/>
      <c r="V60" s="1"/>
      <c r="W60" s="1"/>
      <c r="X60" s="1"/>
      <c r="Y60" s="1"/>
      <c r="Z60" s="1"/>
      <c r="AA60" s="1"/>
      <c r="AB60" s="1"/>
      <c r="AC60" s="1"/>
    </row>
    <row r="61" spans="1:29" x14ac:dyDescent="0.2">
      <c r="A61" s="6" t="s">
        <v>81</v>
      </c>
      <c r="B61" s="6">
        <f>B12</f>
        <v>23004</v>
      </c>
      <c r="C61" s="9">
        <f t="shared" ref="C61:K61" si="33">C12/$K$12</f>
        <v>0.5374571149845081</v>
      </c>
      <c r="D61" s="9">
        <f t="shared" si="33"/>
        <v>8.658415282462599E-2</v>
      </c>
      <c r="E61" s="9">
        <f t="shared" si="33"/>
        <v>4.7475803778680617E-2</v>
      </c>
      <c r="F61" s="9">
        <f t="shared" si="33"/>
        <v>5.6508004871454222E-2</v>
      </c>
      <c r="G61" s="9">
        <f t="shared" si="33"/>
        <v>9.8953305262048902E-2</v>
      </c>
      <c r="H61" s="9">
        <f t="shared" si="33"/>
        <v>3.6085789882063547E-2</v>
      </c>
      <c r="I61" s="9">
        <f t="shared" si="33"/>
        <v>7.5718781015491343E-2</v>
      </c>
      <c r="J61" s="9">
        <f t="shared" si="33"/>
        <v>6.1217047381127328E-2</v>
      </c>
      <c r="K61" s="9">
        <f t="shared" si="33"/>
        <v>1</v>
      </c>
      <c r="N61" s="6"/>
      <c r="O61" s="6"/>
      <c r="P61" s="1"/>
      <c r="Q61" s="1"/>
      <c r="R61" s="1"/>
      <c r="S61" s="1"/>
      <c r="T61" s="1"/>
      <c r="U61" s="1"/>
      <c r="V61" s="1"/>
      <c r="W61" s="1"/>
      <c r="X61" s="1"/>
      <c r="Y61" s="1"/>
      <c r="Z61" s="1"/>
      <c r="AA61" s="1"/>
      <c r="AB61" s="1"/>
      <c r="AC61" s="1"/>
    </row>
    <row r="62" spans="1:29" x14ac:dyDescent="0.2">
      <c r="A62" s="6" t="s">
        <v>82</v>
      </c>
      <c r="B62" s="6">
        <f>B13</f>
        <v>9223</v>
      </c>
      <c r="C62" s="9">
        <f t="shared" ref="C62:K62" si="34">C13/$K$13</f>
        <v>0.4899708000701431</v>
      </c>
      <c r="D62" s="9">
        <f t="shared" si="34"/>
        <v>8.2269078830305112E-2</v>
      </c>
      <c r="E62" s="9">
        <f t="shared" si="34"/>
        <v>5.4630873064737191E-2</v>
      </c>
      <c r="F62" s="9">
        <f t="shared" si="34"/>
        <v>6.3861448143538543E-2</v>
      </c>
      <c r="G62" s="9">
        <f t="shared" si="34"/>
        <v>0.11963016954095784</v>
      </c>
      <c r="H62" s="9">
        <f t="shared" si="34"/>
        <v>6.7323788991145758E-2</v>
      </c>
      <c r="I62" s="9">
        <f t="shared" si="34"/>
        <v>8.5836830241663956E-2</v>
      </c>
      <c r="J62" s="9">
        <f t="shared" si="34"/>
        <v>3.6477011117508416E-2</v>
      </c>
      <c r="K62" s="9">
        <f t="shared" si="34"/>
        <v>1</v>
      </c>
      <c r="N62" s="6"/>
      <c r="O62" s="6"/>
      <c r="P62" s="1"/>
      <c r="Q62" s="1"/>
      <c r="R62" s="1"/>
      <c r="S62" s="1"/>
      <c r="T62" s="1"/>
      <c r="U62" s="1"/>
      <c r="V62" s="1"/>
      <c r="W62" s="1"/>
      <c r="X62" s="1"/>
      <c r="Y62" s="1"/>
      <c r="Z62" s="1"/>
      <c r="AA62" s="1"/>
      <c r="AB62" s="1"/>
      <c r="AC62" s="1"/>
    </row>
    <row r="63" spans="1:29" x14ac:dyDescent="0.2">
      <c r="A63" s="6" t="s">
        <v>83</v>
      </c>
      <c r="B63" s="6">
        <f>B14</f>
        <v>5092</v>
      </c>
      <c r="C63" s="9">
        <f t="shared" ref="C63:K63" si="35">C14/$K$14</f>
        <v>0.48153997546769856</v>
      </c>
      <c r="D63" s="9">
        <f t="shared" si="35"/>
        <v>6.3718855537421792E-2</v>
      </c>
      <c r="E63" s="9">
        <f t="shared" si="35"/>
        <v>5.9882070922196579E-2</v>
      </c>
      <c r="F63" s="9">
        <f t="shared" si="35"/>
        <v>6.7280150373303357E-2</v>
      </c>
      <c r="G63" s="9">
        <f t="shared" si="35"/>
        <v>0.1141956170114047</v>
      </c>
      <c r="H63" s="9">
        <f t="shared" si="35"/>
        <v>6.31778430614129E-2</v>
      </c>
      <c r="I63" s="9">
        <f t="shared" si="35"/>
        <v>0.1000560044629044</v>
      </c>
      <c r="J63" s="9">
        <f t="shared" si="35"/>
        <v>5.0149483163657728E-2</v>
      </c>
      <c r="K63" s="9">
        <f t="shared" si="35"/>
        <v>1</v>
      </c>
      <c r="N63" s="6"/>
      <c r="O63" s="6"/>
      <c r="P63" s="1"/>
      <c r="Q63" s="1"/>
      <c r="R63" s="1"/>
      <c r="S63" s="1"/>
      <c r="T63" s="1"/>
      <c r="U63" s="1"/>
      <c r="V63" s="1"/>
      <c r="W63" s="1"/>
      <c r="X63" s="1"/>
      <c r="Y63" s="1"/>
      <c r="Z63" s="1"/>
      <c r="AA63" s="1"/>
      <c r="AB63" s="1"/>
      <c r="AC63" s="1"/>
    </row>
    <row r="64" spans="1:29" x14ac:dyDescent="0.2">
      <c r="A64" s="6" t="s">
        <v>84</v>
      </c>
      <c r="B64" s="6">
        <f>B15</f>
        <v>4900</v>
      </c>
      <c r="C64" s="9">
        <f t="shared" ref="C64:K64" si="36">C15/$K$15</f>
        <v>0.47542151724823956</v>
      </c>
      <c r="D64" s="9">
        <f t="shared" si="36"/>
        <v>5.6785030425942955E-2</v>
      </c>
      <c r="E64" s="9">
        <f t="shared" si="36"/>
        <v>8.7058346371978346E-2</v>
      </c>
      <c r="F64" s="9">
        <f t="shared" si="36"/>
        <v>4.8394662738190722E-2</v>
      </c>
      <c r="G64" s="9">
        <f t="shared" si="36"/>
        <v>0.1125459818301419</v>
      </c>
      <c r="H64" s="9">
        <f t="shared" si="36"/>
        <v>7.8715496545346805E-2</v>
      </c>
      <c r="I64" s="9">
        <f t="shared" si="36"/>
        <v>8.1200238771941338E-2</v>
      </c>
      <c r="J64" s="9">
        <f t="shared" si="36"/>
        <v>5.9878726068218431E-2</v>
      </c>
      <c r="K64" s="9">
        <f t="shared" si="36"/>
        <v>1</v>
      </c>
      <c r="N64" s="6"/>
      <c r="O64" s="6"/>
      <c r="P64" s="1"/>
      <c r="Q64" s="1"/>
      <c r="R64" s="1"/>
      <c r="S64" s="1"/>
      <c r="T64" s="1"/>
      <c r="U64" s="1"/>
      <c r="V64" s="1"/>
      <c r="W64" s="1"/>
      <c r="X64" s="1"/>
      <c r="Y64" s="1"/>
      <c r="Z64" s="1"/>
      <c r="AA64" s="1"/>
      <c r="AB64" s="1"/>
      <c r="AC64" s="1"/>
    </row>
    <row r="65" spans="1:29" x14ac:dyDescent="0.2">
      <c r="A65" s="6" t="s">
        <v>85</v>
      </c>
      <c r="B65" s="6">
        <f>B16</f>
        <v>1532</v>
      </c>
      <c r="C65" s="9">
        <f t="shared" ref="C65:K65" si="37">C16/$K$16</f>
        <v>0.48215022696862148</v>
      </c>
      <c r="D65" s="9">
        <f t="shared" si="37"/>
        <v>3.534282259157525E-2</v>
      </c>
      <c r="E65" s="9">
        <f t="shared" si="37"/>
        <v>0.11581799247165377</v>
      </c>
      <c r="F65" s="9">
        <f t="shared" si="37"/>
        <v>3.1876123054737061E-2</v>
      </c>
      <c r="G65" s="9">
        <f t="shared" si="37"/>
        <v>0.13159736115487236</v>
      </c>
      <c r="H65" s="9">
        <f t="shared" si="37"/>
        <v>7.7792437645036835E-2</v>
      </c>
      <c r="I65" s="9">
        <f t="shared" si="37"/>
        <v>9.7488598917084501E-2</v>
      </c>
      <c r="J65" s="9">
        <f t="shared" si="37"/>
        <v>2.7934437196418867E-2</v>
      </c>
      <c r="K65" s="9">
        <f t="shared" si="37"/>
        <v>1</v>
      </c>
      <c r="N65" s="6"/>
      <c r="O65" s="6"/>
      <c r="P65" s="1"/>
      <c r="Q65" s="1"/>
      <c r="R65" s="1"/>
      <c r="S65" s="1"/>
      <c r="T65" s="1"/>
      <c r="U65" s="1"/>
      <c r="V65" s="1"/>
      <c r="W65" s="1"/>
      <c r="X65" s="1"/>
      <c r="Y65" s="1"/>
      <c r="Z65" s="1"/>
      <c r="AA65" s="1"/>
      <c r="AB65" s="1"/>
      <c r="AC65" s="1"/>
    </row>
    <row r="66" spans="1:29" ht="13.5" thickBot="1" x14ac:dyDescent="0.25">
      <c r="A66" s="8" t="s">
        <v>220</v>
      </c>
      <c r="B66" s="8">
        <f>SUM(B61:B65)</f>
        <v>43751</v>
      </c>
      <c r="C66" s="11">
        <f>C17/$K$17</f>
        <v>0.50812716169758587</v>
      </c>
      <c r="D66" s="11">
        <f t="shared" ref="D66:K66" si="38">D17/$K$17</f>
        <v>7.5114263872989168E-2</v>
      </c>
      <c r="E66" s="11">
        <f t="shared" si="38"/>
        <v>6.0680725376665919E-2</v>
      </c>
      <c r="F66" s="11">
        <f t="shared" si="38"/>
        <v>5.6596302042361324E-2</v>
      </c>
      <c r="G66" s="11">
        <f t="shared" si="38"/>
        <v>0.10901662901223542</v>
      </c>
      <c r="H66" s="11">
        <f t="shared" si="38"/>
        <v>5.472788120141004E-2</v>
      </c>
      <c r="I66" s="11">
        <f t="shared" si="38"/>
        <v>8.3001139588398831E-2</v>
      </c>
      <c r="J66" s="11">
        <f t="shared" si="38"/>
        <v>5.2735897208353352E-2</v>
      </c>
      <c r="K66" s="11">
        <f t="shared" si="38"/>
        <v>1</v>
      </c>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N67" s="6"/>
      <c r="O67" s="6"/>
      <c r="P67" s="1"/>
      <c r="Q67" s="1"/>
      <c r="R67" s="1"/>
      <c r="S67" s="1"/>
      <c r="T67" s="1"/>
      <c r="U67" s="1"/>
      <c r="V67" s="1"/>
      <c r="W67" s="1"/>
      <c r="X67" s="1"/>
      <c r="Y67" s="1"/>
      <c r="Z67" s="1"/>
      <c r="AA67" s="1"/>
      <c r="AB67" s="1"/>
      <c r="AC67" s="1"/>
    </row>
    <row r="68" spans="1:29" x14ac:dyDescent="0.2">
      <c r="A68" s="6"/>
      <c r="C68" s="9"/>
      <c r="D68" s="9"/>
      <c r="E68" s="9"/>
      <c r="F68" s="9"/>
      <c r="G68" s="9"/>
      <c r="H68" s="9"/>
      <c r="I68" s="9"/>
      <c r="J68" s="9"/>
      <c r="K68" s="9"/>
      <c r="N68" s="6"/>
      <c r="O68" s="6"/>
      <c r="P68" s="1"/>
      <c r="Q68" s="1"/>
      <c r="R68" s="1"/>
      <c r="S68" s="1"/>
      <c r="T68" s="1"/>
      <c r="U68" s="1"/>
      <c r="V68" s="1"/>
      <c r="W68" s="1"/>
      <c r="X68" s="1"/>
      <c r="Y68" s="1"/>
      <c r="Z68" s="1"/>
      <c r="AA68" s="1"/>
      <c r="AB68" s="1"/>
      <c r="AC68" s="1"/>
    </row>
    <row r="69" spans="1:29" x14ac:dyDescent="0.2">
      <c r="A69" s="6" t="s">
        <v>86</v>
      </c>
      <c r="B69" s="6">
        <f>B19</f>
        <v>12215</v>
      </c>
      <c r="C69" s="9">
        <f>C19/$K$19</f>
        <v>0.55679306249105698</v>
      </c>
      <c r="D69" s="9">
        <f t="shared" ref="D69:K69" si="39">D19/$K$19</f>
        <v>6.1629685547692228E-2</v>
      </c>
      <c r="E69" s="9">
        <f t="shared" si="39"/>
        <v>4.6119338333551495E-2</v>
      </c>
      <c r="F69" s="9">
        <f t="shared" si="39"/>
        <v>6.1263095859776434E-2</v>
      </c>
      <c r="G69" s="9">
        <f t="shared" si="39"/>
        <v>9.0922043103897204E-2</v>
      </c>
      <c r="H69" s="9">
        <f t="shared" si="39"/>
        <v>5.1295911786159359E-2</v>
      </c>
      <c r="I69" s="9">
        <f t="shared" si="39"/>
        <v>6.4751508721541354E-2</v>
      </c>
      <c r="J69" s="9">
        <f t="shared" si="39"/>
        <v>6.7225354156324926E-2</v>
      </c>
      <c r="K69" s="9">
        <f t="shared" si="39"/>
        <v>1</v>
      </c>
      <c r="N69" s="6"/>
      <c r="O69" s="6"/>
      <c r="P69" s="1"/>
      <c r="Q69" s="1"/>
      <c r="R69" s="1"/>
      <c r="S69" s="1"/>
      <c r="T69" s="1"/>
      <c r="U69" s="1"/>
      <c r="V69" s="1"/>
      <c r="W69" s="1"/>
      <c r="X69" s="1"/>
      <c r="Y69" s="1"/>
      <c r="Z69" s="1"/>
      <c r="AA69" s="1"/>
      <c r="AB69" s="1"/>
      <c r="AC69" s="1"/>
    </row>
    <row r="70" spans="1:29" x14ac:dyDescent="0.2">
      <c r="A70" s="6" t="s">
        <v>87</v>
      </c>
      <c r="B70" s="6">
        <f>B20</f>
        <v>6257</v>
      </c>
      <c r="C70" s="9">
        <f>C20/$K$20</f>
        <v>0.52519933002659658</v>
      </c>
      <c r="D70" s="9">
        <f t="shared" ref="D70:K70" si="40">D20/$K$20</f>
        <v>3.7508843545365489E-2</v>
      </c>
      <c r="E70" s="9">
        <f t="shared" si="40"/>
        <v>9.8456177961080985E-2</v>
      </c>
      <c r="F70" s="9">
        <f t="shared" si="40"/>
        <v>2.9663752591394553E-2</v>
      </c>
      <c r="G70" s="9">
        <f t="shared" si="40"/>
        <v>0.11377501505855102</v>
      </c>
      <c r="H70" s="9">
        <f t="shared" si="40"/>
        <v>6.9208138713172537E-2</v>
      </c>
      <c r="I70" s="9">
        <f t="shared" si="40"/>
        <v>8.5269711256022576E-2</v>
      </c>
      <c r="J70" s="9">
        <f t="shared" si="40"/>
        <v>4.0919030847816305E-2</v>
      </c>
      <c r="K70" s="9">
        <f t="shared" si="40"/>
        <v>1</v>
      </c>
      <c r="N70" s="6"/>
      <c r="O70" s="6"/>
      <c r="P70" s="1"/>
      <c r="Q70" s="1"/>
      <c r="R70" s="1"/>
      <c r="S70" s="1"/>
      <c r="T70" s="1"/>
      <c r="U70" s="1"/>
      <c r="V70" s="1"/>
      <c r="W70" s="1"/>
      <c r="X70" s="1"/>
      <c r="Y70" s="1"/>
      <c r="Z70" s="1"/>
      <c r="AA70" s="1"/>
      <c r="AB70" s="1"/>
      <c r="AC70" s="1"/>
    </row>
    <row r="71" spans="1:29" ht="13.5" thickBot="1" x14ac:dyDescent="0.25">
      <c r="A71" s="8" t="s">
        <v>221</v>
      </c>
      <c r="B71" s="8">
        <f>SUM(B69:B70)</f>
        <v>18472</v>
      </c>
      <c r="C71" s="11">
        <f>C21/$K$21</f>
        <v>0.54323756973005888</v>
      </c>
      <c r="D71" s="11">
        <f t="shared" ref="D71:K71" si="41">D21/$K$21</f>
        <v>5.1280484182531394E-2</v>
      </c>
      <c r="E71" s="11">
        <f t="shared" si="41"/>
        <v>6.8574793747138804E-2</v>
      </c>
      <c r="F71" s="11">
        <f t="shared" si="41"/>
        <v>4.7705195747509296E-2</v>
      </c>
      <c r="G71" s="11">
        <f t="shared" si="41"/>
        <v>0.10072725672489234</v>
      </c>
      <c r="H71" s="11">
        <f t="shared" si="41"/>
        <v>5.8981267187444023E-2</v>
      </c>
      <c r="I71" s="11">
        <f t="shared" si="41"/>
        <v>7.3554974606356502E-2</v>
      </c>
      <c r="J71" s="11">
        <f t="shared" si="41"/>
        <v>5.5938458074068838E-2</v>
      </c>
      <c r="K71" s="11">
        <f t="shared" si="41"/>
        <v>1</v>
      </c>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N72" s="6"/>
      <c r="O72" s="6"/>
      <c r="P72" s="1"/>
      <c r="Q72" s="1"/>
      <c r="R72" s="1"/>
      <c r="S72" s="1"/>
      <c r="T72" s="1"/>
      <c r="U72" s="1"/>
      <c r="V72" s="1"/>
      <c r="W72" s="1"/>
      <c r="X72" s="1"/>
      <c r="Y72" s="1"/>
      <c r="Z72" s="1"/>
      <c r="AA72" s="1"/>
      <c r="AB72" s="1"/>
      <c r="AC72" s="1"/>
    </row>
    <row r="73" spans="1:29" ht="13.5" thickBot="1" x14ac:dyDescent="0.25">
      <c r="A73" s="126" t="s">
        <v>222</v>
      </c>
      <c r="B73" s="126">
        <f>B58+B66+B71</f>
        <v>151511</v>
      </c>
      <c r="C73" s="127">
        <f>C23/$K$23</f>
        <v>0.55084555386425571</v>
      </c>
      <c r="D73" s="127">
        <f t="shared" ref="D73:K73" si="42">D23/$K$23</f>
        <v>7.7201527585871274E-2</v>
      </c>
      <c r="E73" s="127">
        <f t="shared" si="42"/>
        <v>5.6839066061198519E-2</v>
      </c>
      <c r="F73" s="127">
        <f t="shared" si="42"/>
        <v>5.2827492103499532E-2</v>
      </c>
      <c r="G73" s="127">
        <f t="shared" si="42"/>
        <v>0.10002258566123993</v>
      </c>
      <c r="H73" s="127">
        <f t="shared" si="42"/>
        <v>4.9127770164245771E-2</v>
      </c>
      <c r="I73" s="127">
        <f t="shared" si="42"/>
        <v>6.1715811415128441E-2</v>
      </c>
      <c r="J73" s="127">
        <f t="shared" si="42"/>
        <v>5.1420193144560873E-2</v>
      </c>
      <c r="K73" s="127">
        <f t="shared" si="42"/>
        <v>1</v>
      </c>
      <c r="N73" s="6"/>
      <c r="O73" s="6"/>
      <c r="P73" s="1"/>
      <c r="Q73" s="1"/>
      <c r="R73" s="1"/>
      <c r="S73" s="1"/>
      <c r="T73" s="1"/>
      <c r="U73" s="1"/>
      <c r="V73" s="1"/>
      <c r="W73" s="1"/>
      <c r="X73" s="1"/>
      <c r="Y73" s="1"/>
      <c r="Z73" s="1"/>
      <c r="AA73" s="1"/>
      <c r="AB73" s="1"/>
      <c r="AC73" s="1"/>
    </row>
    <row r="74" spans="1:29" x14ac:dyDescent="0.2">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7"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48"/>
  <dimension ref="A1:AC194"/>
  <sheetViews>
    <sheetView workbookViewId="0">
      <selection activeCell="C32" sqref="C32"/>
    </sheetView>
  </sheetViews>
  <sheetFormatPr defaultRowHeight="12.75" x14ac:dyDescent="0.2"/>
  <cols>
    <col min="1" max="1" width="17" customWidth="1"/>
    <col min="2" max="2" width="9.140625" style="122"/>
    <col min="3" max="3" width="9.42578125" style="122" customWidth="1"/>
    <col min="4" max="6" width="9.140625" style="122"/>
    <col min="7" max="7" width="9.5703125" style="122" bestFit="1" customWidth="1"/>
    <col min="8" max="10" width="9.140625" style="122"/>
    <col min="11" max="11" width="10.85546875" style="122" bestFit="1" customWidth="1"/>
    <col min="12" max="15" width="9.140625" style="122"/>
  </cols>
  <sheetData>
    <row r="1" spans="1:29" x14ac:dyDescent="0.2">
      <c r="A1" s="36"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2" t="s">
        <v>397</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55" t="s">
        <v>245</v>
      </c>
      <c r="B3" s="141" t="s">
        <v>408</v>
      </c>
      <c r="C3" s="141" t="s">
        <v>94</v>
      </c>
      <c r="D3" s="141" t="s">
        <v>95</v>
      </c>
      <c r="E3" s="141" t="s">
        <v>96</v>
      </c>
      <c r="F3" s="141" t="s">
        <v>97</v>
      </c>
      <c r="G3" s="141" t="s">
        <v>98</v>
      </c>
      <c r="H3" s="141" t="s">
        <v>99</v>
      </c>
      <c r="I3" s="141" t="s">
        <v>93</v>
      </c>
      <c r="J3" s="141" t="s">
        <v>115</v>
      </c>
      <c r="K3" s="141" t="s">
        <v>113</v>
      </c>
      <c r="L3" s="141" t="s">
        <v>451</v>
      </c>
      <c r="M3" s="6"/>
      <c r="N3" s="6"/>
      <c r="O3" s="6"/>
      <c r="P3" s="1"/>
      <c r="Q3" s="1"/>
      <c r="R3" s="1"/>
      <c r="S3" s="1"/>
      <c r="T3" s="1"/>
      <c r="U3" s="1"/>
      <c r="V3" s="1"/>
      <c r="W3" s="1"/>
      <c r="X3" s="1"/>
      <c r="Y3" s="1"/>
      <c r="Z3" s="1"/>
      <c r="AA3" s="1"/>
      <c r="AB3" s="1"/>
      <c r="AC3" s="1"/>
    </row>
    <row r="4" spans="1:29" x14ac:dyDescent="0.2">
      <c r="A4" s="1" t="s">
        <v>102</v>
      </c>
      <c r="B4" s="6">
        <v>34874</v>
      </c>
      <c r="C4" s="6">
        <v>125767661.48</v>
      </c>
      <c r="D4" s="6">
        <v>23002065.100000001</v>
      </c>
      <c r="E4" s="6">
        <v>6191906.7400000002</v>
      </c>
      <c r="F4" s="6">
        <v>11796239.949999999</v>
      </c>
      <c r="G4" s="6">
        <v>20156186.52</v>
      </c>
      <c r="H4" s="6">
        <v>8103475.8899999997</v>
      </c>
      <c r="I4" s="6">
        <v>7714954.6900000004</v>
      </c>
      <c r="J4" s="6">
        <v>7433976.4299999997</v>
      </c>
      <c r="K4" s="6">
        <f>SUM(C4:J4)</f>
        <v>210166466.80000001</v>
      </c>
      <c r="L4" s="6">
        <f>K4/B4</f>
        <v>6026.4514193955383</v>
      </c>
      <c r="M4" s="6"/>
      <c r="N4" s="6"/>
      <c r="O4" s="6"/>
      <c r="P4" s="1"/>
      <c r="Q4" s="1"/>
      <c r="R4" s="1"/>
      <c r="S4" s="1"/>
      <c r="T4" s="1"/>
      <c r="U4" s="1"/>
      <c r="V4" s="1"/>
      <c r="W4" s="1"/>
      <c r="X4" s="1"/>
      <c r="Y4" s="1"/>
      <c r="Z4" s="1"/>
      <c r="AA4" s="1"/>
      <c r="AB4" s="1"/>
      <c r="AC4" s="1"/>
    </row>
    <row r="5" spans="1:29" x14ac:dyDescent="0.2">
      <c r="A5" s="1" t="s">
        <v>76</v>
      </c>
      <c r="B5" s="6">
        <v>22782</v>
      </c>
      <c r="C5" s="6">
        <v>84810738.140000001</v>
      </c>
      <c r="D5" s="6">
        <v>14926002.5</v>
      </c>
      <c r="E5" s="6">
        <v>6226693.2000000002</v>
      </c>
      <c r="F5" s="6">
        <v>8957921.2899999991</v>
      </c>
      <c r="G5" s="6">
        <v>14286931.84</v>
      </c>
      <c r="H5" s="6">
        <v>6128925.3700000001</v>
      </c>
      <c r="I5" s="6">
        <v>6683327.9699999997</v>
      </c>
      <c r="J5" s="6">
        <v>12953975.859999999</v>
      </c>
      <c r="K5" s="6">
        <f t="shared" ref="K5:K20" si="0">SUM(C5:J5)</f>
        <v>154974516.17000002</v>
      </c>
      <c r="L5" s="6">
        <f t="shared" ref="L5:L23" si="1">K5/B5</f>
        <v>6802.4982955842343</v>
      </c>
      <c r="M5" s="6"/>
      <c r="N5" s="6"/>
      <c r="O5" s="6"/>
      <c r="P5" s="1"/>
      <c r="Q5" s="1"/>
      <c r="R5" s="1"/>
      <c r="S5" s="1"/>
      <c r="T5" s="1"/>
      <c r="U5" s="1"/>
      <c r="V5" s="1"/>
      <c r="W5" s="1"/>
      <c r="X5" s="1"/>
      <c r="Y5" s="1"/>
      <c r="Z5" s="1"/>
      <c r="AA5" s="1"/>
      <c r="AB5" s="1"/>
      <c r="AC5" s="1"/>
    </row>
    <row r="6" spans="1:29" x14ac:dyDescent="0.2">
      <c r="A6" s="1" t="s">
        <v>77</v>
      </c>
      <c r="B6" s="6">
        <v>12060</v>
      </c>
      <c r="C6" s="6">
        <v>49996938.359999999</v>
      </c>
      <c r="D6" s="6">
        <v>7389436.1100000003</v>
      </c>
      <c r="E6" s="6">
        <v>4406844.6900000004</v>
      </c>
      <c r="F6" s="6">
        <v>4814031.62</v>
      </c>
      <c r="G6" s="6">
        <v>8057938.7599999998</v>
      </c>
      <c r="H6" s="6">
        <v>3692599.62</v>
      </c>
      <c r="I6" s="6">
        <v>4725530.67</v>
      </c>
      <c r="J6" s="6">
        <v>4557694.22</v>
      </c>
      <c r="K6" s="6">
        <f t="shared" si="0"/>
        <v>87641014.049999997</v>
      </c>
      <c r="L6" s="6">
        <f t="shared" si="1"/>
        <v>7267.0824253731344</v>
      </c>
      <c r="M6" s="6"/>
      <c r="N6" s="6"/>
      <c r="O6" s="6"/>
      <c r="P6" s="1"/>
      <c r="Q6" s="1"/>
      <c r="R6" s="1"/>
      <c r="S6" s="1"/>
      <c r="T6" s="1"/>
      <c r="U6" s="1"/>
      <c r="V6" s="1"/>
      <c r="W6" s="1"/>
      <c r="X6" s="1"/>
      <c r="Y6" s="1"/>
      <c r="Z6" s="1"/>
      <c r="AA6" s="1"/>
      <c r="AB6" s="1"/>
      <c r="AC6" s="1"/>
    </row>
    <row r="7" spans="1:29" x14ac:dyDescent="0.2">
      <c r="A7" s="1" t="s">
        <v>78</v>
      </c>
      <c r="B7" s="6">
        <v>13847</v>
      </c>
      <c r="C7" s="6">
        <v>54244770.899999999</v>
      </c>
      <c r="D7" s="6">
        <v>5066925.03</v>
      </c>
      <c r="E7" s="6">
        <v>6887385.4000000004</v>
      </c>
      <c r="F7" s="6">
        <v>4104962.51</v>
      </c>
      <c r="G7" s="6">
        <v>8720735.5</v>
      </c>
      <c r="H7" s="6">
        <v>4548259.97</v>
      </c>
      <c r="I7" s="6">
        <v>6184338.1799999997</v>
      </c>
      <c r="J7" s="6">
        <v>5100088.87</v>
      </c>
      <c r="K7" s="6">
        <f t="shared" si="0"/>
        <v>94857466.360000014</v>
      </c>
      <c r="L7" s="6">
        <f t="shared" si="1"/>
        <v>6850.3983794323694</v>
      </c>
      <c r="M7" s="6"/>
      <c r="N7" s="6"/>
      <c r="O7" s="6"/>
      <c r="P7" s="1"/>
      <c r="Q7" s="1"/>
      <c r="R7" s="1"/>
      <c r="S7" s="1"/>
      <c r="T7" s="1"/>
      <c r="U7" s="1"/>
      <c r="V7" s="1"/>
      <c r="W7" s="1"/>
      <c r="X7" s="1"/>
      <c r="Y7" s="1"/>
      <c r="Z7" s="1"/>
      <c r="AA7" s="1"/>
      <c r="AB7" s="1"/>
      <c r="AC7" s="1"/>
    </row>
    <row r="8" spans="1:29" x14ac:dyDescent="0.2">
      <c r="A8" s="1" t="s">
        <v>79</v>
      </c>
      <c r="B8" s="6">
        <v>6286</v>
      </c>
      <c r="C8" s="6">
        <v>28088071.719999999</v>
      </c>
      <c r="D8" s="6">
        <v>1710768.96</v>
      </c>
      <c r="E8" s="6">
        <v>4551779</v>
      </c>
      <c r="F8" s="6">
        <v>1871463.95</v>
      </c>
      <c r="G8" s="6">
        <v>5420392.1500000004</v>
      </c>
      <c r="H8" s="6">
        <v>3670652.27</v>
      </c>
      <c r="I8" s="6">
        <v>3424654.45</v>
      </c>
      <c r="J8" s="6">
        <v>2550542.02</v>
      </c>
      <c r="K8" s="6">
        <f t="shared" si="0"/>
        <v>51288324.520000011</v>
      </c>
      <c r="L8" s="6">
        <f t="shared" si="1"/>
        <v>8159.1353038498264</v>
      </c>
      <c r="M8" s="6"/>
      <c r="N8" s="6"/>
      <c r="O8" s="6"/>
      <c r="P8" s="1"/>
      <c r="Q8" s="1"/>
      <c r="R8" s="1"/>
      <c r="S8" s="1"/>
      <c r="T8" s="1"/>
      <c r="U8" s="1"/>
      <c r="V8" s="1"/>
      <c r="W8" s="1"/>
      <c r="X8" s="1"/>
      <c r="Y8" s="1"/>
      <c r="Z8" s="1"/>
      <c r="AA8" s="1"/>
      <c r="AB8" s="1"/>
      <c r="AC8" s="1"/>
    </row>
    <row r="9" spans="1:29" x14ac:dyDescent="0.2">
      <c r="A9" s="1" t="s">
        <v>80</v>
      </c>
      <c r="B9" s="6">
        <v>1492</v>
      </c>
      <c r="C9" s="6">
        <v>6089606.4400000004</v>
      </c>
      <c r="D9" s="6">
        <v>209404.15</v>
      </c>
      <c r="E9" s="6">
        <v>941878.71</v>
      </c>
      <c r="F9" s="6">
        <v>86104.87</v>
      </c>
      <c r="G9" s="6">
        <v>1329043.52</v>
      </c>
      <c r="H9" s="6">
        <v>884150.28</v>
      </c>
      <c r="I9" s="6">
        <v>267709.15999999997</v>
      </c>
      <c r="J9" s="6">
        <v>252790.39</v>
      </c>
      <c r="K9" s="6">
        <f t="shared" si="0"/>
        <v>10060687.520000001</v>
      </c>
      <c r="L9" s="6">
        <f t="shared" si="1"/>
        <v>6743.0881501340491</v>
      </c>
      <c r="M9" s="6"/>
      <c r="N9" s="6"/>
      <c r="O9" s="6"/>
      <c r="P9" s="1"/>
      <c r="Q9" s="1"/>
      <c r="R9" s="1"/>
      <c r="S9" s="1"/>
      <c r="T9" s="1"/>
      <c r="U9" s="1"/>
      <c r="V9" s="1"/>
      <c r="W9" s="1"/>
      <c r="X9" s="1"/>
      <c r="Y9" s="1"/>
      <c r="Z9" s="1"/>
      <c r="AA9" s="1"/>
      <c r="AB9" s="1"/>
      <c r="AC9" s="1"/>
    </row>
    <row r="10" spans="1:29" ht="13.5" thickBot="1" x14ac:dyDescent="0.25">
      <c r="A10" s="8" t="s">
        <v>103</v>
      </c>
      <c r="B10" s="8">
        <f>SUM(B4:B9)</f>
        <v>91341</v>
      </c>
      <c r="C10" s="8">
        <f t="shared" ref="C10:K10" si="2">SUM(C4:C9)</f>
        <v>348997787.04000002</v>
      </c>
      <c r="D10" s="8">
        <f t="shared" si="2"/>
        <v>52304601.850000001</v>
      </c>
      <c r="E10" s="8">
        <f t="shared" si="2"/>
        <v>29206487.740000002</v>
      </c>
      <c r="F10" s="8">
        <f t="shared" si="2"/>
        <v>31630724.189999998</v>
      </c>
      <c r="G10" s="8">
        <f t="shared" si="2"/>
        <v>57971228.289999999</v>
      </c>
      <c r="H10" s="8">
        <f t="shared" si="2"/>
        <v>27028063.399999999</v>
      </c>
      <c r="I10" s="8">
        <f t="shared" si="2"/>
        <v>29000515.119999997</v>
      </c>
      <c r="J10" s="8">
        <f t="shared" si="2"/>
        <v>32849067.789999999</v>
      </c>
      <c r="K10" s="8">
        <f t="shared" si="2"/>
        <v>608988475.42000008</v>
      </c>
      <c r="L10" s="8">
        <f t="shared" si="1"/>
        <v>6667.1973748918899</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6">
        <v>22879</v>
      </c>
      <c r="C12" s="6">
        <v>87184923.540000007</v>
      </c>
      <c r="D12" s="6">
        <v>14125039.01</v>
      </c>
      <c r="E12" s="6">
        <v>6568783.4800000004</v>
      </c>
      <c r="F12" s="6">
        <v>7828808.5899999999</v>
      </c>
      <c r="G12" s="6">
        <v>15197311.24</v>
      </c>
      <c r="H12" s="6">
        <v>5430502.04</v>
      </c>
      <c r="I12" s="6">
        <v>11801695.49</v>
      </c>
      <c r="J12" s="6">
        <v>10034706.93</v>
      </c>
      <c r="K12" s="6">
        <f t="shared" si="0"/>
        <v>158171770.32000002</v>
      </c>
      <c r="L12" s="6">
        <f t="shared" si="1"/>
        <v>6913.4040089164746</v>
      </c>
      <c r="M12" s="6"/>
      <c r="N12" s="6"/>
      <c r="O12" s="6"/>
      <c r="P12" s="1"/>
      <c r="Q12" s="1"/>
      <c r="R12" s="1"/>
      <c r="S12" s="1"/>
      <c r="T12" s="1"/>
      <c r="U12" s="1"/>
      <c r="V12" s="1"/>
      <c r="W12" s="1"/>
      <c r="X12" s="1"/>
      <c r="Y12" s="1"/>
      <c r="Z12" s="1"/>
      <c r="AA12" s="1"/>
      <c r="AB12" s="1"/>
      <c r="AC12" s="1"/>
    </row>
    <row r="13" spans="1:29" x14ac:dyDescent="0.2">
      <c r="A13" s="1" t="s">
        <v>82</v>
      </c>
      <c r="B13" s="6">
        <v>9866</v>
      </c>
      <c r="C13" s="6">
        <v>35204757.280000001</v>
      </c>
      <c r="D13" s="6">
        <v>5305836.25</v>
      </c>
      <c r="E13" s="6">
        <v>3365260.01</v>
      </c>
      <c r="F13" s="6">
        <v>5082565.12</v>
      </c>
      <c r="G13" s="6">
        <v>7997368.3600000003</v>
      </c>
      <c r="H13" s="6">
        <v>4215776.3899999997</v>
      </c>
      <c r="I13" s="6">
        <v>6595604.75</v>
      </c>
      <c r="J13" s="6">
        <v>2213755.23</v>
      </c>
      <c r="K13" s="6">
        <f t="shared" si="0"/>
        <v>69980923.390000001</v>
      </c>
      <c r="L13" s="6">
        <f t="shared" si="1"/>
        <v>7093.1404206365296</v>
      </c>
      <c r="M13" s="6"/>
      <c r="N13" s="6"/>
      <c r="O13" s="6"/>
      <c r="P13" s="1"/>
      <c r="Q13" s="1"/>
      <c r="R13" s="1"/>
      <c r="S13" s="1"/>
      <c r="T13" s="1"/>
      <c r="U13" s="1"/>
      <c r="V13" s="1"/>
      <c r="W13" s="1"/>
      <c r="X13" s="1"/>
      <c r="Y13" s="1"/>
      <c r="Z13" s="1"/>
      <c r="AA13" s="1"/>
      <c r="AB13" s="1"/>
      <c r="AC13" s="1"/>
    </row>
    <row r="14" spans="1:29" x14ac:dyDescent="0.2">
      <c r="A14" s="1" t="s">
        <v>83</v>
      </c>
      <c r="B14" s="6">
        <v>4940</v>
      </c>
      <c r="C14" s="6">
        <v>20267618.859999999</v>
      </c>
      <c r="D14" s="6">
        <v>2517727.4500000002</v>
      </c>
      <c r="E14" s="6">
        <v>2510724.0299999998</v>
      </c>
      <c r="F14" s="6">
        <v>2253831.6800000002</v>
      </c>
      <c r="G14" s="6">
        <v>4739523.9400000004</v>
      </c>
      <c r="H14" s="6">
        <v>2595860.62</v>
      </c>
      <c r="I14" s="6">
        <v>4024353.63</v>
      </c>
      <c r="J14" s="6">
        <v>2101622.56</v>
      </c>
      <c r="K14" s="6">
        <f t="shared" si="0"/>
        <v>41011262.770000003</v>
      </c>
      <c r="L14" s="6">
        <f t="shared" si="1"/>
        <v>8301.8750546558713</v>
      </c>
      <c r="M14" s="6"/>
      <c r="N14" s="6"/>
      <c r="O14" s="6"/>
      <c r="P14" s="1"/>
      <c r="Q14" s="1"/>
      <c r="R14" s="1"/>
      <c r="S14" s="1"/>
      <c r="T14" s="1"/>
      <c r="U14" s="1"/>
      <c r="V14" s="1"/>
      <c r="W14" s="1"/>
      <c r="X14" s="1"/>
      <c r="Y14" s="1"/>
      <c r="Z14" s="1"/>
      <c r="AA14" s="1"/>
      <c r="AB14" s="1"/>
      <c r="AC14" s="1"/>
    </row>
    <row r="15" spans="1:29" x14ac:dyDescent="0.2">
      <c r="A15" s="1" t="s">
        <v>84</v>
      </c>
      <c r="B15" s="6">
        <v>5024</v>
      </c>
      <c r="C15" s="6">
        <v>24748642.649999999</v>
      </c>
      <c r="D15" s="6">
        <v>2851159.91</v>
      </c>
      <c r="E15" s="6">
        <v>4449937.87</v>
      </c>
      <c r="F15" s="6">
        <v>2574931.38</v>
      </c>
      <c r="G15" s="6">
        <v>5622649.8600000003</v>
      </c>
      <c r="H15" s="6">
        <v>4101005.93</v>
      </c>
      <c r="I15" s="6">
        <v>4647318.5</v>
      </c>
      <c r="J15" s="6">
        <v>1872364.35</v>
      </c>
      <c r="K15" s="6">
        <f t="shared" si="0"/>
        <v>50868010.450000003</v>
      </c>
      <c r="L15" s="6">
        <f t="shared" si="1"/>
        <v>10125.002080015924</v>
      </c>
      <c r="M15" s="6"/>
      <c r="N15" s="6"/>
      <c r="O15" s="6"/>
      <c r="P15" s="1"/>
      <c r="Q15" s="1"/>
      <c r="R15" s="1"/>
      <c r="S15" s="1"/>
      <c r="T15" s="1"/>
      <c r="U15" s="1"/>
      <c r="V15" s="1"/>
      <c r="W15" s="1"/>
      <c r="X15" s="1"/>
      <c r="Y15" s="1"/>
      <c r="Z15" s="1"/>
      <c r="AA15" s="1"/>
      <c r="AB15" s="1"/>
      <c r="AC15" s="1"/>
    </row>
    <row r="16" spans="1:29" x14ac:dyDescent="0.2">
      <c r="A16" s="1" t="s">
        <v>85</v>
      </c>
      <c r="B16" s="6">
        <v>1460</v>
      </c>
      <c r="C16" s="6">
        <v>9106638.8100000005</v>
      </c>
      <c r="D16" s="6">
        <v>598552.14</v>
      </c>
      <c r="E16" s="6">
        <v>2350028.52</v>
      </c>
      <c r="F16" s="6">
        <v>525978.07999999996</v>
      </c>
      <c r="G16" s="6">
        <v>2551496.9500000002</v>
      </c>
      <c r="H16" s="6">
        <v>1544668.58</v>
      </c>
      <c r="I16" s="6">
        <v>1702831.46</v>
      </c>
      <c r="J16" s="6">
        <v>726982.89</v>
      </c>
      <c r="K16" s="6">
        <f t="shared" si="0"/>
        <v>19107177.43</v>
      </c>
      <c r="L16" s="6">
        <f t="shared" si="1"/>
        <v>13087.107828767123</v>
      </c>
      <c r="M16" s="6"/>
      <c r="N16" s="6"/>
      <c r="O16" s="6"/>
      <c r="P16" s="1"/>
      <c r="Q16" s="1"/>
      <c r="R16" s="1"/>
      <c r="S16" s="1"/>
      <c r="T16" s="1"/>
      <c r="U16" s="1"/>
      <c r="V16" s="1"/>
      <c r="W16" s="1"/>
      <c r="X16" s="1"/>
      <c r="Y16" s="1"/>
      <c r="Z16" s="1"/>
      <c r="AA16" s="1"/>
      <c r="AB16" s="1"/>
      <c r="AC16" s="1"/>
    </row>
    <row r="17" spans="1:29" ht="13.5" thickBot="1" x14ac:dyDescent="0.25">
      <c r="A17" s="8" t="s">
        <v>104</v>
      </c>
      <c r="B17" s="8">
        <f>SUM(B12:B16)</f>
        <v>44169</v>
      </c>
      <c r="C17" s="8">
        <f t="shared" ref="C17:K17" si="3">SUM(C12:C16)</f>
        <v>176512581.14000002</v>
      </c>
      <c r="D17" s="8">
        <f t="shared" si="3"/>
        <v>25398314.759999998</v>
      </c>
      <c r="E17" s="8">
        <f t="shared" si="3"/>
        <v>19244733.91</v>
      </c>
      <c r="F17" s="8">
        <f t="shared" si="3"/>
        <v>18266114.849999998</v>
      </c>
      <c r="G17" s="8">
        <f t="shared" si="3"/>
        <v>36108350.350000009</v>
      </c>
      <c r="H17" s="8">
        <f t="shared" si="3"/>
        <v>17887813.560000002</v>
      </c>
      <c r="I17" s="8">
        <f t="shared" si="3"/>
        <v>28771803.830000002</v>
      </c>
      <c r="J17" s="8">
        <f t="shared" si="3"/>
        <v>16949431.960000001</v>
      </c>
      <c r="K17" s="8">
        <f t="shared" si="3"/>
        <v>339139144.36000001</v>
      </c>
      <c r="L17" s="8">
        <f t="shared" si="1"/>
        <v>7678.2164948266891</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6">
        <v>12059</v>
      </c>
      <c r="C19" s="6">
        <v>44413359.850000001</v>
      </c>
      <c r="D19" s="6">
        <v>4868358.28</v>
      </c>
      <c r="E19" s="6">
        <v>3526595.76</v>
      </c>
      <c r="F19" s="6">
        <v>4605737.0999999996</v>
      </c>
      <c r="G19" s="6">
        <v>7542892.1799999997</v>
      </c>
      <c r="H19" s="6">
        <v>4413592.16</v>
      </c>
      <c r="I19" s="6">
        <v>5168450.03</v>
      </c>
      <c r="J19" s="6">
        <v>5105246.91</v>
      </c>
      <c r="K19" s="6">
        <f t="shared" si="0"/>
        <v>79644232.269999996</v>
      </c>
      <c r="L19" s="6">
        <f t="shared" si="1"/>
        <v>6604.5469997512228</v>
      </c>
      <c r="M19" s="6"/>
      <c r="N19" s="6"/>
      <c r="O19" s="6"/>
      <c r="P19" s="1"/>
      <c r="Q19" s="1"/>
      <c r="R19" s="1"/>
      <c r="S19" s="1"/>
      <c r="T19" s="1"/>
      <c r="U19" s="1"/>
      <c r="V19" s="1"/>
      <c r="W19" s="1"/>
      <c r="X19" s="1"/>
      <c r="Y19" s="1"/>
      <c r="Z19" s="1"/>
      <c r="AA19" s="1"/>
      <c r="AB19" s="1"/>
      <c r="AC19" s="1"/>
    </row>
    <row r="20" spans="1:29" x14ac:dyDescent="0.2">
      <c r="A20" s="1" t="s">
        <v>87</v>
      </c>
      <c r="B20" s="6">
        <v>6890</v>
      </c>
      <c r="C20" s="6">
        <v>34347989.210000001</v>
      </c>
      <c r="D20" s="6">
        <v>2716341.69</v>
      </c>
      <c r="E20" s="6">
        <v>6163463.0599999996</v>
      </c>
      <c r="F20" s="6">
        <v>1962712.22</v>
      </c>
      <c r="G20" s="6">
        <v>6996065.6600000001</v>
      </c>
      <c r="H20" s="6">
        <v>4642249.1100000003</v>
      </c>
      <c r="I20" s="6">
        <v>5470613.8799999999</v>
      </c>
      <c r="J20" s="6">
        <v>5485320.2999999998</v>
      </c>
      <c r="K20" s="6">
        <f t="shared" si="0"/>
        <v>67784755.13000001</v>
      </c>
      <c r="L20" s="6">
        <f t="shared" si="1"/>
        <v>9838.1357227866483</v>
      </c>
      <c r="M20" s="6"/>
      <c r="N20" s="6"/>
      <c r="O20" s="6"/>
      <c r="P20" s="1"/>
      <c r="Q20" s="1"/>
      <c r="R20" s="1"/>
      <c r="S20" s="1"/>
      <c r="T20" s="1"/>
      <c r="U20" s="1"/>
      <c r="V20" s="1"/>
      <c r="W20" s="1"/>
      <c r="X20" s="1"/>
      <c r="Y20" s="1"/>
      <c r="Z20" s="1"/>
      <c r="AA20" s="1"/>
      <c r="AB20" s="1"/>
      <c r="AC20" s="1"/>
    </row>
    <row r="21" spans="1:29" ht="13.5" thickBot="1" x14ac:dyDescent="0.25">
      <c r="A21" s="8" t="s">
        <v>105</v>
      </c>
      <c r="B21" s="8">
        <f>SUM(B19:B20)</f>
        <v>18949</v>
      </c>
      <c r="C21" s="8">
        <f t="shared" ref="C21:K21" si="4">SUM(C19:C20)</f>
        <v>78761349.060000002</v>
      </c>
      <c r="D21" s="8">
        <f t="shared" si="4"/>
        <v>7584699.9700000007</v>
      </c>
      <c r="E21" s="8">
        <f t="shared" si="4"/>
        <v>9690058.8200000003</v>
      </c>
      <c r="F21" s="8">
        <f t="shared" si="4"/>
        <v>6568449.3199999994</v>
      </c>
      <c r="G21" s="8">
        <f t="shared" si="4"/>
        <v>14538957.84</v>
      </c>
      <c r="H21" s="8">
        <f t="shared" si="4"/>
        <v>9055841.2699999996</v>
      </c>
      <c r="I21" s="8">
        <f t="shared" si="4"/>
        <v>10639063.91</v>
      </c>
      <c r="J21" s="8">
        <f t="shared" si="4"/>
        <v>10590567.210000001</v>
      </c>
      <c r="K21" s="8">
        <f t="shared" si="4"/>
        <v>147428987.40000001</v>
      </c>
      <c r="L21" s="8">
        <f t="shared" si="1"/>
        <v>7780.3043643464034</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26" t="s">
        <v>209</v>
      </c>
      <c r="B23" s="126">
        <f>B10+B17+B21</f>
        <v>154459</v>
      </c>
      <c r="C23" s="126">
        <f>(C10+C17+C21)</f>
        <v>604271717.24000001</v>
      </c>
      <c r="D23" s="126">
        <f t="shared" ref="D23:K23" si="5">(D10+D17+D21)</f>
        <v>85287616.579999998</v>
      </c>
      <c r="E23" s="126">
        <f t="shared" si="5"/>
        <v>58141280.470000006</v>
      </c>
      <c r="F23" s="126">
        <f t="shared" si="5"/>
        <v>56465288.359999992</v>
      </c>
      <c r="G23" s="126">
        <f t="shared" si="5"/>
        <v>108618536.48000002</v>
      </c>
      <c r="H23" s="126">
        <f t="shared" si="5"/>
        <v>53971718.230000004</v>
      </c>
      <c r="I23" s="126">
        <f t="shared" si="5"/>
        <v>68411382.859999999</v>
      </c>
      <c r="J23" s="126">
        <f t="shared" si="5"/>
        <v>60389066.960000001</v>
      </c>
      <c r="K23" s="126">
        <f t="shared" si="5"/>
        <v>1095556607.1800001</v>
      </c>
      <c r="L23" s="126">
        <f t="shared" si="1"/>
        <v>7092.8635248188848</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6" t="s">
        <v>247</v>
      </c>
      <c r="B25" s="6"/>
      <c r="C25" s="6"/>
      <c r="D25" s="6"/>
      <c r="E25" s="6"/>
      <c r="F25" s="6"/>
      <c r="G25" s="6"/>
      <c r="H25" s="6"/>
      <c r="I25" s="6"/>
      <c r="J25" s="6"/>
      <c r="K25" s="6"/>
      <c r="L25"/>
      <c r="M25"/>
      <c r="N25" s="6"/>
      <c r="O25" s="6"/>
      <c r="P25" s="1"/>
      <c r="Q25" s="1"/>
      <c r="R25" s="1"/>
      <c r="S25" s="1"/>
      <c r="T25" s="1"/>
      <c r="U25" s="1"/>
      <c r="V25" s="1"/>
      <c r="W25" s="1"/>
      <c r="X25" s="1"/>
      <c r="Y25" s="1"/>
      <c r="Z25" s="1"/>
      <c r="AA25" s="1"/>
      <c r="AB25" s="1"/>
      <c r="AC25" s="1"/>
    </row>
    <row r="26" spans="1:29" x14ac:dyDescent="0.2">
      <c r="A26" s="36" t="s">
        <v>398</v>
      </c>
      <c r="B26" s="6"/>
      <c r="C26" s="6"/>
      <c r="D26" s="6"/>
      <c r="E26" s="6"/>
      <c r="F26" s="6"/>
      <c r="G26" s="6"/>
      <c r="H26" s="6"/>
      <c r="I26" s="6"/>
      <c r="J26" s="6"/>
      <c r="K26" s="6"/>
      <c r="L26"/>
      <c r="M26"/>
      <c r="N26" s="6"/>
      <c r="O26" s="6"/>
      <c r="P26" s="1"/>
      <c r="Q26" s="1"/>
      <c r="R26" s="1"/>
      <c r="S26" s="1"/>
      <c r="T26" s="1"/>
      <c r="U26" s="1"/>
      <c r="V26" s="1"/>
      <c r="W26" s="1"/>
      <c r="X26" s="1"/>
      <c r="Y26" s="1"/>
      <c r="Z26" s="1"/>
      <c r="AA26" s="1"/>
      <c r="AB26" s="1"/>
      <c r="AC26" s="1"/>
    </row>
    <row r="27" spans="1:29" ht="33.75" x14ac:dyDescent="0.2">
      <c r="A27" s="155" t="s">
        <v>245</v>
      </c>
      <c r="B27" s="141" t="s">
        <v>408</v>
      </c>
      <c r="C27" s="141" t="s">
        <v>399</v>
      </c>
      <c r="D27" s="141" t="s">
        <v>400</v>
      </c>
      <c r="E27" s="141" t="s">
        <v>401</v>
      </c>
      <c r="F27" s="141" t="s">
        <v>402</v>
      </c>
      <c r="G27" s="141" t="s">
        <v>403</v>
      </c>
      <c r="H27" s="141" t="s">
        <v>404</v>
      </c>
      <c r="I27" s="141" t="s">
        <v>405</v>
      </c>
      <c r="J27" s="141" t="s">
        <v>406</v>
      </c>
      <c r="K27" s="141" t="s">
        <v>407</v>
      </c>
      <c r="L27"/>
      <c r="M27"/>
      <c r="N27" s="6"/>
      <c r="O27" s="6"/>
      <c r="P27" s="1"/>
      <c r="Q27" s="1"/>
      <c r="R27" s="1"/>
      <c r="S27" s="1"/>
      <c r="T27" s="1"/>
      <c r="U27" s="1"/>
      <c r="V27" s="1"/>
      <c r="W27" s="1"/>
      <c r="X27" s="1"/>
      <c r="Y27" s="1"/>
      <c r="Z27" s="1"/>
      <c r="AA27" s="1"/>
      <c r="AB27" s="1"/>
      <c r="AC27" s="1"/>
    </row>
    <row r="28" spans="1:29" x14ac:dyDescent="0.2">
      <c r="A28" s="6" t="s">
        <v>102</v>
      </c>
      <c r="B28" s="6">
        <f t="shared" ref="B28:B33" si="6">B4</f>
        <v>34874</v>
      </c>
      <c r="C28" s="6">
        <f>C4/B28</f>
        <v>3606.3445971210645</v>
      </c>
      <c r="D28" s="6">
        <f t="shared" ref="D28:D34" si="7">D4/B28</f>
        <v>659.5763348052991</v>
      </c>
      <c r="E28" s="6">
        <f t="shared" ref="E28:E34" si="8">E4/B28</f>
        <v>177.55080403739177</v>
      </c>
      <c r="F28" s="6">
        <f t="shared" ref="F28:F34" si="9">F4/B28</f>
        <v>338.2531384412456</v>
      </c>
      <c r="G28" s="6">
        <f t="shared" ref="G28:G34" si="10">G4/B28</f>
        <v>577.97174169868674</v>
      </c>
      <c r="H28" s="6">
        <f t="shared" ref="H28:H34" si="11">H4/B28</f>
        <v>232.36439439123703</v>
      </c>
      <c r="I28" s="6">
        <f t="shared" ref="I28:I34" si="12">I4/B28</f>
        <v>221.22368211274878</v>
      </c>
      <c r="J28" s="6">
        <f t="shared" ref="J28:J34" si="13">J4/B28</f>
        <v>213.16672678786489</v>
      </c>
      <c r="K28" s="6">
        <f t="shared" ref="K28:K34" si="14">SUM(C28:J28)</f>
        <v>6026.4514193955383</v>
      </c>
      <c r="L28"/>
      <c r="M28"/>
      <c r="N28" s="6"/>
      <c r="O28" s="6"/>
      <c r="P28" s="1"/>
      <c r="Q28" s="1"/>
      <c r="R28" s="1"/>
      <c r="S28" s="1"/>
      <c r="T28" s="1"/>
      <c r="U28" s="1"/>
      <c r="V28" s="1"/>
      <c r="W28" s="1"/>
      <c r="X28" s="1"/>
      <c r="Y28" s="1"/>
      <c r="Z28" s="1"/>
      <c r="AA28" s="1"/>
      <c r="AB28" s="1"/>
      <c r="AC28" s="1"/>
    </row>
    <row r="29" spans="1:29" x14ac:dyDescent="0.2">
      <c r="A29" s="6" t="s">
        <v>76</v>
      </c>
      <c r="B29" s="6">
        <f t="shared" si="6"/>
        <v>22782</v>
      </c>
      <c r="C29" s="6">
        <f t="shared" ref="C29:C45" si="15">C5/B29</f>
        <v>3722.7081968220527</v>
      </c>
      <c r="D29" s="6">
        <f t="shared" si="7"/>
        <v>655.16646914230535</v>
      </c>
      <c r="E29" s="6">
        <f t="shared" si="8"/>
        <v>273.31635501711878</v>
      </c>
      <c r="F29" s="6">
        <f t="shared" si="9"/>
        <v>393.20170704942495</v>
      </c>
      <c r="G29" s="6">
        <f t="shared" si="10"/>
        <v>627.11490826090778</v>
      </c>
      <c r="H29" s="6">
        <f t="shared" si="11"/>
        <v>269.02490431042054</v>
      </c>
      <c r="I29" s="6">
        <f t="shared" si="12"/>
        <v>293.36001975243613</v>
      </c>
      <c r="J29" s="6">
        <f t="shared" si="13"/>
        <v>568.60573522956713</v>
      </c>
      <c r="K29" s="6">
        <f t="shared" si="14"/>
        <v>6802.4982955842343</v>
      </c>
      <c r="L29"/>
      <c r="M29"/>
      <c r="N29" s="6"/>
      <c r="O29" s="6"/>
      <c r="P29" s="1"/>
      <c r="Q29" s="1"/>
      <c r="R29" s="1"/>
      <c r="S29" s="1"/>
      <c r="T29" s="1"/>
      <c r="U29" s="1"/>
      <c r="V29" s="1"/>
      <c r="W29" s="1"/>
      <c r="X29" s="1"/>
      <c r="Y29" s="1"/>
      <c r="Z29" s="1"/>
      <c r="AA29" s="1"/>
      <c r="AB29" s="1"/>
      <c r="AC29" s="1"/>
    </row>
    <row r="30" spans="1:29" x14ac:dyDescent="0.2">
      <c r="A30" s="6" t="s">
        <v>77</v>
      </c>
      <c r="B30" s="6">
        <f t="shared" si="6"/>
        <v>12060</v>
      </c>
      <c r="C30" s="6">
        <f t="shared" si="15"/>
        <v>4145.6831144278603</v>
      </c>
      <c r="D30" s="6">
        <f t="shared" si="7"/>
        <v>612.72272885572147</v>
      </c>
      <c r="E30" s="6">
        <f t="shared" si="8"/>
        <v>365.41000746268662</v>
      </c>
      <c r="F30" s="6">
        <f t="shared" si="9"/>
        <v>399.1734344941957</v>
      </c>
      <c r="G30" s="6">
        <f t="shared" si="10"/>
        <v>668.15412603648417</v>
      </c>
      <c r="H30" s="6">
        <f t="shared" si="11"/>
        <v>306.1857064676617</v>
      </c>
      <c r="I30" s="6">
        <f t="shared" si="12"/>
        <v>391.83504726368159</v>
      </c>
      <c r="J30" s="6">
        <f t="shared" si="13"/>
        <v>377.91826036484241</v>
      </c>
      <c r="K30" s="6">
        <f t="shared" si="14"/>
        <v>7267.0824253731334</v>
      </c>
      <c r="L30"/>
      <c r="M30"/>
      <c r="N30" s="6"/>
      <c r="O30" s="6"/>
      <c r="P30" s="1"/>
      <c r="Q30" s="1"/>
      <c r="R30" s="1"/>
      <c r="S30" s="1"/>
      <c r="T30" s="1"/>
      <c r="U30" s="1"/>
      <c r="V30" s="1"/>
      <c r="W30" s="1"/>
      <c r="X30" s="1"/>
      <c r="Y30" s="1"/>
      <c r="Z30" s="1"/>
      <c r="AA30" s="1"/>
      <c r="AB30" s="1"/>
      <c r="AC30" s="1"/>
    </row>
    <row r="31" spans="1:29" x14ac:dyDescent="0.2">
      <c r="A31" s="6" t="s">
        <v>78</v>
      </c>
      <c r="B31" s="6">
        <f t="shared" si="6"/>
        <v>13847</v>
      </c>
      <c r="C31" s="6">
        <f t="shared" si="15"/>
        <v>3917.4384993139306</v>
      </c>
      <c r="D31" s="6">
        <f t="shared" si="7"/>
        <v>365.92222358633643</v>
      </c>
      <c r="E31" s="6">
        <f t="shared" si="8"/>
        <v>497.39188271827834</v>
      </c>
      <c r="F31" s="6">
        <f t="shared" si="9"/>
        <v>296.45139813678054</v>
      </c>
      <c r="G31" s="6">
        <f t="shared" si="10"/>
        <v>629.79240990828339</v>
      </c>
      <c r="H31" s="6">
        <f t="shared" si="11"/>
        <v>328.46536939409259</v>
      </c>
      <c r="I31" s="6">
        <f t="shared" si="12"/>
        <v>446.61935292843214</v>
      </c>
      <c r="J31" s="6">
        <f t="shared" si="13"/>
        <v>368.31724344623387</v>
      </c>
      <c r="K31" s="6">
        <f t="shared" si="14"/>
        <v>6850.3983794323685</v>
      </c>
      <c r="L31"/>
      <c r="M31"/>
      <c r="N31" s="6"/>
      <c r="O31" s="6"/>
      <c r="P31" s="1"/>
      <c r="Q31" s="1"/>
      <c r="R31" s="1"/>
      <c r="S31" s="1"/>
      <c r="T31" s="1"/>
      <c r="U31" s="1"/>
      <c r="V31" s="1"/>
      <c r="W31" s="1"/>
      <c r="X31" s="1"/>
      <c r="Y31" s="1"/>
      <c r="Z31" s="1"/>
      <c r="AA31" s="1"/>
      <c r="AB31" s="1"/>
      <c r="AC31" s="1"/>
    </row>
    <row r="32" spans="1:29" x14ac:dyDescent="0.2">
      <c r="A32" s="6" t="s">
        <v>79</v>
      </c>
      <c r="B32" s="6">
        <f t="shared" si="6"/>
        <v>6286</v>
      </c>
      <c r="C32" s="6">
        <f t="shared" si="15"/>
        <v>4468.3537575564742</v>
      </c>
      <c r="D32" s="6">
        <f t="shared" si="7"/>
        <v>272.15541839007318</v>
      </c>
      <c r="E32" s="6">
        <f t="shared" si="8"/>
        <v>724.11374482978044</v>
      </c>
      <c r="F32" s="6">
        <f t="shared" si="9"/>
        <v>297.71936843779827</v>
      </c>
      <c r="G32" s="6">
        <f t="shared" si="10"/>
        <v>862.29591950365898</v>
      </c>
      <c r="H32" s="6">
        <f t="shared" si="11"/>
        <v>583.9408638243716</v>
      </c>
      <c r="I32" s="6">
        <f t="shared" si="12"/>
        <v>544.80662583518938</v>
      </c>
      <c r="J32" s="6">
        <f t="shared" si="13"/>
        <v>405.74960547247855</v>
      </c>
      <c r="K32" s="6">
        <f t="shared" si="14"/>
        <v>8159.1353038498246</v>
      </c>
      <c r="L32"/>
      <c r="M32"/>
      <c r="N32" s="6"/>
      <c r="O32" s="6"/>
      <c r="P32" s="1"/>
      <c r="Q32" s="1"/>
      <c r="R32" s="1"/>
      <c r="S32" s="1"/>
      <c r="T32" s="1"/>
      <c r="U32" s="1"/>
      <c r="V32" s="1"/>
      <c r="W32" s="1"/>
      <c r="X32" s="1"/>
      <c r="Y32" s="1"/>
      <c r="Z32" s="1"/>
      <c r="AA32" s="1"/>
      <c r="AB32" s="1"/>
      <c r="AC32" s="1"/>
    </row>
    <row r="33" spans="1:29" x14ac:dyDescent="0.2">
      <c r="A33" s="6" t="s">
        <v>80</v>
      </c>
      <c r="B33" s="6">
        <f t="shared" si="6"/>
        <v>1492</v>
      </c>
      <c r="C33" s="6">
        <f t="shared" si="15"/>
        <v>4081.5056568364612</v>
      </c>
      <c r="D33" s="6">
        <f t="shared" si="7"/>
        <v>140.35130697050937</v>
      </c>
      <c r="E33" s="6">
        <f t="shared" si="8"/>
        <v>631.28599865951742</v>
      </c>
      <c r="F33" s="6">
        <f t="shared" si="9"/>
        <v>57.711038873994632</v>
      </c>
      <c r="G33" s="6">
        <f t="shared" si="10"/>
        <v>890.77983914209119</v>
      </c>
      <c r="H33" s="6">
        <f t="shared" si="11"/>
        <v>592.59402144772116</v>
      </c>
      <c r="I33" s="6">
        <f t="shared" si="12"/>
        <v>179.42973190348525</v>
      </c>
      <c r="J33" s="6">
        <f t="shared" si="13"/>
        <v>169.43055630026811</v>
      </c>
      <c r="K33" s="6">
        <f t="shared" si="14"/>
        <v>6743.0881501340482</v>
      </c>
      <c r="L33"/>
      <c r="M33"/>
      <c r="N33" s="6"/>
      <c r="O33" s="6"/>
      <c r="P33" s="1"/>
      <c r="Q33" s="1"/>
      <c r="R33" s="1"/>
      <c r="S33" s="1"/>
      <c r="T33" s="1"/>
      <c r="U33" s="1"/>
      <c r="V33" s="1"/>
      <c r="W33" s="1"/>
      <c r="X33" s="1"/>
      <c r="Y33" s="1"/>
      <c r="Z33" s="1"/>
      <c r="AA33" s="1"/>
      <c r="AB33" s="1"/>
      <c r="AC33" s="1"/>
    </row>
    <row r="34" spans="1:29" ht="13.5" thickBot="1" x14ac:dyDescent="0.25">
      <c r="A34" s="8" t="s">
        <v>219</v>
      </c>
      <c r="B34" s="8">
        <f>SUM(B28:B33)</f>
        <v>91341</v>
      </c>
      <c r="C34" s="8">
        <f t="shared" si="15"/>
        <v>3820.8229277104479</v>
      </c>
      <c r="D34" s="8">
        <f t="shared" si="7"/>
        <v>572.63005495889036</v>
      </c>
      <c r="E34" s="8">
        <f t="shared" si="8"/>
        <v>319.75222233170211</v>
      </c>
      <c r="F34" s="8">
        <f t="shared" si="9"/>
        <v>346.29272933293919</v>
      </c>
      <c r="G34" s="8">
        <f t="shared" si="10"/>
        <v>634.6682025596391</v>
      </c>
      <c r="H34" s="8">
        <f t="shared" si="11"/>
        <v>295.90286289836985</v>
      </c>
      <c r="I34" s="8">
        <f t="shared" si="12"/>
        <v>317.4972369472635</v>
      </c>
      <c r="J34" s="8">
        <f t="shared" si="13"/>
        <v>359.63113815263682</v>
      </c>
      <c r="K34" s="8">
        <f t="shared" si="14"/>
        <v>6667.1973748918881</v>
      </c>
      <c r="L34"/>
      <c r="M34"/>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L35"/>
      <c r="M35"/>
      <c r="N35" s="6"/>
      <c r="O35" s="6"/>
      <c r="P35" s="1"/>
      <c r="Q35" s="1"/>
      <c r="R35" s="1"/>
      <c r="S35" s="1"/>
      <c r="T35" s="1"/>
      <c r="U35" s="1"/>
      <c r="V35" s="1"/>
      <c r="W35" s="1"/>
      <c r="X35" s="1"/>
      <c r="Y35" s="1"/>
      <c r="Z35" s="1"/>
      <c r="AA35" s="1"/>
      <c r="AB35" s="1"/>
      <c r="AC35" s="1"/>
    </row>
    <row r="36" spans="1:29" x14ac:dyDescent="0.2">
      <c r="A36" s="6" t="s">
        <v>81</v>
      </c>
      <c r="B36" s="6">
        <f>B12</f>
        <v>22879</v>
      </c>
      <c r="C36" s="6">
        <f t="shared" si="15"/>
        <v>3810.6964264172389</v>
      </c>
      <c r="D36" s="6">
        <f t="shared" ref="D36:D41" si="16">D12/B36</f>
        <v>617.38008697932605</v>
      </c>
      <c r="E36" s="6">
        <f t="shared" ref="E36:E41" si="17">E12/B36</f>
        <v>287.10972857205297</v>
      </c>
      <c r="F36" s="6">
        <f t="shared" ref="F36:F41" si="18">F12/B36</f>
        <v>342.18316316272563</v>
      </c>
      <c r="G36" s="6">
        <f t="shared" ref="G36:G41" si="19">G12/B36</f>
        <v>664.24718038375806</v>
      </c>
      <c r="H36" s="6">
        <f t="shared" ref="H36:H41" si="20">H12/B36</f>
        <v>237.35749114908867</v>
      </c>
      <c r="I36" s="6">
        <f t="shared" ref="I36:I41" si="21">I12/B36</f>
        <v>515.83091437562837</v>
      </c>
      <c r="J36" s="6">
        <f t="shared" ref="J36:J41" si="22">J12/B36</f>
        <v>438.59901787665541</v>
      </c>
      <c r="K36" s="6">
        <f t="shared" ref="K36:K41" si="23">SUM(C36:J36)</f>
        <v>6913.4040089164746</v>
      </c>
      <c r="L36"/>
      <c r="M36"/>
      <c r="N36" s="6"/>
      <c r="O36" s="6"/>
      <c r="P36" s="1"/>
      <c r="Q36" s="1"/>
      <c r="R36" s="1"/>
      <c r="S36" s="1"/>
      <c r="T36" s="1"/>
      <c r="U36" s="1"/>
      <c r="V36" s="1"/>
      <c r="W36" s="1"/>
      <c r="X36" s="1"/>
      <c r="Y36" s="1"/>
      <c r="Z36" s="1"/>
      <c r="AA36" s="1"/>
      <c r="AB36" s="1"/>
      <c r="AC36" s="1"/>
    </row>
    <row r="37" spans="1:29" x14ac:dyDescent="0.2">
      <c r="A37" s="6" t="s">
        <v>82</v>
      </c>
      <c r="B37" s="6">
        <f>B13</f>
        <v>9866</v>
      </c>
      <c r="C37" s="6">
        <f t="shared" si="15"/>
        <v>3568.2908250557471</v>
      </c>
      <c r="D37" s="6">
        <f t="shared" si="16"/>
        <v>537.79001114940195</v>
      </c>
      <c r="E37" s="6">
        <f t="shared" si="17"/>
        <v>341.09669673626593</v>
      </c>
      <c r="F37" s="6">
        <f t="shared" si="18"/>
        <v>515.1596513277924</v>
      </c>
      <c r="G37" s="6">
        <f t="shared" si="19"/>
        <v>810.59886073383336</v>
      </c>
      <c r="H37" s="6">
        <f t="shared" si="20"/>
        <v>427.30350598013376</v>
      </c>
      <c r="I37" s="6">
        <f t="shared" si="21"/>
        <v>668.51862456922765</v>
      </c>
      <c r="J37" s="6">
        <f t="shared" si="22"/>
        <v>224.38224508412731</v>
      </c>
      <c r="K37" s="6">
        <f t="shared" si="23"/>
        <v>7093.1404206365296</v>
      </c>
      <c r="L37"/>
      <c r="M37"/>
      <c r="N37" s="6"/>
      <c r="O37" s="6"/>
      <c r="P37" s="1"/>
      <c r="Q37" s="1"/>
      <c r="R37" s="1"/>
      <c r="S37" s="1"/>
      <c r="T37" s="1"/>
      <c r="U37" s="1"/>
      <c r="V37" s="1"/>
      <c r="W37" s="1"/>
      <c r="X37" s="1"/>
      <c r="Y37" s="1"/>
      <c r="Z37" s="1"/>
      <c r="AA37" s="1"/>
      <c r="AB37" s="1"/>
      <c r="AC37" s="1"/>
    </row>
    <row r="38" spans="1:29" x14ac:dyDescent="0.2">
      <c r="A38" s="6" t="s">
        <v>83</v>
      </c>
      <c r="B38" s="6">
        <f>B14</f>
        <v>4940</v>
      </c>
      <c r="C38" s="6">
        <f t="shared" si="15"/>
        <v>4102.7568542510116</v>
      </c>
      <c r="D38" s="6">
        <f t="shared" si="16"/>
        <v>509.66142712550612</v>
      </c>
      <c r="E38" s="6">
        <f t="shared" si="17"/>
        <v>508.24373076923075</v>
      </c>
      <c r="F38" s="6">
        <f t="shared" si="18"/>
        <v>456.24123076923081</v>
      </c>
      <c r="G38" s="6">
        <f t="shared" si="19"/>
        <v>959.41780161943325</v>
      </c>
      <c r="H38" s="6">
        <f t="shared" si="20"/>
        <v>525.47785829959514</v>
      </c>
      <c r="I38" s="6">
        <f t="shared" si="21"/>
        <v>814.64648380566803</v>
      </c>
      <c r="J38" s="6">
        <f t="shared" si="22"/>
        <v>425.42966801619434</v>
      </c>
      <c r="K38" s="6">
        <f t="shared" si="23"/>
        <v>8301.8750546558695</v>
      </c>
      <c r="L38"/>
      <c r="M38"/>
      <c r="N38" s="6"/>
      <c r="O38" s="6"/>
      <c r="P38" s="1"/>
      <c r="Q38" s="1"/>
      <c r="R38" s="1"/>
      <c r="S38" s="1"/>
      <c r="T38" s="1"/>
      <c r="U38" s="1"/>
      <c r="V38" s="1"/>
      <c r="W38" s="1"/>
      <c r="X38" s="1"/>
      <c r="Y38" s="1"/>
      <c r="Z38" s="1"/>
      <c r="AA38" s="1"/>
      <c r="AB38" s="1"/>
      <c r="AC38" s="1"/>
    </row>
    <row r="39" spans="1:29" x14ac:dyDescent="0.2">
      <c r="A39" s="6" t="s">
        <v>84</v>
      </c>
      <c r="B39" s="6">
        <f>B15</f>
        <v>5024</v>
      </c>
      <c r="C39" s="6">
        <f t="shared" si="15"/>
        <v>4926.0833300159229</v>
      </c>
      <c r="D39" s="6">
        <f t="shared" si="16"/>
        <v>567.50794386942675</v>
      </c>
      <c r="E39" s="6">
        <f t="shared" si="17"/>
        <v>885.73604100318471</v>
      </c>
      <c r="F39" s="6">
        <f t="shared" si="18"/>
        <v>512.52615047770701</v>
      </c>
      <c r="G39" s="6">
        <f t="shared" si="19"/>
        <v>1119.1580135350318</v>
      </c>
      <c r="H39" s="6">
        <f t="shared" si="20"/>
        <v>816.28302746815291</v>
      </c>
      <c r="I39" s="6">
        <f t="shared" si="21"/>
        <v>925.02358678343944</v>
      </c>
      <c r="J39" s="6">
        <f t="shared" si="22"/>
        <v>372.68398686305733</v>
      </c>
      <c r="K39" s="6">
        <f t="shared" si="23"/>
        <v>10125.002080015924</v>
      </c>
      <c r="L39"/>
      <c r="M39"/>
      <c r="N39" s="6"/>
      <c r="O39" s="6"/>
      <c r="P39" s="1"/>
      <c r="Q39" s="1"/>
      <c r="R39" s="1"/>
      <c r="S39" s="1"/>
      <c r="T39" s="1"/>
      <c r="U39" s="1"/>
      <c r="V39" s="1"/>
      <c r="W39" s="1"/>
      <c r="X39" s="1"/>
      <c r="Y39" s="1"/>
      <c r="Z39" s="1"/>
      <c r="AA39" s="1"/>
      <c r="AB39" s="1"/>
      <c r="AC39" s="1"/>
    </row>
    <row r="40" spans="1:29" x14ac:dyDescent="0.2">
      <c r="A40" s="6" t="s">
        <v>85</v>
      </c>
      <c r="B40" s="6">
        <f>B16</f>
        <v>1460</v>
      </c>
      <c r="C40" s="6">
        <f t="shared" si="15"/>
        <v>6237.4238424657542</v>
      </c>
      <c r="D40" s="6">
        <f t="shared" si="16"/>
        <v>409.96721917808219</v>
      </c>
      <c r="E40" s="6">
        <f t="shared" si="17"/>
        <v>1609.6085753424657</v>
      </c>
      <c r="F40" s="6">
        <f t="shared" si="18"/>
        <v>360.25895890410953</v>
      </c>
      <c r="G40" s="6">
        <f t="shared" si="19"/>
        <v>1747.6006506849317</v>
      </c>
      <c r="H40" s="6">
        <f t="shared" si="20"/>
        <v>1057.9921780821919</v>
      </c>
      <c r="I40" s="6">
        <f t="shared" si="21"/>
        <v>1166.3229178082192</v>
      </c>
      <c r="J40" s="6">
        <f t="shared" si="22"/>
        <v>497.9334863013699</v>
      </c>
      <c r="K40" s="6">
        <f t="shared" si="23"/>
        <v>13087.107828767124</v>
      </c>
      <c r="L40"/>
      <c r="M40"/>
      <c r="N40" s="6"/>
      <c r="O40" s="6"/>
      <c r="P40" s="1"/>
      <c r="Q40" s="1"/>
      <c r="R40" s="1"/>
      <c r="S40" s="1"/>
      <c r="T40" s="1"/>
      <c r="U40" s="1"/>
      <c r="V40" s="1"/>
      <c r="W40" s="1"/>
      <c r="X40" s="1"/>
      <c r="Y40" s="1"/>
      <c r="Z40" s="1"/>
      <c r="AA40" s="1"/>
      <c r="AB40" s="1"/>
      <c r="AC40" s="1"/>
    </row>
    <row r="41" spans="1:29" ht="13.5" thickBot="1" x14ac:dyDescent="0.25">
      <c r="A41" s="8" t="s">
        <v>220</v>
      </c>
      <c r="B41" s="8">
        <f>SUM(B36:B40)</f>
        <v>44169</v>
      </c>
      <c r="C41" s="8">
        <f t="shared" si="15"/>
        <v>3996.3001458036183</v>
      </c>
      <c r="D41" s="8">
        <f t="shared" si="16"/>
        <v>575.02580452353459</v>
      </c>
      <c r="E41" s="8">
        <f t="shared" si="17"/>
        <v>435.70680590459375</v>
      </c>
      <c r="F41" s="8">
        <f t="shared" si="18"/>
        <v>413.55056374380217</v>
      </c>
      <c r="G41" s="8">
        <f t="shared" si="19"/>
        <v>817.50436618442825</v>
      </c>
      <c r="H41" s="8">
        <f t="shared" si="20"/>
        <v>404.98570400054342</v>
      </c>
      <c r="I41" s="8">
        <f t="shared" si="21"/>
        <v>651.40265412393308</v>
      </c>
      <c r="J41" s="8">
        <f t="shared" si="22"/>
        <v>383.74045054223552</v>
      </c>
      <c r="K41" s="8">
        <f t="shared" si="23"/>
        <v>7678.2164948266891</v>
      </c>
      <c r="L41"/>
      <c r="M41"/>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L42"/>
      <c r="M42"/>
      <c r="N42" s="6"/>
      <c r="O42" s="6"/>
      <c r="P42" s="1"/>
      <c r="Q42" s="1"/>
      <c r="R42" s="1"/>
      <c r="S42" s="1"/>
      <c r="T42" s="1"/>
      <c r="U42" s="1"/>
      <c r="V42" s="1"/>
      <c r="W42" s="1"/>
      <c r="X42" s="1"/>
      <c r="Y42" s="1"/>
      <c r="Z42" s="1"/>
      <c r="AA42" s="1"/>
      <c r="AB42" s="1"/>
      <c r="AC42" s="1"/>
    </row>
    <row r="43" spans="1:29" x14ac:dyDescent="0.2">
      <c r="A43" s="6" t="s">
        <v>86</v>
      </c>
      <c r="B43" s="6">
        <f>B19</f>
        <v>12059</v>
      </c>
      <c r="C43" s="6">
        <f t="shared" si="15"/>
        <v>3683.0052118749481</v>
      </c>
      <c r="D43" s="6">
        <f>D19/B43</f>
        <v>403.71160792768887</v>
      </c>
      <c r="E43" s="6">
        <f>E19/B43</f>
        <v>292.44512480305167</v>
      </c>
      <c r="F43" s="6">
        <f>F19/B43</f>
        <v>381.93358487436768</v>
      </c>
      <c r="G43" s="6">
        <f>G19/B43</f>
        <v>625.49897835641423</v>
      </c>
      <c r="H43" s="6">
        <f>H19/B43</f>
        <v>365.99984741686706</v>
      </c>
      <c r="I43" s="6">
        <f>I19/B43</f>
        <v>428.59690106974045</v>
      </c>
      <c r="J43" s="6">
        <f>J19/B43</f>
        <v>423.35574342814499</v>
      </c>
      <c r="K43" s="6">
        <f>SUM(C43:J43)</f>
        <v>6604.5469997512228</v>
      </c>
      <c r="L43"/>
      <c r="M43"/>
      <c r="N43" s="6"/>
      <c r="O43" s="6"/>
      <c r="P43" s="1"/>
      <c r="Q43" s="1"/>
      <c r="R43" s="1"/>
      <c r="S43" s="1"/>
      <c r="T43" s="1"/>
      <c r="U43" s="1"/>
      <c r="V43" s="1"/>
      <c r="W43" s="1"/>
      <c r="X43" s="1"/>
      <c r="Y43" s="1"/>
      <c r="Z43" s="1"/>
      <c r="AA43" s="1"/>
      <c r="AB43" s="1"/>
      <c r="AC43" s="1"/>
    </row>
    <row r="44" spans="1:29" x14ac:dyDescent="0.2">
      <c r="A44" s="7" t="s">
        <v>87</v>
      </c>
      <c r="B44" s="6">
        <f>B20</f>
        <v>6890</v>
      </c>
      <c r="C44" s="6">
        <f t="shared" si="15"/>
        <v>4985.1943701015971</v>
      </c>
      <c r="D44" s="6">
        <f>D20/B44</f>
        <v>394.24407692307693</v>
      </c>
      <c r="E44" s="6">
        <f>E20/B44</f>
        <v>894.55196806966615</v>
      </c>
      <c r="F44" s="6">
        <f>F20/B44</f>
        <v>284.86389259796806</v>
      </c>
      <c r="G44" s="6">
        <f>G20/B44</f>
        <v>1015.394145137881</v>
      </c>
      <c r="H44" s="6">
        <f>H20/B44</f>
        <v>673.76619883889703</v>
      </c>
      <c r="I44" s="6">
        <f>I20/B44</f>
        <v>793.99330624092886</v>
      </c>
      <c r="J44" s="6">
        <f>J20/B44</f>
        <v>796.1277648766328</v>
      </c>
      <c r="K44" s="6">
        <f>SUM(C44:J44)</f>
        <v>9838.1357227866501</v>
      </c>
      <c r="L44"/>
      <c r="M44"/>
      <c r="N44" s="6"/>
      <c r="O44" s="6"/>
      <c r="P44" s="1"/>
      <c r="Q44" s="1"/>
      <c r="R44" s="1"/>
      <c r="S44" s="1"/>
      <c r="T44" s="1"/>
      <c r="U44" s="1"/>
      <c r="V44" s="1"/>
      <c r="W44" s="1"/>
      <c r="X44" s="1"/>
      <c r="Y44" s="1"/>
      <c r="Z44" s="1"/>
      <c r="AA44" s="1"/>
      <c r="AB44" s="1"/>
      <c r="AC44" s="1"/>
    </row>
    <row r="45" spans="1:29" ht="13.5" thickBot="1" x14ac:dyDescent="0.25">
      <c r="A45" s="8" t="s">
        <v>221</v>
      </c>
      <c r="B45" s="8">
        <f>SUM(B43:B44)</f>
        <v>18949</v>
      </c>
      <c r="C45" s="8">
        <f t="shared" si="15"/>
        <v>4156.49105810333</v>
      </c>
      <c r="D45" s="8">
        <f>D21/B45</f>
        <v>400.26914190722471</v>
      </c>
      <c r="E45" s="8">
        <f>E21/B45</f>
        <v>511.37573592273998</v>
      </c>
      <c r="F45" s="8">
        <f>F21/B45</f>
        <v>346.63830914560134</v>
      </c>
      <c r="G45" s="8">
        <f>G21/B45</f>
        <v>767.26781571586889</v>
      </c>
      <c r="H45" s="8">
        <f>H21/B45</f>
        <v>477.9060251200591</v>
      </c>
      <c r="I45" s="8">
        <f>I21/B45</f>
        <v>561.45780305029291</v>
      </c>
      <c r="J45" s="8">
        <f>J21/B45</f>
        <v>558.89847538128663</v>
      </c>
      <c r="K45" s="8">
        <f>SUM(C45:J45)</f>
        <v>7780.3043643464025</v>
      </c>
      <c r="L45"/>
      <c r="M45"/>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L46"/>
      <c r="M46"/>
      <c r="N46" s="6"/>
      <c r="O46" s="6"/>
      <c r="P46" s="1"/>
      <c r="Q46" s="1"/>
      <c r="R46" s="1"/>
      <c r="S46" s="1"/>
      <c r="T46" s="1"/>
      <c r="U46" s="1"/>
      <c r="V46" s="1"/>
      <c r="W46" s="1"/>
      <c r="X46" s="1"/>
      <c r="Y46" s="1"/>
      <c r="Z46" s="1"/>
      <c r="AA46" s="1"/>
      <c r="AB46" s="1"/>
      <c r="AC46" s="1"/>
    </row>
    <row r="47" spans="1:29" ht="13.5" thickBot="1" x14ac:dyDescent="0.25">
      <c r="A47" s="126" t="s">
        <v>222</v>
      </c>
      <c r="B47" s="126">
        <f>B34+B41+B45</f>
        <v>154459</v>
      </c>
      <c r="C47" s="126">
        <f>C23/$B$47</f>
        <v>3912.1819851222654</v>
      </c>
      <c r="D47" s="126">
        <f t="shared" ref="D47:J47" si="24">D23/$B$47</f>
        <v>552.16993881871565</v>
      </c>
      <c r="E47" s="126">
        <f t="shared" si="24"/>
        <v>376.41885853203769</v>
      </c>
      <c r="F47" s="126">
        <f t="shared" si="24"/>
        <v>365.56813367948769</v>
      </c>
      <c r="G47" s="126">
        <f t="shared" si="24"/>
        <v>703.21921338348704</v>
      </c>
      <c r="H47" s="126">
        <f t="shared" si="24"/>
        <v>349.42423704672439</v>
      </c>
      <c r="I47" s="126">
        <f t="shared" si="24"/>
        <v>442.90965796748651</v>
      </c>
      <c r="J47" s="126">
        <f t="shared" si="24"/>
        <v>390.97150026867973</v>
      </c>
      <c r="K47" s="126">
        <f>SUM(C47:J47)</f>
        <v>7092.8635248188848</v>
      </c>
      <c r="L47"/>
      <c r="M47"/>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L48"/>
      <c r="M48"/>
      <c r="N48" s="6"/>
      <c r="O48" s="6"/>
      <c r="P48" s="1"/>
      <c r="Q48" s="1"/>
      <c r="R48" s="1"/>
      <c r="S48" s="1"/>
      <c r="T48" s="1"/>
      <c r="U48" s="1"/>
      <c r="V48" s="1"/>
      <c r="W48" s="1"/>
      <c r="X48" s="1"/>
      <c r="Y48" s="1"/>
      <c r="Z48" s="1"/>
      <c r="AA48" s="1"/>
      <c r="AB48" s="1"/>
      <c r="AC48" s="1"/>
    </row>
    <row r="49" spans="1:29" x14ac:dyDescent="0.2">
      <c r="A49" s="36" t="s">
        <v>247</v>
      </c>
      <c r="B49" s="6"/>
      <c r="C49" s="6"/>
      <c r="D49" s="6"/>
      <c r="E49" s="6"/>
      <c r="F49" s="6"/>
      <c r="G49" s="6"/>
      <c r="H49" s="6"/>
      <c r="I49" s="6"/>
      <c r="J49" s="6"/>
      <c r="K49" s="6"/>
      <c r="L49"/>
      <c r="M49"/>
      <c r="N49" s="6"/>
      <c r="O49" s="6"/>
      <c r="P49" s="1"/>
      <c r="Q49" s="1"/>
      <c r="R49" s="1"/>
      <c r="S49" s="1"/>
      <c r="T49" s="1"/>
      <c r="U49" s="1"/>
      <c r="V49" s="1"/>
      <c r="W49" s="1"/>
      <c r="X49" s="1"/>
      <c r="Y49" s="1"/>
      <c r="Z49" s="1"/>
      <c r="AA49" s="1"/>
      <c r="AB49" s="1"/>
      <c r="AC49" s="1"/>
    </row>
    <row r="50" spans="1:29" x14ac:dyDescent="0.2">
      <c r="A50" s="22" t="s">
        <v>409</v>
      </c>
      <c r="B50" s="6"/>
      <c r="C50" s="6"/>
      <c r="D50" s="6"/>
      <c r="E50" s="6"/>
      <c r="F50" s="6"/>
      <c r="G50" s="6"/>
      <c r="H50" s="6"/>
      <c r="I50" s="6"/>
      <c r="J50" s="6"/>
      <c r="K50" s="6"/>
      <c r="L50"/>
      <c r="M50"/>
      <c r="N50" s="6"/>
      <c r="O50" s="6"/>
      <c r="P50" s="1"/>
      <c r="Q50" s="1"/>
      <c r="R50" s="1"/>
      <c r="S50" s="1"/>
      <c r="T50" s="1"/>
      <c r="U50" s="1"/>
      <c r="V50" s="1"/>
      <c r="W50" s="1"/>
      <c r="X50" s="1"/>
      <c r="Y50" s="1"/>
      <c r="Z50" s="1"/>
      <c r="AA50" s="1"/>
      <c r="AB50" s="1"/>
      <c r="AC50" s="1"/>
    </row>
    <row r="51" spans="1:29" ht="33.75" x14ac:dyDescent="0.2">
      <c r="A51" s="155" t="s">
        <v>245</v>
      </c>
      <c r="B51" s="141" t="s">
        <v>408</v>
      </c>
      <c r="C51" s="141" t="s">
        <v>399</v>
      </c>
      <c r="D51" s="141" t="s">
        <v>400</v>
      </c>
      <c r="E51" s="141" t="s">
        <v>401</v>
      </c>
      <c r="F51" s="141" t="s">
        <v>402</v>
      </c>
      <c r="G51" s="141" t="s">
        <v>403</v>
      </c>
      <c r="H51" s="141" t="s">
        <v>404</v>
      </c>
      <c r="I51" s="141" t="s">
        <v>405</v>
      </c>
      <c r="J51" s="141" t="s">
        <v>406</v>
      </c>
      <c r="K51" s="141" t="s">
        <v>407</v>
      </c>
      <c r="L51"/>
      <c r="M51"/>
      <c r="N51" s="6"/>
      <c r="O51" s="6"/>
      <c r="P51" s="1"/>
      <c r="Q51" s="1"/>
      <c r="R51" s="1"/>
      <c r="S51" s="1"/>
      <c r="T51" s="1"/>
      <c r="U51" s="1"/>
      <c r="V51" s="1"/>
      <c r="W51" s="1"/>
      <c r="X51" s="1"/>
      <c r="Y51" s="1"/>
      <c r="Z51" s="1"/>
      <c r="AA51" s="1"/>
      <c r="AB51" s="1"/>
      <c r="AC51" s="1"/>
    </row>
    <row r="52" spans="1:29" x14ac:dyDescent="0.2">
      <c r="A52" s="6" t="s">
        <v>102</v>
      </c>
      <c r="B52" s="6">
        <f t="shared" ref="B52:B57" si="25">B28</f>
        <v>34874</v>
      </c>
      <c r="C52" s="9">
        <f>C4/$K$4</f>
        <v>0.59841925971798271</v>
      </c>
      <c r="D52" s="9">
        <f t="shared" ref="D52:K52" si="26">D4/$K$4</f>
        <v>0.10944688489191465</v>
      </c>
      <c r="E52" s="9">
        <f t="shared" si="26"/>
        <v>2.9461915757913858E-2</v>
      </c>
      <c r="F52" s="9">
        <f t="shared" si="26"/>
        <v>5.6128078516091792E-2</v>
      </c>
      <c r="G52" s="9">
        <f t="shared" si="26"/>
        <v>9.5905816122327264E-2</v>
      </c>
      <c r="H52" s="9">
        <f t="shared" si="26"/>
        <v>3.8557416001628285E-2</v>
      </c>
      <c r="I52" s="9">
        <f t="shared" si="26"/>
        <v>3.6708780460879879E-2</v>
      </c>
      <c r="J52" s="9">
        <f t="shared" si="26"/>
        <v>3.5371848531261504E-2</v>
      </c>
      <c r="K52" s="9">
        <f t="shared" si="26"/>
        <v>1</v>
      </c>
      <c r="L52"/>
      <c r="M52"/>
      <c r="N52" s="6"/>
      <c r="O52" s="6"/>
      <c r="P52" s="1"/>
      <c r="Q52" s="1"/>
      <c r="R52" s="1"/>
      <c r="S52" s="1"/>
      <c r="T52" s="1"/>
      <c r="U52" s="1"/>
      <c r="V52" s="1"/>
      <c r="W52" s="1"/>
      <c r="X52" s="1"/>
      <c r="Y52" s="1"/>
      <c r="Z52" s="1"/>
      <c r="AA52" s="1"/>
      <c r="AB52" s="1"/>
      <c r="AC52" s="1"/>
    </row>
    <row r="53" spans="1:29" x14ac:dyDescent="0.2">
      <c r="A53" s="6" t="s">
        <v>76</v>
      </c>
      <c r="B53" s="6">
        <f t="shared" si="25"/>
        <v>22782</v>
      </c>
      <c r="C53" s="9">
        <f t="shared" ref="C53:K53" si="27">C5/$K$5</f>
        <v>0.54725602786826233</v>
      </c>
      <c r="D53" s="9">
        <f t="shared" si="27"/>
        <v>9.6312625255282946E-2</v>
      </c>
      <c r="E53" s="9">
        <f t="shared" si="27"/>
        <v>4.0178820065936517E-2</v>
      </c>
      <c r="F53" s="9">
        <f t="shared" si="27"/>
        <v>5.7802544001321905E-2</v>
      </c>
      <c r="G53" s="9">
        <f t="shared" si="27"/>
        <v>9.2188910751803119E-2</v>
      </c>
      <c r="H53" s="9">
        <f t="shared" si="27"/>
        <v>3.9547956150912236E-2</v>
      </c>
      <c r="I53" s="9">
        <f t="shared" si="27"/>
        <v>4.3125335282019478E-2</v>
      </c>
      <c r="J53" s="9">
        <f t="shared" si="27"/>
        <v>8.3587780624461344E-2</v>
      </c>
      <c r="K53" s="9">
        <f t="shared" si="27"/>
        <v>1</v>
      </c>
      <c r="L53"/>
      <c r="M53"/>
      <c r="N53" s="6"/>
      <c r="O53" s="6"/>
      <c r="P53" s="1"/>
      <c r="Q53" s="1"/>
      <c r="R53" s="1"/>
      <c r="S53" s="1"/>
      <c r="T53" s="1"/>
      <c r="U53" s="1"/>
      <c r="V53" s="1"/>
      <c r="W53" s="1"/>
      <c r="X53" s="1"/>
      <c r="Y53" s="1"/>
      <c r="Z53" s="1"/>
      <c r="AA53" s="1"/>
      <c r="AB53" s="1"/>
      <c r="AC53" s="1"/>
    </row>
    <row r="54" spans="1:29" x14ac:dyDescent="0.2">
      <c r="A54" s="6" t="s">
        <v>77</v>
      </c>
      <c r="B54" s="6">
        <f t="shared" si="25"/>
        <v>12060</v>
      </c>
      <c r="C54" s="9">
        <f>C6/$K$6</f>
        <v>0.57047421121207353</v>
      </c>
      <c r="D54" s="9">
        <f t="shared" ref="D54:K54" si="28">D6/$K$6</f>
        <v>8.4314817555445676E-2</v>
      </c>
      <c r="E54" s="9">
        <f t="shared" si="28"/>
        <v>5.0282903932237201E-2</v>
      </c>
      <c r="F54" s="9">
        <f t="shared" si="28"/>
        <v>5.4928981278714449E-2</v>
      </c>
      <c r="G54" s="9">
        <f t="shared" si="28"/>
        <v>9.1942555062209483E-2</v>
      </c>
      <c r="H54" s="9">
        <f t="shared" si="28"/>
        <v>4.2133237046907496E-2</v>
      </c>
      <c r="I54" s="9">
        <f t="shared" si="28"/>
        <v>5.391916925224121E-2</v>
      </c>
      <c r="J54" s="9">
        <f t="shared" si="28"/>
        <v>5.2004124660171021E-2</v>
      </c>
      <c r="K54" s="9">
        <f t="shared" si="28"/>
        <v>1</v>
      </c>
      <c r="L54"/>
      <c r="M54"/>
      <c r="N54" s="6"/>
      <c r="O54" s="6"/>
      <c r="P54" s="1"/>
      <c r="Q54" s="1"/>
      <c r="R54" s="1"/>
      <c r="S54" s="1"/>
      <c r="T54" s="1"/>
      <c r="U54" s="1"/>
      <c r="V54" s="1"/>
      <c r="W54" s="1"/>
      <c r="X54" s="1"/>
      <c r="Y54" s="1"/>
      <c r="Z54" s="1"/>
      <c r="AA54" s="1"/>
      <c r="AB54" s="1"/>
      <c r="AC54" s="1"/>
    </row>
    <row r="55" spans="1:29" x14ac:dyDescent="0.2">
      <c r="A55" s="6" t="s">
        <v>78</v>
      </c>
      <c r="B55" s="6">
        <f t="shared" si="25"/>
        <v>13847</v>
      </c>
      <c r="C55" s="9">
        <f>C7/$K$7</f>
        <v>0.57185557427954048</v>
      </c>
      <c r="D55" s="9">
        <f t="shared" ref="D55:K55" si="29">D7/$K$7</f>
        <v>5.3416196156559452E-2</v>
      </c>
      <c r="E55" s="9">
        <f t="shared" si="29"/>
        <v>7.2607730991477423E-2</v>
      </c>
      <c r="F55" s="9">
        <f t="shared" si="29"/>
        <v>4.3275059597533187E-2</v>
      </c>
      <c r="G55" s="9">
        <f t="shared" si="29"/>
        <v>9.1935151070800733E-2</v>
      </c>
      <c r="H55" s="9">
        <f t="shared" si="29"/>
        <v>4.7948360255992813E-2</v>
      </c>
      <c r="I55" s="9">
        <f t="shared" si="29"/>
        <v>6.5196113888699045E-2</v>
      </c>
      <c r="J55" s="9">
        <f t="shared" si="29"/>
        <v>5.3765813759396722E-2</v>
      </c>
      <c r="K55" s="9">
        <f t="shared" si="29"/>
        <v>1</v>
      </c>
      <c r="L55"/>
      <c r="M55"/>
      <c r="N55" s="6"/>
      <c r="O55" s="6"/>
      <c r="P55" s="1"/>
      <c r="Q55" s="1"/>
      <c r="R55" s="1"/>
      <c r="S55" s="1"/>
      <c r="T55" s="1"/>
      <c r="U55" s="1"/>
      <c r="V55" s="1"/>
      <c r="W55" s="1"/>
      <c r="X55" s="1"/>
      <c r="Y55" s="1"/>
      <c r="Z55" s="1"/>
      <c r="AA55" s="1"/>
      <c r="AB55" s="1"/>
      <c r="AC55" s="1"/>
    </row>
    <row r="56" spans="1:29" x14ac:dyDescent="0.2">
      <c r="A56" s="6" t="s">
        <v>79</v>
      </c>
      <c r="B56" s="6">
        <f t="shared" si="25"/>
        <v>6286</v>
      </c>
      <c r="C56" s="9">
        <f>C8/$K$8</f>
        <v>0.5476504054845267</v>
      </c>
      <c r="D56" s="9">
        <f t="shared" ref="D56:K56" si="30">D8/$K$8</f>
        <v>3.3355914353039189E-2</v>
      </c>
      <c r="E56" s="9">
        <f t="shared" si="30"/>
        <v>8.8748834020207126E-2</v>
      </c>
      <c r="F56" s="9">
        <f t="shared" si="30"/>
        <v>3.6489083383299405E-2</v>
      </c>
      <c r="G56" s="9">
        <f t="shared" si="30"/>
        <v>0.10568471870993378</v>
      </c>
      <c r="H56" s="9">
        <f t="shared" si="30"/>
        <v>7.1568964366707274E-2</v>
      </c>
      <c r="I56" s="9">
        <f t="shared" si="30"/>
        <v>6.6772593607820965E-2</v>
      </c>
      <c r="J56" s="9">
        <f t="shared" si="30"/>
        <v>4.9729486074465347E-2</v>
      </c>
      <c r="K56" s="9">
        <f t="shared" si="30"/>
        <v>1</v>
      </c>
      <c r="L56"/>
      <c r="M56"/>
      <c r="N56" s="6"/>
      <c r="O56" s="6"/>
      <c r="P56" s="1"/>
      <c r="Q56" s="1"/>
      <c r="R56" s="1"/>
      <c r="S56" s="1"/>
      <c r="T56" s="1"/>
      <c r="U56" s="1"/>
      <c r="V56" s="1"/>
      <c r="W56" s="1"/>
      <c r="X56" s="1"/>
      <c r="Y56" s="1"/>
      <c r="Z56" s="1"/>
      <c r="AA56" s="1"/>
      <c r="AB56" s="1"/>
      <c r="AC56" s="1"/>
    </row>
    <row r="57" spans="1:29" x14ac:dyDescent="0.2">
      <c r="A57" s="6" t="s">
        <v>80</v>
      </c>
      <c r="B57" s="6">
        <f t="shared" si="25"/>
        <v>1492</v>
      </c>
      <c r="C57" s="9">
        <f>C9/$K$9</f>
        <v>0.60528730545444864</v>
      </c>
      <c r="D57" s="9">
        <f t="shared" ref="D57:K57" si="31">D9/$K$9</f>
        <v>2.0814099392682455E-2</v>
      </c>
      <c r="E57" s="9">
        <f t="shared" si="31"/>
        <v>9.3619716160312658E-2</v>
      </c>
      <c r="F57" s="9">
        <f t="shared" si="31"/>
        <v>8.5585472989623268E-3</v>
      </c>
      <c r="G57" s="9">
        <f t="shared" si="31"/>
        <v>0.13210265375581409</v>
      </c>
      <c r="H57" s="9">
        <f t="shared" si="31"/>
        <v>8.7881695782953795E-2</v>
      </c>
      <c r="I57" s="9">
        <f t="shared" si="31"/>
        <v>2.6609429968658834E-2</v>
      </c>
      <c r="J57" s="9">
        <f t="shared" si="31"/>
        <v>2.5126552186167092E-2</v>
      </c>
      <c r="K57" s="9">
        <f t="shared" si="31"/>
        <v>1</v>
      </c>
      <c r="L57"/>
      <c r="M57"/>
      <c r="N57" s="6"/>
      <c r="O57" s="6"/>
      <c r="P57" s="1"/>
      <c r="Q57" s="1"/>
      <c r="R57" s="1"/>
      <c r="S57" s="1"/>
      <c r="T57" s="1"/>
      <c r="U57" s="1"/>
      <c r="V57" s="1"/>
      <c r="W57" s="1"/>
      <c r="X57" s="1"/>
      <c r="Y57" s="1"/>
      <c r="Z57" s="1"/>
      <c r="AA57" s="1"/>
      <c r="AB57" s="1"/>
      <c r="AC57" s="1"/>
    </row>
    <row r="58" spans="1:29" ht="13.5" thickBot="1" x14ac:dyDescent="0.25">
      <c r="A58" s="8" t="s">
        <v>219</v>
      </c>
      <c r="B58" s="8">
        <f>SUM(B52:B57)</f>
        <v>91341</v>
      </c>
      <c r="C58" s="11">
        <f>C10/$K$10</f>
        <v>0.57307781858976448</v>
      </c>
      <c r="D58" s="11">
        <f t="shared" ref="D58:K58" si="32">D10/$K$10</f>
        <v>8.5887671049812847E-2</v>
      </c>
      <c r="E58" s="11">
        <f t="shared" si="32"/>
        <v>4.7959015513154353E-2</v>
      </c>
      <c r="F58" s="11">
        <f t="shared" si="32"/>
        <v>5.1939774670095834E-2</v>
      </c>
      <c r="G58" s="11">
        <f t="shared" si="32"/>
        <v>9.519265245540004E-2</v>
      </c>
      <c r="H58" s="11">
        <f t="shared" si="32"/>
        <v>4.4381896359138154E-2</v>
      </c>
      <c r="I58" s="11">
        <f t="shared" si="32"/>
        <v>4.7620794629979264E-2</v>
      </c>
      <c r="J58" s="11">
        <f t="shared" si="32"/>
        <v>5.3940376732654977E-2</v>
      </c>
      <c r="K58" s="11">
        <f t="shared" si="32"/>
        <v>1</v>
      </c>
      <c r="L58"/>
      <c r="M58"/>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L59"/>
      <c r="M5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L60"/>
      <c r="M60"/>
      <c r="N60" s="6"/>
      <c r="O60" s="6"/>
      <c r="P60" s="1"/>
      <c r="Q60" s="1"/>
      <c r="R60" s="1"/>
      <c r="S60" s="1"/>
      <c r="T60" s="1"/>
      <c r="U60" s="1"/>
      <c r="V60" s="1"/>
      <c r="W60" s="1"/>
      <c r="X60" s="1"/>
      <c r="Y60" s="1"/>
      <c r="Z60" s="1"/>
      <c r="AA60" s="1"/>
      <c r="AB60" s="1"/>
      <c r="AC60" s="1"/>
    </row>
    <row r="61" spans="1:29" x14ac:dyDescent="0.2">
      <c r="A61" s="6" t="s">
        <v>81</v>
      </c>
      <c r="B61" s="6">
        <f>B12</f>
        <v>22879</v>
      </c>
      <c r="C61" s="9">
        <f>C12/$K$12</f>
        <v>0.5512040698767845</v>
      </c>
      <c r="D61" s="9">
        <f t="shared" ref="D61:K61" si="33">D12/$K$12</f>
        <v>8.9301896169103945E-2</v>
      </c>
      <c r="E61" s="9">
        <f t="shared" si="33"/>
        <v>4.1529430104440143E-2</v>
      </c>
      <c r="F61" s="9">
        <f t="shared" si="33"/>
        <v>4.9495612106771031E-2</v>
      </c>
      <c r="G61" s="9">
        <f t="shared" si="33"/>
        <v>9.6081059276595687E-2</v>
      </c>
      <c r="H61" s="9">
        <f t="shared" si="33"/>
        <v>3.4332940884542536E-2</v>
      </c>
      <c r="I61" s="9">
        <f t="shared" si="33"/>
        <v>7.4613159264284565E-2</v>
      </c>
      <c r="J61" s="9">
        <f t="shared" si="33"/>
        <v>6.3441832317477465E-2</v>
      </c>
      <c r="K61" s="9">
        <f t="shared" si="33"/>
        <v>1</v>
      </c>
      <c r="L61"/>
      <c r="M61"/>
      <c r="N61" s="6"/>
      <c r="O61" s="6"/>
      <c r="P61" s="1"/>
      <c r="Q61" s="1"/>
      <c r="R61" s="1"/>
      <c r="S61" s="1"/>
      <c r="T61" s="1"/>
      <c r="U61" s="1"/>
      <c r="V61" s="1"/>
      <c r="W61" s="1"/>
      <c r="X61" s="1"/>
      <c r="Y61" s="1"/>
      <c r="Z61" s="1"/>
      <c r="AA61" s="1"/>
      <c r="AB61" s="1"/>
      <c r="AC61" s="1"/>
    </row>
    <row r="62" spans="1:29" x14ac:dyDescent="0.2">
      <c r="A62" s="6" t="s">
        <v>82</v>
      </c>
      <c r="B62" s="6">
        <f>B13</f>
        <v>9866</v>
      </c>
      <c r="C62" s="9">
        <f>C13/$K$13</f>
        <v>0.50306220001993607</v>
      </c>
      <c r="D62" s="9">
        <f t="shared" ref="D62:K62" si="34">D13/$K$13</f>
        <v>7.5818322951111322E-2</v>
      </c>
      <c r="E62" s="9">
        <f t="shared" si="34"/>
        <v>4.8088248153651571E-2</v>
      </c>
      <c r="F62" s="9">
        <f t="shared" si="34"/>
        <v>7.2627865906757655E-2</v>
      </c>
      <c r="G62" s="9">
        <f t="shared" si="34"/>
        <v>0.11427926315620456</v>
      </c>
      <c r="H62" s="9">
        <f t="shared" si="34"/>
        <v>6.0241794274501062E-2</v>
      </c>
      <c r="I62" s="9">
        <f t="shared" si="34"/>
        <v>9.4248609913919576E-2</v>
      </c>
      <c r="J62" s="9">
        <f t="shared" si="34"/>
        <v>3.1633695623918233E-2</v>
      </c>
      <c r="K62" s="9">
        <f t="shared" si="34"/>
        <v>1</v>
      </c>
      <c r="L62"/>
      <c r="M62"/>
      <c r="N62" s="6"/>
      <c r="O62" s="6"/>
      <c r="P62" s="1"/>
      <c r="Q62" s="1"/>
      <c r="R62" s="1"/>
      <c r="S62" s="1"/>
      <c r="T62" s="1"/>
      <c r="U62" s="1"/>
      <c r="V62" s="1"/>
      <c r="W62" s="1"/>
      <c r="X62" s="1"/>
      <c r="Y62" s="1"/>
      <c r="Z62" s="1"/>
      <c r="AA62" s="1"/>
      <c r="AB62" s="1"/>
      <c r="AC62" s="1"/>
    </row>
    <row r="63" spans="1:29" x14ac:dyDescent="0.2">
      <c r="A63" s="6" t="s">
        <v>83</v>
      </c>
      <c r="B63" s="6">
        <f>B14</f>
        <v>4940</v>
      </c>
      <c r="C63" s="9">
        <f>C14/$K$14</f>
        <v>0.49419641071929854</v>
      </c>
      <c r="D63" s="9">
        <f t="shared" ref="D63:K63" si="35">D14/$K$14</f>
        <v>6.1391122339245152E-2</v>
      </c>
      <c r="E63" s="9">
        <f t="shared" si="35"/>
        <v>6.1220354127613216E-2</v>
      </c>
      <c r="F63" s="9">
        <f t="shared" si="35"/>
        <v>5.4956407771201136E-2</v>
      </c>
      <c r="G63" s="9">
        <f t="shared" si="35"/>
        <v>0.11556639859104734</v>
      </c>
      <c r="H63" s="9">
        <f t="shared" si="35"/>
        <v>6.3296286060688878E-2</v>
      </c>
      <c r="I63" s="9">
        <f t="shared" si="35"/>
        <v>9.8128010653303746E-2</v>
      </c>
      <c r="J63" s="9">
        <f t="shared" si="35"/>
        <v>5.124500973760189E-2</v>
      </c>
      <c r="K63" s="9">
        <f t="shared" si="35"/>
        <v>1</v>
      </c>
      <c r="L63"/>
      <c r="M63"/>
      <c r="N63" s="6"/>
      <c r="O63" s="6"/>
      <c r="P63" s="1"/>
      <c r="Q63" s="1"/>
      <c r="R63" s="1"/>
      <c r="S63" s="1"/>
      <c r="T63" s="1"/>
      <c r="U63" s="1"/>
      <c r="V63" s="1"/>
      <c r="W63" s="1"/>
      <c r="X63" s="1"/>
      <c r="Y63" s="1"/>
      <c r="Z63" s="1"/>
      <c r="AA63" s="1"/>
      <c r="AB63" s="1"/>
      <c r="AC63" s="1"/>
    </row>
    <row r="64" spans="1:29" x14ac:dyDescent="0.2">
      <c r="A64" s="6" t="s">
        <v>84</v>
      </c>
      <c r="B64" s="6">
        <f>B15</f>
        <v>5024</v>
      </c>
      <c r="C64" s="9">
        <f>C15/$K$15</f>
        <v>0.48652664869459222</v>
      </c>
      <c r="D64" s="9">
        <f t="shared" ref="D64:K64" si="36">D15/$K$15</f>
        <v>5.605015578115656E-2</v>
      </c>
      <c r="E64" s="9">
        <f t="shared" si="36"/>
        <v>8.7480084843774342E-2</v>
      </c>
      <c r="F64" s="9">
        <f t="shared" si="36"/>
        <v>5.0619856314824671E-2</v>
      </c>
      <c r="G64" s="9">
        <f t="shared" si="36"/>
        <v>0.11053410208615698</v>
      </c>
      <c r="H64" s="9">
        <f t="shared" si="36"/>
        <v>8.0620529360609192E-2</v>
      </c>
      <c r="I64" s="9">
        <f t="shared" si="36"/>
        <v>9.136033548172709E-2</v>
      </c>
      <c r="J64" s="9">
        <f t="shared" si="36"/>
        <v>3.6808287437158846E-2</v>
      </c>
      <c r="K64" s="9">
        <f t="shared" si="36"/>
        <v>1</v>
      </c>
      <c r="L64"/>
      <c r="M64"/>
      <c r="N64" s="6"/>
      <c r="O64" s="6"/>
      <c r="P64" s="1"/>
      <c r="Q64" s="1"/>
      <c r="R64" s="1"/>
      <c r="S64" s="1"/>
      <c r="T64" s="1"/>
      <c r="U64" s="1"/>
      <c r="V64" s="1"/>
      <c r="W64" s="1"/>
      <c r="X64" s="1"/>
      <c r="Y64" s="1"/>
      <c r="Z64" s="1"/>
      <c r="AA64" s="1"/>
      <c r="AB64" s="1"/>
      <c r="AC64" s="1"/>
    </row>
    <row r="65" spans="1:29" x14ac:dyDescent="0.2">
      <c r="A65" s="6" t="s">
        <v>85</v>
      </c>
      <c r="B65" s="6">
        <f>B16</f>
        <v>1460</v>
      </c>
      <c r="C65" s="9">
        <f>C16/$K$16</f>
        <v>0.47660827159650238</v>
      </c>
      <c r="D65" s="9">
        <f t="shared" ref="D65:K65" si="37">D16/$K$16</f>
        <v>3.132603662643646E-2</v>
      </c>
      <c r="E65" s="9">
        <f t="shared" si="37"/>
        <v>0.12299192429700487</v>
      </c>
      <c r="F65" s="9">
        <f t="shared" si="37"/>
        <v>2.7527774938341583E-2</v>
      </c>
      <c r="G65" s="9">
        <f t="shared" si="37"/>
        <v>0.13353604734909297</v>
      </c>
      <c r="H65" s="9">
        <f t="shared" si="37"/>
        <v>8.0842321460559127E-2</v>
      </c>
      <c r="I65" s="9">
        <f t="shared" si="37"/>
        <v>8.9119989922027951E-2</v>
      </c>
      <c r="J65" s="9">
        <f t="shared" si="37"/>
        <v>3.8047633810034703E-2</v>
      </c>
      <c r="K65" s="9">
        <f t="shared" si="37"/>
        <v>1</v>
      </c>
      <c r="L65"/>
      <c r="M65"/>
      <c r="N65" s="6"/>
      <c r="O65" s="6"/>
      <c r="P65" s="1"/>
      <c r="Q65" s="1"/>
      <c r="R65" s="1"/>
      <c r="S65" s="1"/>
      <c r="T65" s="1"/>
      <c r="U65" s="1"/>
      <c r="V65" s="1"/>
      <c r="W65" s="1"/>
      <c r="X65" s="1"/>
      <c r="Y65" s="1"/>
      <c r="Z65" s="1"/>
      <c r="AA65" s="1"/>
      <c r="AB65" s="1"/>
      <c r="AC65" s="1"/>
    </row>
    <row r="66" spans="1:29" ht="13.5" thickBot="1" x14ac:dyDescent="0.25">
      <c r="A66" s="8" t="s">
        <v>220</v>
      </c>
      <c r="B66" s="8">
        <f>SUM(B61:B65)</f>
        <v>44169</v>
      </c>
      <c r="C66" s="11">
        <f>C17/$K$17</f>
        <v>0.52047244936323223</v>
      </c>
      <c r="D66" s="11">
        <f t="shared" ref="D66:K66" si="38">D17/$K$17</f>
        <v>7.4890543254539213E-2</v>
      </c>
      <c r="E66" s="11">
        <f t="shared" si="38"/>
        <v>5.6745834947237762E-2</v>
      </c>
      <c r="F66" s="11">
        <f t="shared" si="38"/>
        <v>5.3860237468224284E-2</v>
      </c>
      <c r="G66" s="11">
        <f t="shared" si="38"/>
        <v>0.10647060638824574</v>
      </c>
      <c r="H66" s="11">
        <f t="shared" si="38"/>
        <v>5.2744762312108354E-2</v>
      </c>
      <c r="I66" s="11">
        <f t="shared" si="38"/>
        <v>8.4837755559878422E-2</v>
      </c>
      <c r="J66" s="11">
        <f t="shared" si="38"/>
        <v>4.9977810706534037E-2</v>
      </c>
      <c r="K66" s="11">
        <f t="shared" si="38"/>
        <v>1</v>
      </c>
      <c r="L66"/>
      <c r="M66"/>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L67"/>
      <c r="M67"/>
      <c r="N67" s="6"/>
      <c r="O67" s="6"/>
      <c r="P67" s="1"/>
      <c r="Q67" s="1"/>
      <c r="R67" s="1"/>
      <c r="S67" s="1"/>
      <c r="T67" s="1"/>
      <c r="U67" s="1"/>
      <c r="V67" s="1"/>
      <c r="W67" s="1"/>
      <c r="X67" s="1"/>
      <c r="Y67" s="1"/>
      <c r="Z67" s="1"/>
      <c r="AA67" s="1"/>
      <c r="AB67" s="1"/>
      <c r="AC67" s="1"/>
    </row>
    <row r="68" spans="1:29" x14ac:dyDescent="0.2">
      <c r="A68" s="6"/>
      <c r="B68"/>
      <c r="C68" s="9"/>
      <c r="D68" s="9"/>
      <c r="E68" s="9"/>
      <c r="F68" s="9"/>
      <c r="G68" s="9"/>
      <c r="H68" s="9"/>
      <c r="I68" s="9"/>
      <c r="J68" s="9"/>
      <c r="K68" s="9"/>
      <c r="L68"/>
      <c r="M68"/>
      <c r="N68" s="6"/>
      <c r="O68" s="6"/>
      <c r="P68" s="1"/>
      <c r="Q68" s="1"/>
      <c r="R68" s="1"/>
      <c r="S68" s="1"/>
      <c r="T68" s="1"/>
      <c r="U68" s="1"/>
      <c r="V68" s="1"/>
      <c r="W68" s="1"/>
      <c r="X68" s="1"/>
      <c r="Y68" s="1"/>
      <c r="Z68" s="1"/>
      <c r="AA68" s="1"/>
      <c r="AB68" s="1"/>
      <c r="AC68" s="1"/>
    </row>
    <row r="69" spans="1:29" x14ac:dyDescent="0.2">
      <c r="A69" s="6" t="s">
        <v>86</v>
      </c>
      <c r="B69" s="6">
        <f>B19</f>
        <v>12059</v>
      </c>
      <c r="C69" s="9">
        <f>C19/$K$19</f>
        <v>0.55764690780664872</v>
      </c>
      <c r="D69" s="9">
        <f t="shared" ref="D69:K69" si="39">D19/$K$19</f>
        <v>6.1126313120778111E-2</v>
      </c>
      <c r="E69" s="9">
        <f t="shared" si="39"/>
        <v>4.4279361599526411E-2</v>
      </c>
      <c r="F69" s="9">
        <f t="shared" si="39"/>
        <v>5.7828884386583089E-2</v>
      </c>
      <c r="G69" s="9">
        <f t="shared" si="39"/>
        <v>9.4707324874813564E-2</v>
      </c>
      <c r="H69" s="9">
        <f t="shared" si="39"/>
        <v>5.5416343835641327E-2</v>
      </c>
      <c r="I69" s="9">
        <f t="shared" si="39"/>
        <v>6.4894216224956031E-2</v>
      </c>
      <c r="J69" s="9">
        <f t="shared" si="39"/>
        <v>6.4100648151052861E-2</v>
      </c>
      <c r="K69" s="9">
        <f t="shared" si="39"/>
        <v>1</v>
      </c>
      <c r="L69"/>
      <c r="M69"/>
      <c r="N69" s="6"/>
      <c r="O69" s="6"/>
      <c r="P69" s="1"/>
      <c r="Q69" s="1"/>
      <c r="R69" s="1"/>
      <c r="S69" s="1"/>
      <c r="T69" s="1"/>
      <c r="U69" s="1"/>
      <c r="V69" s="1"/>
      <c r="W69" s="1"/>
      <c r="X69" s="1"/>
      <c r="Y69" s="1"/>
      <c r="Z69" s="1"/>
      <c r="AA69" s="1"/>
      <c r="AB69" s="1"/>
      <c r="AC69" s="1"/>
    </row>
    <row r="70" spans="1:29" x14ac:dyDescent="0.2">
      <c r="A70" s="6" t="s">
        <v>87</v>
      </c>
      <c r="B70" s="6">
        <f>B20</f>
        <v>6890</v>
      </c>
      <c r="C70" s="9">
        <f>C20/$K$20</f>
        <v>0.5067214470883048</v>
      </c>
      <c r="D70" s="9">
        <f t="shared" ref="D70:K70" si="40">D20/$K$20</f>
        <v>4.0073047173962692E-2</v>
      </c>
      <c r="E70" s="9">
        <f t="shared" si="40"/>
        <v>9.0926979793310325E-2</v>
      </c>
      <c r="F70" s="9">
        <f t="shared" si="40"/>
        <v>2.8955068381317315E-2</v>
      </c>
      <c r="G70" s="9">
        <f t="shared" si="40"/>
        <v>0.10321001597752617</v>
      </c>
      <c r="H70" s="9">
        <f t="shared" si="40"/>
        <v>6.848514981129504E-2</v>
      </c>
      <c r="I70" s="9">
        <f t="shared" si="40"/>
        <v>8.0705667070837123E-2</v>
      </c>
      <c r="J70" s="9">
        <f t="shared" si="40"/>
        <v>8.0922624703446341E-2</v>
      </c>
      <c r="K70" s="9">
        <f t="shared" si="40"/>
        <v>1</v>
      </c>
      <c r="L70"/>
      <c r="M70"/>
      <c r="N70" s="6"/>
      <c r="O70" s="6"/>
      <c r="P70" s="1"/>
      <c r="Q70" s="1"/>
      <c r="R70" s="1"/>
      <c r="S70" s="1"/>
      <c r="T70" s="1"/>
      <c r="U70" s="1"/>
      <c r="V70" s="1"/>
      <c r="W70" s="1"/>
      <c r="X70" s="1"/>
      <c r="Y70" s="1"/>
      <c r="Z70" s="1"/>
      <c r="AA70" s="1"/>
      <c r="AB70" s="1"/>
      <c r="AC70" s="1"/>
    </row>
    <row r="71" spans="1:29" ht="13.5" thickBot="1" x14ac:dyDescent="0.25">
      <c r="A71" s="8" t="s">
        <v>221</v>
      </c>
      <c r="B71" s="8">
        <f>SUM(B69:B70)</f>
        <v>18949</v>
      </c>
      <c r="C71" s="11">
        <f>C21/$K$21</f>
        <v>0.53423244945925741</v>
      </c>
      <c r="D71" s="11">
        <f t="shared" ref="D71:K71" si="41">D21/$K$21</f>
        <v>5.1446463166849372E-2</v>
      </c>
      <c r="E71" s="11">
        <f t="shared" si="41"/>
        <v>6.5726957709539277E-2</v>
      </c>
      <c r="F71" s="11">
        <f t="shared" si="41"/>
        <v>4.455330960239641E-2</v>
      </c>
      <c r="G71" s="11">
        <f t="shared" si="41"/>
        <v>9.8616683844903075E-2</v>
      </c>
      <c r="H71" s="11">
        <f t="shared" si="41"/>
        <v>6.1425106620517964E-2</v>
      </c>
      <c r="I71" s="11">
        <f t="shared" si="41"/>
        <v>7.2163989576448789E-2</v>
      </c>
      <c r="J71" s="11">
        <f t="shared" si="41"/>
        <v>7.183504002008767E-2</v>
      </c>
      <c r="K71" s="11">
        <f t="shared" si="41"/>
        <v>1</v>
      </c>
      <c r="L71"/>
      <c r="M71"/>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L72"/>
      <c r="M72"/>
      <c r="N72" s="6"/>
      <c r="O72" s="6"/>
      <c r="P72" s="1"/>
      <c r="Q72" s="1"/>
      <c r="R72" s="1"/>
      <c r="S72" s="1"/>
      <c r="T72" s="1"/>
      <c r="U72" s="1"/>
      <c r="V72" s="1"/>
      <c r="W72" s="1"/>
      <c r="X72" s="1"/>
      <c r="Y72" s="1"/>
      <c r="Z72" s="1"/>
      <c r="AA72" s="1"/>
      <c r="AB72" s="1"/>
      <c r="AC72" s="1"/>
    </row>
    <row r="73" spans="1:29" ht="13.5" thickBot="1" x14ac:dyDescent="0.25">
      <c r="A73" s="126" t="s">
        <v>222</v>
      </c>
      <c r="B73" s="126">
        <f>B58+B66+B71</f>
        <v>154459</v>
      </c>
      <c r="C73" s="127">
        <f>C23/$K$23</f>
        <v>0.55156594673406789</v>
      </c>
      <c r="D73" s="127">
        <f t="shared" ref="D73:K73" si="42">D23/$K$23</f>
        <v>7.7848662516429176E-2</v>
      </c>
      <c r="E73" s="127">
        <f t="shared" si="42"/>
        <v>5.3070083361240125E-2</v>
      </c>
      <c r="F73" s="127">
        <f t="shared" si="42"/>
        <v>5.1540274587310975E-2</v>
      </c>
      <c r="G73" s="127">
        <f t="shared" si="42"/>
        <v>9.9144613585589E-2</v>
      </c>
      <c r="H73" s="127">
        <f t="shared" si="42"/>
        <v>4.9264198560150206E-2</v>
      </c>
      <c r="I73" s="127">
        <f t="shared" si="42"/>
        <v>6.2444407173165815E-2</v>
      </c>
      <c r="J73" s="127">
        <f t="shared" si="42"/>
        <v>5.5121813482046818E-2</v>
      </c>
      <c r="K73" s="127">
        <f t="shared" si="42"/>
        <v>1</v>
      </c>
      <c r="L73"/>
      <c r="M73"/>
      <c r="N73" s="6"/>
      <c r="O73" s="6"/>
      <c r="P73" s="1"/>
      <c r="Q73" s="1"/>
      <c r="R73" s="1"/>
      <c r="S73" s="1"/>
      <c r="T73" s="1"/>
      <c r="U73" s="1"/>
      <c r="V73" s="1"/>
      <c r="W73" s="1"/>
      <c r="X73" s="1"/>
      <c r="Y73" s="1"/>
      <c r="Z73" s="1"/>
      <c r="AA73" s="1"/>
      <c r="AB73" s="1"/>
      <c r="AC73" s="1"/>
    </row>
    <row r="74" spans="1:29" x14ac:dyDescent="0.2">
      <c r="B74"/>
      <c r="C74"/>
      <c r="D74"/>
      <c r="E74"/>
      <c r="F74"/>
      <c r="G74"/>
      <c r="H74"/>
      <c r="I74"/>
      <c r="J74"/>
      <c r="K74"/>
      <c r="L74"/>
      <c r="M74"/>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7"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49"/>
  <dimension ref="A1:L162"/>
  <sheetViews>
    <sheetView zoomScaleNormal="100" workbookViewId="0">
      <selection activeCell="C32" sqref="C32"/>
    </sheetView>
  </sheetViews>
  <sheetFormatPr defaultRowHeight="12.75" x14ac:dyDescent="0.2"/>
  <cols>
    <col min="1" max="1" width="17.5703125" bestFit="1" customWidth="1"/>
    <col min="2" max="2" width="9.28515625" bestFit="1" customWidth="1"/>
    <col min="3" max="4" width="10.140625" bestFit="1" customWidth="1"/>
    <col min="5" max="6" width="9.28515625" bestFit="1" customWidth="1"/>
    <col min="7" max="7" width="10.140625" bestFit="1" customWidth="1"/>
    <col min="8" max="8" width="9.28515625" bestFit="1" customWidth="1"/>
    <col min="9" max="9" width="10.140625" bestFit="1" customWidth="1"/>
    <col min="10" max="10" width="9.28515625" bestFit="1" customWidth="1"/>
    <col min="11" max="11" width="11" bestFit="1" customWidth="1"/>
  </cols>
  <sheetData>
    <row r="1" spans="1:12" x14ac:dyDescent="0.2">
      <c r="A1" s="36" t="s">
        <v>247</v>
      </c>
    </row>
    <row r="2" spans="1:12" x14ac:dyDescent="0.2">
      <c r="A2" s="22" t="s">
        <v>248</v>
      </c>
    </row>
    <row r="3" spans="1:12" ht="22.5" x14ac:dyDescent="0.2">
      <c r="A3" s="155" t="s">
        <v>245</v>
      </c>
      <c r="B3" s="141" t="s">
        <v>235</v>
      </c>
      <c r="C3" s="141" t="s">
        <v>94</v>
      </c>
      <c r="D3" s="141" t="s">
        <v>95</v>
      </c>
      <c r="E3" s="141" t="s">
        <v>96</v>
      </c>
      <c r="F3" s="141" t="s">
        <v>97</v>
      </c>
      <c r="G3" s="141" t="s">
        <v>98</v>
      </c>
      <c r="H3" s="141" t="s">
        <v>99</v>
      </c>
      <c r="I3" s="141" t="s">
        <v>93</v>
      </c>
      <c r="J3" s="141" t="s">
        <v>115</v>
      </c>
      <c r="K3" s="141" t="s">
        <v>113</v>
      </c>
      <c r="L3" s="141" t="s">
        <v>451</v>
      </c>
    </row>
    <row r="4" spans="1:12" x14ac:dyDescent="0.2">
      <c r="A4" s="6" t="s">
        <v>102</v>
      </c>
      <c r="B4" s="6">
        <v>35570</v>
      </c>
      <c r="C4" s="6">
        <v>122808942.26000001</v>
      </c>
      <c r="D4" s="6">
        <v>22797518.550000001</v>
      </c>
      <c r="E4" s="6">
        <v>6762652.8099999996</v>
      </c>
      <c r="F4" s="6">
        <v>11508995.189999999</v>
      </c>
      <c r="G4" s="6">
        <v>20987902.530000001</v>
      </c>
      <c r="H4" s="6">
        <v>8077782.9299999997</v>
      </c>
      <c r="I4" s="6">
        <v>7186613.8099999996</v>
      </c>
      <c r="J4" s="6">
        <v>6321723.4000000004</v>
      </c>
      <c r="K4" s="6">
        <f t="shared" ref="K4:K9" si="0">SUM(C4:J4)</f>
        <v>206452131.48000002</v>
      </c>
      <c r="L4" s="6">
        <f>K4/B4</f>
        <v>5804.1082788867025</v>
      </c>
    </row>
    <row r="5" spans="1:12" x14ac:dyDescent="0.2">
      <c r="A5" s="6" t="s">
        <v>76</v>
      </c>
      <c r="B5" s="6">
        <v>24009</v>
      </c>
      <c r="C5" s="6">
        <v>86157956.810000002</v>
      </c>
      <c r="D5" s="6">
        <v>14288000.07</v>
      </c>
      <c r="E5" s="6">
        <v>6032051.8899999997</v>
      </c>
      <c r="F5" s="6">
        <v>8888580.8399999999</v>
      </c>
      <c r="G5" s="6">
        <v>14134876.85</v>
      </c>
      <c r="H5" s="6">
        <v>6434542.5199999996</v>
      </c>
      <c r="I5" s="6">
        <v>6583608.4900000002</v>
      </c>
      <c r="J5" s="6">
        <v>7577137.5700000003</v>
      </c>
      <c r="K5" s="6">
        <f t="shared" si="0"/>
        <v>150096755.03999999</v>
      </c>
      <c r="L5" s="6">
        <f t="shared" ref="L5:L23" si="1">K5/B5</f>
        <v>6251.687077345995</v>
      </c>
    </row>
    <row r="6" spans="1:12" x14ac:dyDescent="0.2">
      <c r="A6" s="6" t="s">
        <v>77</v>
      </c>
      <c r="B6" s="6">
        <v>12224</v>
      </c>
      <c r="C6" s="6">
        <v>49335351.219999999</v>
      </c>
      <c r="D6" s="6">
        <v>7380683.3700000001</v>
      </c>
      <c r="E6" s="6">
        <v>4784537.7300000004</v>
      </c>
      <c r="F6" s="6">
        <v>4761977.5</v>
      </c>
      <c r="G6" s="6">
        <v>7815071.7000000002</v>
      </c>
      <c r="H6" s="6">
        <v>3859350.06</v>
      </c>
      <c r="I6" s="6">
        <v>5488707.9500000002</v>
      </c>
      <c r="J6" s="6">
        <v>3391609.77</v>
      </c>
      <c r="K6" s="6">
        <f t="shared" si="0"/>
        <v>86817289.299999997</v>
      </c>
      <c r="L6" s="6">
        <f t="shared" si="1"/>
        <v>7102.1997136780101</v>
      </c>
    </row>
    <row r="7" spans="1:12" x14ac:dyDescent="0.2">
      <c r="A7" s="6" t="s">
        <v>78</v>
      </c>
      <c r="B7" s="6">
        <v>13555</v>
      </c>
      <c r="C7" s="6">
        <v>48441483.439999998</v>
      </c>
      <c r="D7" s="6">
        <v>4444997.67</v>
      </c>
      <c r="E7" s="6">
        <v>6257691.0300000003</v>
      </c>
      <c r="F7" s="6">
        <v>3619632.93</v>
      </c>
      <c r="G7" s="6">
        <v>7696424.4699999997</v>
      </c>
      <c r="H7" s="6">
        <v>4389539.99</v>
      </c>
      <c r="I7" s="6">
        <v>5343405.05</v>
      </c>
      <c r="J7" s="6">
        <v>4118531.3</v>
      </c>
      <c r="K7" s="6">
        <f t="shared" si="0"/>
        <v>84311705.879999995</v>
      </c>
      <c r="L7" s="6">
        <f t="shared" si="1"/>
        <v>6219.9709243821462</v>
      </c>
    </row>
    <row r="8" spans="1:12" x14ac:dyDescent="0.2">
      <c r="A8" s="6" t="s">
        <v>79</v>
      </c>
      <c r="B8" s="6">
        <v>6320</v>
      </c>
      <c r="C8" s="6">
        <v>25663129.280000001</v>
      </c>
      <c r="D8" s="6">
        <v>1650391.35</v>
      </c>
      <c r="E8" s="6">
        <v>4329913.4400000004</v>
      </c>
      <c r="F8" s="6">
        <v>1684713.34</v>
      </c>
      <c r="G8" s="6">
        <v>4802491.05</v>
      </c>
      <c r="H8" s="6">
        <v>3384011.51</v>
      </c>
      <c r="I8" s="6">
        <v>3109431.61</v>
      </c>
      <c r="J8" s="6">
        <v>1901448.38</v>
      </c>
      <c r="K8" s="6">
        <f t="shared" si="0"/>
        <v>46525529.960000001</v>
      </c>
      <c r="L8" s="6">
        <f t="shared" si="1"/>
        <v>7361.634487341772</v>
      </c>
    </row>
    <row r="9" spans="1:12" x14ac:dyDescent="0.2">
      <c r="A9" s="7" t="s">
        <v>80</v>
      </c>
      <c r="B9" s="6">
        <v>1638</v>
      </c>
      <c r="C9" s="6">
        <v>6116319.2300000004</v>
      </c>
      <c r="D9" s="6">
        <v>219410.2</v>
      </c>
      <c r="E9" s="6">
        <v>923483.32</v>
      </c>
      <c r="F9" s="6">
        <v>92431</v>
      </c>
      <c r="G9" s="6">
        <v>1310402.1499999999</v>
      </c>
      <c r="H9" s="6">
        <v>841346.28</v>
      </c>
      <c r="I9" s="6">
        <v>261656.75</v>
      </c>
      <c r="J9" s="6">
        <v>263627.07</v>
      </c>
      <c r="K9" s="6">
        <f t="shared" si="0"/>
        <v>10028676</v>
      </c>
      <c r="L9" s="6">
        <f t="shared" si="1"/>
        <v>6122.5128205128203</v>
      </c>
    </row>
    <row r="10" spans="1:12" ht="13.5" thickBot="1" x14ac:dyDescent="0.25">
      <c r="A10" s="8" t="s">
        <v>103</v>
      </c>
      <c r="B10" s="8">
        <f>SUM(B4:B9)</f>
        <v>93316</v>
      </c>
      <c r="C10" s="8">
        <f t="shared" ref="C10:K10" si="2">SUM(C4:C9)</f>
        <v>338523182.24000001</v>
      </c>
      <c r="D10" s="8">
        <f t="shared" si="2"/>
        <v>50781001.210000008</v>
      </c>
      <c r="E10" s="8">
        <f t="shared" si="2"/>
        <v>29090330.220000003</v>
      </c>
      <c r="F10" s="8">
        <f t="shared" si="2"/>
        <v>30556330.800000001</v>
      </c>
      <c r="G10" s="8">
        <f t="shared" si="2"/>
        <v>56747168.75</v>
      </c>
      <c r="H10" s="8">
        <f t="shared" si="2"/>
        <v>26986573.289999999</v>
      </c>
      <c r="I10" s="8">
        <f t="shared" si="2"/>
        <v>27973423.66</v>
      </c>
      <c r="J10" s="8">
        <f t="shared" si="2"/>
        <v>23574077.490000002</v>
      </c>
      <c r="K10" s="8">
        <f t="shared" si="2"/>
        <v>584232087.65999997</v>
      </c>
      <c r="L10" s="8">
        <f t="shared" si="1"/>
        <v>6260.7922291997083</v>
      </c>
    </row>
    <row r="11" spans="1:12" ht="13.5" thickTop="1" x14ac:dyDescent="0.2">
      <c r="A11" s="6"/>
      <c r="B11" s="6"/>
      <c r="C11" s="6"/>
      <c r="D11" s="6"/>
      <c r="E11" s="6"/>
      <c r="F11" s="6"/>
      <c r="G11" s="6"/>
      <c r="H11" s="6"/>
      <c r="I11" s="6"/>
      <c r="J11" s="6"/>
      <c r="K11" s="6"/>
      <c r="L11" s="6"/>
    </row>
    <row r="12" spans="1:12" x14ac:dyDescent="0.2">
      <c r="A12" s="6" t="s">
        <v>81</v>
      </c>
      <c r="B12" s="6">
        <v>22945</v>
      </c>
      <c r="C12" s="6">
        <v>84582149.829999998</v>
      </c>
      <c r="D12" s="6">
        <v>13893112.66</v>
      </c>
      <c r="E12" s="6">
        <v>6423835.9299999997</v>
      </c>
      <c r="F12" s="6">
        <v>7405067.5499999998</v>
      </c>
      <c r="G12" s="6">
        <v>16403249.66</v>
      </c>
      <c r="H12" s="6">
        <v>5055984.5199999996</v>
      </c>
      <c r="I12" s="6">
        <v>11540985.5</v>
      </c>
      <c r="J12" s="6">
        <v>9006354.5299999993</v>
      </c>
      <c r="K12" s="6">
        <f>SUM(C12:J12)</f>
        <v>154310740.17999998</v>
      </c>
      <c r="L12" s="6">
        <f t="shared" si="1"/>
        <v>6725.2447234691645</v>
      </c>
    </row>
    <row r="13" spans="1:12" x14ac:dyDescent="0.2">
      <c r="A13" s="6" t="s">
        <v>82</v>
      </c>
      <c r="B13" s="6">
        <v>10221</v>
      </c>
      <c r="C13" s="6">
        <v>35403037.689999998</v>
      </c>
      <c r="D13" s="6">
        <v>5584099.71</v>
      </c>
      <c r="E13" s="6">
        <v>3216879.46</v>
      </c>
      <c r="F13" s="6">
        <v>4450407.3499999996</v>
      </c>
      <c r="G13" s="6">
        <v>7813103.6900000004</v>
      </c>
      <c r="H13" s="6">
        <v>4568855.09</v>
      </c>
      <c r="I13" s="6">
        <v>5889814.7599999998</v>
      </c>
      <c r="J13" s="6">
        <v>2685971.5</v>
      </c>
      <c r="K13" s="6">
        <f>SUM(C13:J13)</f>
        <v>69612169.25</v>
      </c>
      <c r="L13" s="6">
        <f t="shared" si="1"/>
        <v>6810.7004451619214</v>
      </c>
    </row>
    <row r="14" spans="1:12" x14ac:dyDescent="0.2">
      <c r="A14" s="6" t="s">
        <v>83</v>
      </c>
      <c r="B14" s="6">
        <v>4767</v>
      </c>
      <c r="C14" s="6">
        <v>18282405.93</v>
      </c>
      <c r="D14" s="6">
        <v>2457685.5299999998</v>
      </c>
      <c r="E14" s="6">
        <v>2306909.46</v>
      </c>
      <c r="F14" s="6">
        <v>1960774.9</v>
      </c>
      <c r="G14" s="6">
        <v>4383585.76</v>
      </c>
      <c r="H14" s="6">
        <v>2578866.2999999998</v>
      </c>
      <c r="I14" s="6">
        <v>3778146.62</v>
      </c>
      <c r="J14" s="6">
        <v>1914648.55</v>
      </c>
      <c r="K14" s="6">
        <f>SUM(C14:J14)</f>
        <v>37663023.049999997</v>
      </c>
      <c r="L14" s="6">
        <f t="shared" si="1"/>
        <v>7900.7810048248366</v>
      </c>
    </row>
    <row r="15" spans="1:12" x14ac:dyDescent="0.2">
      <c r="A15" s="6" t="s">
        <v>84</v>
      </c>
      <c r="B15" s="6">
        <v>5471</v>
      </c>
      <c r="C15" s="6">
        <v>25441636.59</v>
      </c>
      <c r="D15" s="6">
        <v>2793222.39</v>
      </c>
      <c r="E15" s="6">
        <v>4436559.71</v>
      </c>
      <c r="F15" s="6">
        <v>2790428.87</v>
      </c>
      <c r="G15" s="6">
        <v>5947703.4800000004</v>
      </c>
      <c r="H15" s="6">
        <v>4584458.79</v>
      </c>
      <c r="I15" s="6">
        <v>5049874.96</v>
      </c>
      <c r="J15" s="6">
        <v>2050304.69</v>
      </c>
      <c r="K15" s="6">
        <f>SUM(C15:J15)</f>
        <v>53094189.480000004</v>
      </c>
      <c r="L15" s="6">
        <f t="shared" si="1"/>
        <v>9704.6590166331571</v>
      </c>
    </row>
    <row r="16" spans="1:12" x14ac:dyDescent="0.2">
      <c r="A16" s="6" t="s">
        <v>85</v>
      </c>
      <c r="B16" s="6">
        <v>1316</v>
      </c>
      <c r="C16" s="6">
        <v>7995272.9100000001</v>
      </c>
      <c r="D16" s="6">
        <v>580860.28</v>
      </c>
      <c r="E16" s="6">
        <v>2096426.21</v>
      </c>
      <c r="F16" s="6">
        <v>357400.55</v>
      </c>
      <c r="G16" s="6">
        <v>2108661.73</v>
      </c>
      <c r="H16" s="6">
        <v>1373961.96</v>
      </c>
      <c r="I16" s="6">
        <v>1604195.63</v>
      </c>
      <c r="J16" s="6">
        <v>491478.3</v>
      </c>
      <c r="K16" s="6">
        <f>SUM(C16:J16)</f>
        <v>16608257.57</v>
      </c>
      <c r="L16" s="6">
        <f t="shared" si="1"/>
        <v>12620.256512158056</v>
      </c>
    </row>
    <row r="17" spans="1:12" ht="13.5" thickBot="1" x14ac:dyDescent="0.25">
      <c r="A17" s="8" t="s">
        <v>104</v>
      </c>
      <c r="B17" s="8">
        <f>SUM(B12:B16)</f>
        <v>44720</v>
      </c>
      <c r="C17" s="8">
        <f t="shared" ref="C17:K17" si="3">SUM(C12:C16)</f>
        <v>171704502.94999999</v>
      </c>
      <c r="D17" s="8">
        <f t="shared" si="3"/>
        <v>25308980.570000004</v>
      </c>
      <c r="E17" s="8">
        <f t="shared" si="3"/>
        <v>18480610.770000003</v>
      </c>
      <c r="F17" s="8">
        <f t="shared" si="3"/>
        <v>16964079.219999999</v>
      </c>
      <c r="G17" s="8">
        <f t="shared" si="3"/>
        <v>36656304.32</v>
      </c>
      <c r="H17" s="8">
        <f t="shared" si="3"/>
        <v>18162126.66</v>
      </c>
      <c r="I17" s="8">
        <f t="shared" si="3"/>
        <v>27863017.469999999</v>
      </c>
      <c r="J17" s="8">
        <f t="shared" si="3"/>
        <v>16148757.57</v>
      </c>
      <c r="K17" s="8">
        <f t="shared" si="3"/>
        <v>331288379.52999997</v>
      </c>
      <c r="L17" s="8">
        <f t="shared" si="1"/>
        <v>7408.0585762522351</v>
      </c>
    </row>
    <row r="18" spans="1:12" ht="13.5" thickTop="1" x14ac:dyDescent="0.2">
      <c r="A18" s="6"/>
      <c r="B18" s="6"/>
      <c r="C18" s="6"/>
      <c r="D18" s="6"/>
      <c r="E18" s="6"/>
      <c r="F18" s="6"/>
      <c r="G18" s="6"/>
      <c r="H18" s="6"/>
      <c r="I18" s="6"/>
      <c r="J18" s="6"/>
      <c r="K18" s="6"/>
      <c r="L18" s="6"/>
    </row>
    <row r="19" spans="1:12" x14ac:dyDescent="0.2">
      <c r="A19" s="6" t="s">
        <v>86</v>
      </c>
      <c r="B19" s="6">
        <v>12246</v>
      </c>
      <c r="C19" s="6">
        <v>43289095.700000003</v>
      </c>
      <c r="D19" s="6">
        <v>4562985.37</v>
      </c>
      <c r="E19" s="6">
        <v>3443906.79</v>
      </c>
      <c r="F19" s="6">
        <v>4432160.82</v>
      </c>
      <c r="G19" s="6">
        <v>8004251.4000000004</v>
      </c>
      <c r="H19" s="6">
        <v>3683507.23</v>
      </c>
      <c r="I19" s="6">
        <v>4985647.62</v>
      </c>
      <c r="J19" s="6">
        <v>5309466.7699999996</v>
      </c>
      <c r="K19" s="6">
        <f>SUM(C19:J19)</f>
        <v>77711021.700000003</v>
      </c>
      <c r="L19" s="6">
        <f t="shared" si="1"/>
        <v>6345.8289808917198</v>
      </c>
    </row>
    <row r="20" spans="1:12" x14ac:dyDescent="0.2">
      <c r="A20" s="6" t="s">
        <v>87</v>
      </c>
      <c r="B20" s="6">
        <v>7215</v>
      </c>
      <c r="C20" s="6">
        <v>33668845.869999997</v>
      </c>
      <c r="D20" s="6">
        <v>2788676.45</v>
      </c>
      <c r="E20" s="6">
        <v>6043108.5499999998</v>
      </c>
      <c r="F20" s="6">
        <v>1921992.34</v>
      </c>
      <c r="G20" s="6">
        <v>7191731.0499999998</v>
      </c>
      <c r="H20" s="6">
        <v>4401620.83</v>
      </c>
      <c r="I20" s="6">
        <v>5693427.7000000002</v>
      </c>
      <c r="J20" s="6">
        <v>3524061.28</v>
      </c>
      <c r="K20" s="6">
        <f>SUM(C20:J20)</f>
        <v>65233464.07</v>
      </c>
      <c r="L20" s="6">
        <f t="shared" si="1"/>
        <v>9041.3671614691611</v>
      </c>
    </row>
    <row r="21" spans="1:12" ht="13.5" thickBot="1" x14ac:dyDescent="0.25">
      <c r="A21" s="8" t="s">
        <v>105</v>
      </c>
      <c r="B21" s="8">
        <f>SUM(B19:B20)</f>
        <v>19461</v>
      </c>
      <c r="C21" s="8">
        <f t="shared" ref="C21:K21" si="4">SUM(C19:C20)</f>
        <v>76957941.569999993</v>
      </c>
      <c r="D21" s="8">
        <f t="shared" si="4"/>
        <v>7351661.8200000003</v>
      </c>
      <c r="E21" s="8">
        <f t="shared" si="4"/>
        <v>9487015.3399999999</v>
      </c>
      <c r="F21" s="8">
        <f t="shared" si="4"/>
        <v>6354153.1600000001</v>
      </c>
      <c r="G21" s="8">
        <f t="shared" si="4"/>
        <v>15195982.449999999</v>
      </c>
      <c r="H21" s="8">
        <f t="shared" si="4"/>
        <v>8085128.0600000005</v>
      </c>
      <c r="I21" s="8">
        <f t="shared" si="4"/>
        <v>10679075.32</v>
      </c>
      <c r="J21" s="8">
        <f t="shared" si="4"/>
        <v>8833528.0499999989</v>
      </c>
      <c r="K21" s="8">
        <f t="shared" si="4"/>
        <v>142944485.77000001</v>
      </c>
      <c r="L21" s="8">
        <f t="shared" si="1"/>
        <v>7345.1768033502913</v>
      </c>
    </row>
    <row r="22" spans="1:12" ht="13.5" thickTop="1" x14ac:dyDescent="0.2">
      <c r="A22" s="6"/>
      <c r="B22" s="6"/>
      <c r="C22" s="6"/>
      <c r="D22" s="6"/>
      <c r="E22" s="6"/>
      <c r="F22" s="6"/>
      <c r="G22" s="6"/>
      <c r="H22" s="6"/>
      <c r="I22" s="6"/>
      <c r="J22" s="6"/>
      <c r="K22" s="6"/>
      <c r="L22" s="6"/>
    </row>
    <row r="23" spans="1:12" ht="13.5" thickBot="1" x14ac:dyDescent="0.25">
      <c r="A23" s="126" t="s">
        <v>209</v>
      </c>
      <c r="B23" s="126">
        <f>B10+B17+B21</f>
        <v>157497</v>
      </c>
      <c r="C23" s="126">
        <f>(C10+C17+C21)</f>
        <v>587185626.75999999</v>
      </c>
      <c r="D23" s="126">
        <f t="shared" ref="D23:K23" si="5">(D10+D17+D21)</f>
        <v>83441643.600000024</v>
      </c>
      <c r="E23" s="126">
        <f t="shared" si="5"/>
        <v>57057956.330000013</v>
      </c>
      <c r="F23" s="126">
        <f t="shared" si="5"/>
        <v>53874563.179999992</v>
      </c>
      <c r="G23" s="126">
        <f t="shared" si="5"/>
        <v>108599455.52</v>
      </c>
      <c r="H23" s="126">
        <f t="shared" si="5"/>
        <v>53233828.010000005</v>
      </c>
      <c r="I23" s="126">
        <f t="shared" si="5"/>
        <v>66515516.449999996</v>
      </c>
      <c r="J23" s="126">
        <f t="shared" si="5"/>
        <v>48556363.109999999</v>
      </c>
      <c r="K23" s="126">
        <f t="shared" si="5"/>
        <v>1058464952.9599999</v>
      </c>
      <c r="L23" s="126">
        <f t="shared" si="1"/>
        <v>6720.5404100395554</v>
      </c>
    </row>
    <row r="24" spans="1:12" x14ac:dyDescent="0.2">
      <c r="A24" s="6"/>
      <c r="B24" s="6"/>
      <c r="C24" s="6"/>
      <c r="D24" s="6"/>
      <c r="E24" s="6"/>
      <c r="F24" s="6"/>
      <c r="G24" s="6"/>
      <c r="H24" s="6"/>
      <c r="I24" s="6"/>
      <c r="J24" s="6"/>
      <c r="K24" s="6"/>
    </row>
    <row r="25" spans="1:12" x14ac:dyDescent="0.2">
      <c r="A25" s="36" t="s">
        <v>247</v>
      </c>
      <c r="B25" s="6"/>
      <c r="C25" s="6"/>
      <c r="D25" s="6"/>
      <c r="E25" s="6"/>
      <c r="F25" s="6"/>
      <c r="G25" s="6"/>
      <c r="H25" s="6"/>
      <c r="I25" s="6"/>
      <c r="J25" s="6"/>
      <c r="K25" s="6"/>
    </row>
    <row r="26" spans="1:12" x14ac:dyDescent="0.2">
      <c r="A26" s="36" t="s">
        <v>249</v>
      </c>
      <c r="B26" s="6"/>
      <c r="C26" s="6"/>
      <c r="D26" s="6"/>
      <c r="E26" s="6"/>
      <c r="F26" s="6"/>
      <c r="G26" s="6"/>
      <c r="H26" s="6"/>
      <c r="I26" s="6"/>
      <c r="J26" s="6"/>
      <c r="K26" s="6"/>
    </row>
    <row r="27" spans="1:12" ht="33.75" x14ac:dyDescent="0.2">
      <c r="A27" s="155" t="s">
        <v>245</v>
      </c>
      <c r="B27" s="141" t="s">
        <v>235</v>
      </c>
      <c r="C27" s="141" t="s">
        <v>236</v>
      </c>
      <c r="D27" s="141" t="s">
        <v>237</v>
      </c>
      <c r="E27" s="141" t="s">
        <v>238</v>
      </c>
      <c r="F27" s="141" t="s">
        <v>239</v>
      </c>
      <c r="G27" s="141" t="s">
        <v>240</v>
      </c>
      <c r="H27" s="141" t="s">
        <v>241</v>
      </c>
      <c r="I27" s="141" t="s">
        <v>242</v>
      </c>
      <c r="J27" s="141" t="s">
        <v>243</v>
      </c>
      <c r="K27" s="141" t="s">
        <v>244</v>
      </c>
    </row>
    <row r="28" spans="1:12" x14ac:dyDescent="0.2">
      <c r="A28" s="6" t="s">
        <v>102</v>
      </c>
      <c r="B28" s="6">
        <f t="shared" ref="B28:B33" si="6">B4</f>
        <v>35570</v>
      </c>
      <c r="C28" s="6">
        <f>C4/B28</f>
        <v>3452.5988827663764</v>
      </c>
      <c r="D28" s="6">
        <f t="shared" ref="D28:D34" si="7">D4/B28</f>
        <v>640.91983553556372</v>
      </c>
      <c r="E28" s="6">
        <f t="shared" ref="E28:E34" si="8">E4/B28</f>
        <v>190.12237306719143</v>
      </c>
      <c r="F28" s="6">
        <f t="shared" ref="F28:F34" si="9">F4/B28</f>
        <v>323.55904385718298</v>
      </c>
      <c r="G28" s="6">
        <f t="shared" ref="G28:G34" si="10">G4/B28</f>
        <v>590.04505285352832</v>
      </c>
      <c r="H28" s="6">
        <f t="shared" ref="H28:H34" si="11">H4/B28</f>
        <v>227.09538740511667</v>
      </c>
      <c r="I28" s="6">
        <f t="shared" ref="I28:I34" si="12">I4/B28</f>
        <v>202.04143407365757</v>
      </c>
      <c r="J28" s="6">
        <f t="shared" ref="J28:J34" si="13">J4/B28</f>
        <v>177.72626932808546</v>
      </c>
      <c r="K28" s="6">
        <f t="shared" ref="K28:K34" si="14">SUM(C28:J28)</f>
        <v>5804.1082788867025</v>
      </c>
    </row>
    <row r="29" spans="1:12" x14ac:dyDescent="0.2">
      <c r="A29" s="6" t="s">
        <v>76</v>
      </c>
      <c r="B29" s="6">
        <f t="shared" si="6"/>
        <v>24009</v>
      </c>
      <c r="C29" s="6">
        <f t="shared" ref="C29:C45" si="15">C5/B29</f>
        <v>3588.5691536507143</v>
      </c>
      <c r="D29" s="6">
        <f t="shared" si="7"/>
        <v>595.11016993627391</v>
      </c>
      <c r="E29" s="6">
        <f t="shared" si="8"/>
        <v>251.2412799366904</v>
      </c>
      <c r="F29" s="6">
        <f t="shared" si="9"/>
        <v>370.21870298638009</v>
      </c>
      <c r="G29" s="6">
        <f t="shared" si="10"/>
        <v>588.73242742304967</v>
      </c>
      <c r="H29" s="6">
        <f t="shared" si="11"/>
        <v>268.00543629472281</v>
      </c>
      <c r="I29" s="6">
        <f t="shared" si="12"/>
        <v>274.2141900953809</v>
      </c>
      <c r="J29" s="6">
        <f t="shared" si="13"/>
        <v>315.59571702278316</v>
      </c>
      <c r="K29" s="6">
        <f t="shared" si="14"/>
        <v>6251.687077345995</v>
      </c>
    </row>
    <row r="30" spans="1:12" x14ac:dyDescent="0.2">
      <c r="A30" s="6" t="s">
        <v>77</v>
      </c>
      <c r="B30" s="6">
        <f t="shared" si="6"/>
        <v>12224</v>
      </c>
      <c r="C30" s="6">
        <f t="shared" si="15"/>
        <v>4035.941690117801</v>
      </c>
      <c r="D30" s="6">
        <f t="shared" si="7"/>
        <v>603.78627045157066</v>
      </c>
      <c r="E30" s="6">
        <f t="shared" si="8"/>
        <v>391.40524623691101</v>
      </c>
      <c r="F30" s="6">
        <f t="shared" si="9"/>
        <v>389.55967768324609</v>
      </c>
      <c r="G30" s="6">
        <f t="shared" si="10"/>
        <v>639.32196498691098</v>
      </c>
      <c r="H30" s="6">
        <f t="shared" si="11"/>
        <v>315.71908213350787</v>
      </c>
      <c r="I30" s="6">
        <f t="shared" si="12"/>
        <v>449.01079433900526</v>
      </c>
      <c r="J30" s="6">
        <f t="shared" si="13"/>
        <v>277.45498772905762</v>
      </c>
      <c r="K30" s="6">
        <f t="shared" si="14"/>
        <v>7102.1997136780101</v>
      </c>
    </row>
    <row r="31" spans="1:12" x14ac:dyDescent="0.2">
      <c r="A31" s="6" t="s">
        <v>78</v>
      </c>
      <c r="B31" s="6">
        <f t="shared" si="6"/>
        <v>13555</v>
      </c>
      <c r="C31" s="6">
        <f t="shared" si="15"/>
        <v>3573.6985201032826</v>
      </c>
      <c r="D31" s="6">
        <f t="shared" si="7"/>
        <v>327.92310365178901</v>
      </c>
      <c r="E31" s="6">
        <f t="shared" si="8"/>
        <v>461.65186499446702</v>
      </c>
      <c r="F31" s="6">
        <f t="shared" si="9"/>
        <v>267.03304537071193</v>
      </c>
      <c r="G31" s="6">
        <f t="shared" si="10"/>
        <v>567.79228845444482</v>
      </c>
      <c r="H31" s="6">
        <f t="shared" si="11"/>
        <v>323.83179564736264</v>
      </c>
      <c r="I31" s="6">
        <f t="shared" si="12"/>
        <v>394.20177425304314</v>
      </c>
      <c r="J31" s="6">
        <f t="shared" si="13"/>
        <v>303.83853190704536</v>
      </c>
      <c r="K31" s="6">
        <f t="shared" si="14"/>
        <v>6219.970924382148</v>
      </c>
    </row>
    <row r="32" spans="1:12" x14ac:dyDescent="0.2">
      <c r="A32" s="6" t="s">
        <v>79</v>
      </c>
      <c r="B32" s="6">
        <f t="shared" si="6"/>
        <v>6320</v>
      </c>
      <c r="C32" s="6">
        <f t="shared" si="15"/>
        <v>4060.6217215189877</v>
      </c>
      <c r="D32" s="6">
        <f t="shared" si="7"/>
        <v>261.13787183544304</v>
      </c>
      <c r="E32" s="6">
        <f t="shared" si="8"/>
        <v>685.1128860759494</v>
      </c>
      <c r="F32" s="6">
        <f t="shared" si="9"/>
        <v>266.56856645569621</v>
      </c>
      <c r="G32" s="6">
        <f t="shared" si="10"/>
        <v>759.88782436708857</v>
      </c>
      <c r="H32" s="6">
        <f t="shared" si="11"/>
        <v>535.44485917721511</v>
      </c>
      <c r="I32" s="6">
        <f t="shared" si="12"/>
        <v>491.99867246835441</v>
      </c>
      <c r="J32" s="6">
        <f t="shared" si="13"/>
        <v>300.86208544303798</v>
      </c>
      <c r="K32" s="6">
        <f t="shared" si="14"/>
        <v>7361.634487341772</v>
      </c>
    </row>
    <row r="33" spans="1:11" x14ac:dyDescent="0.2">
      <c r="A33" s="6" t="s">
        <v>80</v>
      </c>
      <c r="B33" s="6">
        <f t="shared" si="6"/>
        <v>1638</v>
      </c>
      <c r="C33" s="6">
        <f t="shared" si="15"/>
        <v>3734.0166239316241</v>
      </c>
      <c r="D33" s="6">
        <f t="shared" si="7"/>
        <v>133.95006105006107</v>
      </c>
      <c r="E33" s="6">
        <f t="shared" si="8"/>
        <v>563.78713064713065</v>
      </c>
      <c r="F33" s="6">
        <f t="shared" si="9"/>
        <v>56.429181929181929</v>
      </c>
      <c r="G33" s="6">
        <f t="shared" si="10"/>
        <v>800.00131257631256</v>
      </c>
      <c r="H33" s="6">
        <f t="shared" si="11"/>
        <v>513.64241758241758</v>
      </c>
      <c r="I33" s="6">
        <f t="shared" si="12"/>
        <v>159.74160561660563</v>
      </c>
      <c r="J33" s="6">
        <f t="shared" si="13"/>
        <v>160.9444871794872</v>
      </c>
      <c r="K33" s="6">
        <f t="shared" si="14"/>
        <v>6122.5128205128212</v>
      </c>
    </row>
    <row r="34" spans="1:11" ht="13.5" thickBot="1" x14ac:dyDescent="0.25">
      <c r="A34" s="8" t="s">
        <v>219</v>
      </c>
      <c r="B34" s="8">
        <f>SUM(B28:B33)</f>
        <v>93316</v>
      </c>
      <c r="C34" s="8">
        <f t="shared" si="15"/>
        <v>3627.7078125937674</v>
      </c>
      <c r="D34" s="8">
        <f t="shared" si="7"/>
        <v>544.18321841913507</v>
      </c>
      <c r="E34" s="8">
        <f t="shared" si="8"/>
        <v>311.74000407218489</v>
      </c>
      <c r="F34" s="8">
        <f t="shared" si="9"/>
        <v>327.45007072742084</v>
      </c>
      <c r="G34" s="8">
        <f t="shared" si="10"/>
        <v>608.11831572291999</v>
      </c>
      <c r="H34" s="8">
        <f t="shared" si="11"/>
        <v>289.1955644262506</v>
      </c>
      <c r="I34" s="8">
        <f t="shared" si="12"/>
        <v>299.77092524325946</v>
      </c>
      <c r="J34" s="8">
        <f t="shared" si="13"/>
        <v>252.62631799477049</v>
      </c>
      <c r="K34" s="8">
        <f t="shared" si="14"/>
        <v>6260.7922291997093</v>
      </c>
    </row>
    <row r="35" spans="1:11" ht="13.5" thickTop="1" x14ac:dyDescent="0.2">
      <c r="A35" s="6"/>
      <c r="B35" s="6"/>
      <c r="C35" s="6"/>
      <c r="D35" s="6"/>
      <c r="E35" s="6"/>
      <c r="F35" s="6"/>
      <c r="G35" s="6"/>
      <c r="H35" s="6"/>
      <c r="I35" s="6"/>
      <c r="J35" s="6"/>
      <c r="K35" s="6"/>
    </row>
    <row r="36" spans="1:11" x14ac:dyDescent="0.2">
      <c r="A36" s="6" t="s">
        <v>81</v>
      </c>
      <c r="B36" s="6">
        <v>22945</v>
      </c>
      <c r="C36" s="6">
        <f t="shared" si="15"/>
        <v>3686.2998400522988</v>
      </c>
      <c r="D36" s="6">
        <f t="shared" ref="D36:D41" si="16">D12/B36</f>
        <v>605.49630246241009</v>
      </c>
      <c r="E36" s="6">
        <f t="shared" ref="E36:E41" si="17">E12/B36</f>
        <v>279.96669993462626</v>
      </c>
      <c r="F36" s="6">
        <f t="shared" ref="F36:F41" si="18">F12/B36</f>
        <v>322.73120723469162</v>
      </c>
      <c r="G36" s="6">
        <f t="shared" ref="G36:G41" si="19">G12/B36</f>
        <v>714.89429766833734</v>
      </c>
      <c r="H36" s="6">
        <f t="shared" ref="H36:H41" si="20">H12/B36</f>
        <v>220.35234342994116</v>
      </c>
      <c r="I36" s="6">
        <f t="shared" ref="I36:I41" si="21">I12/B36</f>
        <v>502.98476792329484</v>
      </c>
      <c r="J36" s="6">
        <f t="shared" ref="J36:J41" si="22">J12/B36</f>
        <v>392.51926476356499</v>
      </c>
      <c r="K36" s="6">
        <f t="shared" ref="K36:K41" si="23">SUM(C36:J36)</f>
        <v>6725.2447234691645</v>
      </c>
    </row>
    <row r="37" spans="1:11" x14ac:dyDescent="0.2">
      <c r="A37" s="6" t="s">
        <v>82</v>
      </c>
      <c r="B37" s="6">
        <v>10221</v>
      </c>
      <c r="C37" s="6">
        <f t="shared" si="15"/>
        <v>3463.7547881811952</v>
      </c>
      <c r="D37" s="6">
        <f t="shared" si="16"/>
        <v>546.33594658056938</v>
      </c>
      <c r="E37" s="6">
        <f t="shared" si="17"/>
        <v>314.7323608257509</v>
      </c>
      <c r="F37" s="6">
        <f t="shared" si="18"/>
        <v>435.41799726054199</v>
      </c>
      <c r="G37" s="6">
        <f t="shared" si="19"/>
        <v>764.41675863418459</v>
      </c>
      <c r="H37" s="6">
        <f t="shared" si="20"/>
        <v>447.0066617747774</v>
      </c>
      <c r="I37" s="6">
        <f t="shared" si="21"/>
        <v>576.24642989922711</v>
      </c>
      <c r="J37" s="6">
        <f t="shared" si="22"/>
        <v>262.78950200567459</v>
      </c>
      <c r="K37" s="6">
        <f t="shared" si="23"/>
        <v>6810.7004451619205</v>
      </c>
    </row>
    <row r="38" spans="1:11" x14ac:dyDescent="0.2">
      <c r="A38" s="6" t="s">
        <v>83</v>
      </c>
      <c r="B38" s="6">
        <v>4767</v>
      </c>
      <c r="C38" s="6">
        <f t="shared" si="15"/>
        <v>3835.2015796098176</v>
      </c>
      <c r="D38" s="6">
        <f t="shared" si="16"/>
        <v>515.56230962869722</v>
      </c>
      <c r="E38" s="6">
        <f t="shared" si="17"/>
        <v>483.93317809943358</v>
      </c>
      <c r="F38" s="6">
        <f t="shared" si="18"/>
        <v>411.32261380323052</v>
      </c>
      <c r="G38" s="6">
        <f t="shared" si="19"/>
        <v>919.56907069435704</v>
      </c>
      <c r="H38" s="6">
        <f t="shared" si="20"/>
        <v>540.98307111390807</v>
      </c>
      <c r="I38" s="6">
        <f t="shared" si="21"/>
        <v>792.56274805957628</v>
      </c>
      <c r="J38" s="6">
        <f t="shared" si="22"/>
        <v>401.64643381581709</v>
      </c>
      <c r="K38" s="6">
        <f t="shared" si="23"/>
        <v>7900.7810048248375</v>
      </c>
    </row>
    <row r="39" spans="1:11" x14ac:dyDescent="0.2">
      <c r="A39" s="6" t="s">
        <v>84</v>
      </c>
      <c r="B39" s="6">
        <v>5471</v>
      </c>
      <c r="C39" s="6">
        <f t="shared" si="15"/>
        <v>4650.2717218058851</v>
      </c>
      <c r="D39" s="6">
        <f t="shared" si="16"/>
        <v>510.55061049168347</v>
      </c>
      <c r="E39" s="6">
        <f t="shared" si="17"/>
        <v>810.92299579601536</v>
      </c>
      <c r="F39" s="6">
        <f t="shared" si="18"/>
        <v>510.04000548345823</v>
      </c>
      <c r="G39" s="6">
        <f t="shared" si="19"/>
        <v>1087.1327874246026</v>
      </c>
      <c r="H39" s="6">
        <f t="shared" si="20"/>
        <v>837.95627673185891</v>
      </c>
      <c r="I39" s="6">
        <f t="shared" si="21"/>
        <v>923.02594772436487</v>
      </c>
      <c r="J39" s="6">
        <f t="shared" si="22"/>
        <v>374.75867117528787</v>
      </c>
      <c r="K39" s="6">
        <f t="shared" si="23"/>
        <v>9704.6590166331571</v>
      </c>
    </row>
    <row r="40" spans="1:11" x14ac:dyDescent="0.2">
      <c r="A40" s="6" t="s">
        <v>85</v>
      </c>
      <c r="B40" s="6">
        <v>1316</v>
      </c>
      <c r="C40" s="6">
        <f t="shared" si="15"/>
        <v>6075.4353419452891</v>
      </c>
      <c r="D40" s="6">
        <f t="shared" si="16"/>
        <v>441.38319148936171</v>
      </c>
      <c r="E40" s="6">
        <f t="shared" si="17"/>
        <v>1593.0290349544073</v>
      </c>
      <c r="F40" s="6">
        <f t="shared" si="18"/>
        <v>271.58096504559268</v>
      </c>
      <c r="G40" s="6">
        <f t="shared" si="19"/>
        <v>1602.3265425531915</v>
      </c>
      <c r="H40" s="6">
        <f t="shared" si="20"/>
        <v>1044.0440425531915</v>
      </c>
      <c r="I40" s="6">
        <f t="shared" si="21"/>
        <v>1218.9936398176292</v>
      </c>
      <c r="J40" s="6">
        <f t="shared" si="22"/>
        <v>373.46375379939207</v>
      </c>
      <c r="K40" s="6">
        <f t="shared" si="23"/>
        <v>12620.256512158056</v>
      </c>
    </row>
    <row r="41" spans="1:11" ht="13.5" thickBot="1" x14ac:dyDescent="0.25">
      <c r="A41" s="8" t="s">
        <v>220</v>
      </c>
      <c r="B41" s="8">
        <f>SUM(B36:B40)</f>
        <v>44720</v>
      </c>
      <c r="C41" s="8">
        <f t="shared" si="15"/>
        <v>3839.5461303667262</v>
      </c>
      <c r="D41" s="8">
        <f t="shared" si="16"/>
        <v>565.94321489266554</v>
      </c>
      <c r="E41" s="8">
        <f t="shared" si="17"/>
        <v>413.25158251341691</v>
      </c>
      <c r="F41" s="8">
        <f t="shared" si="18"/>
        <v>379.33987522361355</v>
      </c>
      <c r="G41" s="8">
        <f t="shared" si="19"/>
        <v>819.68480143112697</v>
      </c>
      <c r="H41" s="8">
        <f t="shared" si="20"/>
        <v>406.12984481216461</v>
      </c>
      <c r="I41" s="8">
        <f t="shared" si="21"/>
        <v>623.05495237030414</v>
      </c>
      <c r="J41" s="8">
        <f t="shared" si="22"/>
        <v>361.10817464221827</v>
      </c>
      <c r="K41" s="8">
        <f t="shared" si="23"/>
        <v>7408.0585762522351</v>
      </c>
    </row>
    <row r="42" spans="1:11" ht="13.5" thickTop="1" x14ac:dyDescent="0.2">
      <c r="A42" s="6"/>
      <c r="B42" s="6"/>
      <c r="C42" s="6"/>
      <c r="D42" s="6"/>
      <c r="E42" s="6"/>
      <c r="F42" s="6"/>
      <c r="G42" s="6"/>
      <c r="H42" s="6"/>
      <c r="I42" s="6"/>
      <c r="J42" s="6"/>
      <c r="K42" s="6"/>
    </row>
    <row r="43" spans="1:11" x14ac:dyDescent="0.2">
      <c r="A43" s="6" t="s">
        <v>86</v>
      </c>
      <c r="B43" s="6">
        <v>12246</v>
      </c>
      <c r="C43" s="6">
        <f t="shared" si="15"/>
        <v>3534.9580026130984</v>
      </c>
      <c r="D43" s="6">
        <f>D19/B43</f>
        <v>372.61027029234037</v>
      </c>
      <c r="E43" s="6">
        <f>E19/B43</f>
        <v>281.22707741303282</v>
      </c>
      <c r="F43" s="6">
        <f>F19/B43</f>
        <v>361.92722684958358</v>
      </c>
      <c r="G43" s="6">
        <f>G19/B43</f>
        <v>653.6217050465458</v>
      </c>
      <c r="H43" s="6">
        <f>H19/B43</f>
        <v>300.7926857749469</v>
      </c>
      <c r="I43" s="6">
        <f>I19/B43</f>
        <v>407.1245810877021</v>
      </c>
      <c r="J43" s="6">
        <f>J19/B43</f>
        <v>433.56743181447001</v>
      </c>
      <c r="K43" s="6">
        <f>SUM(C43:J43)</f>
        <v>6345.8289808917198</v>
      </c>
    </row>
    <row r="44" spans="1:11" x14ac:dyDescent="0.2">
      <c r="A44" s="7" t="s">
        <v>87</v>
      </c>
      <c r="B44" s="6">
        <v>7215</v>
      </c>
      <c r="C44" s="6">
        <f t="shared" si="15"/>
        <v>4666.5067040887034</v>
      </c>
      <c r="D44" s="6">
        <f>D20/B44</f>
        <v>386.5109424809425</v>
      </c>
      <c r="E44" s="6">
        <f>E20/B44</f>
        <v>837.57568260568257</v>
      </c>
      <c r="F44" s="6">
        <f>F20/B44</f>
        <v>266.38840471240474</v>
      </c>
      <c r="G44" s="6">
        <f>G20/B44</f>
        <v>996.77492030492033</v>
      </c>
      <c r="H44" s="6">
        <f>H20/B44</f>
        <v>610.06525710325707</v>
      </c>
      <c r="I44" s="6">
        <f>I20/B44</f>
        <v>789.10986832986839</v>
      </c>
      <c r="J44" s="6">
        <f>J20/B44</f>
        <v>488.43538184338183</v>
      </c>
      <c r="K44" s="6">
        <f>SUM(C44:J44)</f>
        <v>9041.3671614691593</v>
      </c>
    </row>
    <row r="45" spans="1:11" ht="13.5" thickBot="1" x14ac:dyDescent="0.25">
      <c r="A45" s="8" t="s">
        <v>221</v>
      </c>
      <c r="B45" s="8">
        <f>SUM(B43:B44)</f>
        <v>19461</v>
      </c>
      <c r="C45" s="8">
        <f t="shared" si="15"/>
        <v>3954.4700462463384</v>
      </c>
      <c r="D45" s="8">
        <f>D21/B45</f>
        <v>377.76382611376602</v>
      </c>
      <c r="E45" s="8">
        <f>E21/B45</f>
        <v>487.48858434818356</v>
      </c>
      <c r="F45" s="8">
        <f>F21/B45</f>
        <v>326.50702224962748</v>
      </c>
      <c r="G45" s="8">
        <f>G21/B45</f>
        <v>780.84283695596321</v>
      </c>
      <c r="H45" s="8">
        <f>H21/B45</f>
        <v>415.4528575098916</v>
      </c>
      <c r="I45" s="8">
        <f>I21/B45</f>
        <v>548.74237295103023</v>
      </c>
      <c r="J45" s="8">
        <f>J21/B45</f>
        <v>453.90925697548937</v>
      </c>
      <c r="K45" s="8">
        <f>SUM(C45:J45)</f>
        <v>7345.1768033502894</v>
      </c>
    </row>
    <row r="46" spans="1:11" ht="13.5" thickTop="1" x14ac:dyDescent="0.2">
      <c r="A46" s="6"/>
      <c r="B46" s="6"/>
      <c r="C46" s="6"/>
      <c r="D46" s="6"/>
      <c r="E46" s="6"/>
      <c r="F46" s="6"/>
      <c r="G46" s="6"/>
      <c r="H46" s="6"/>
      <c r="I46" s="6"/>
      <c r="J46" s="6"/>
      <c r="K46" s="6"/>
    </row>
    <row r="47" spans="1:11" ht="13.5" thickBot="1" x14ac:dyDescent="0.25">
      <c r="A47" s="8" t="s">
        <v>222</v>
      </c>
      <c r="B47" s="8">
        <f>B34+B41+B45</f>
        <v>157497</v>
      </c>
      <c r="C47" s="8">
        <f>C23/$B$47</f>
        <v>3728.2337235629884</v>
      </c>
      <c r="D47" s="8">
        <f t="shared" ref="D47:J47" si="24">D23/$B$47</f>
        <v>529.79830472961407</v>
      </c>
      <c r="E47" s="8">
        <f t="shared" si="24"/>
        <v>362.27963916773024</v>
      </c>
      <c r="F47" s="8">
        <f t="shared" si="24"/>
        <v>342.06723416953969</v>
      </c>
      <c r="G47" s="8">
        <f t="shared" si="24"/>
        <v>689.53348647910752</v>
      </c>
      <c r="H47" s="8">
        <f t="shared" si="24"/>
        <v>337.99899686978171</v>
      </c>
      <c r="I47" s="8">
        <f t="shared" si="24"/>
        <v>422.32878372286456</v>
      </c>
      <c r="J47" s="8">
        <f t="shared" si="24"/>
        <v>308.30024133793023</v>
      </c>
      <c r="K47" s="8">
        <f>SUM(C47:J47)</f>
        <v>6720.5404100395563</v>
      </c>
    </row>
    <row r="48" spans="1:11" ht="13.5" thickTop="1" x14ac:dyDescent="0.2">
      <c r="A48" s="6"/>
      <c r="B48" s="6"/>
      <c r="C48" s="6"/>
      <c r="D48" s="6"/>
      <c r="E48" s="6"/>
      <c r="F48" s="6"/>
      <c r="G48" s="6"/>
      <c r="H48" s="6"/>
      <c r="I48" s="6"/>
      <c r="J48" s="6"/>
      <c r="K48" s="6"/>
    </row>
    <row r="49" spans="1:11" x14ac:dyDescent="0.2">
      <c r="A49" s="36" t="s">
        <v>247</v>
      </c>
      <c r="B49" s="6"/>
      <c r="C49" s="6"/>
      <c r="D49" s="6"/>
      <c r="E49" s="6"/>
      <c r="F49" s="6"/>
      <c r="G49" s="6"/>
      <c r="H49" s="6"/>
      <c r="I49" s="6"/>
      <c r="J49" s="6"/>
      <c r="K49" s="6"/>
    </row>
    <row r="50" spans="1:11" x14ac:dyDescent="0.2">
      <c r="A50" s="22" t="s">
        <v>250</v>
      </c>
      <c r="B50" s="6"/>
      <c r="C50" s="6"/>
      <c r="D50" s="6"/>
      <c r="E50" s="6"/>
      <c r="F50" s="6"/>
      <c r="G50" s="6"/>
      <c r="H50" s="6"/>
      <c r="I50" s="6"/>
      <c r="J50" s="6"/>
      <c r="K50" s="6"/>
    </row>
    <row r="51" spans="1:11" ht="33.75" x14ac:dyDescent="0.2">
      <c r="A51" s="155" t="s">
        <v>245</v>
      </c>
      <c r="B51" s="141" t="s">
        <v>235</v>
      </c>
      <c r="C51" s="141" t="s">
        <v>236</v>
      </c>
      <c r="D51" s="141" t="s">
        <v>246</v>
      </c>
      <c r="E51" s="141" t="s">
        <v>238</v>
      </c>
      <c r="F51" s="141" t="s">
        <v>239</v>
      </c>
      <c r="G51" s="141" t="s">
        <v>240</v>
      </c>
      <c r="H51" s="141" t="s">
        <v>241</v>
      </c>
      <c r="I51" s="141" t="s">
        <v>242</v>
      </c>
      <c r="J51" s="141" t="s">
        <v>243</v>
      </c>
      <c r="K51" s="141" t="s">
        <v>244</v>
      </c>
    </row>
    <row r="52" spans="1:11" x14ac:dyDescent="0.2">
      <c r="A52" s="6" t="s">
        <v>102</v>
      </c>
      <c r="B52" s="6">
        <f t="shared" ref="B52:B57" si="25">B28</f>
        <v>35570</v>
      </c>
      <c r="C52" s="9">
        <f>C4/$K$4</f>
        <v>0.5948543198833337</v>
      </c>
      <c r="D52" s="9">
        <f t="shared" ref="D52:K52" si="26">D4/$K$4</f>
        <v>0.11042520310432592</v>
      </c>
      <c r="E52" s="9">
        <f t="shared" si="26"/>
        <v>3.2756517268774862E-2</v>
      </c>
      <c r="F52" s="9">
        <f t="shared" si="26"/>
        <v>5.5746555424228836E-2</v>
      </c>
      <c r="G52" s="9">
        <f t="shared" si="26"/>
        <v>0.10165989752463853</v>
      </c>
      <c r="H52" s="9">
        <f t="shared" si="26"/>
        <v>3.9126662786635034E-2</v>
      </c>
      <c r="I52" s="9">
        <f t="shared" si="26"/>
        <v>3.4810073204287556E-2</v>
      </c>
      <c r="J52" s="9">
        <f t="shared" si="26"/>
        <v>3.0620770803775475E-2</v>
      </c>
      <c r="K52" s="9">
        <f t="shared" si="26"/>
        <v>1</v>
      </c>
    </row>
    <row r="53" spans="1:11" x14ac:dyDescent="0.2">
      <c r="A53" s="6" t="s">
        <v>76</v>
      </c>
      <c r="B53" s="6">
        <f t="shared" si="25"/>
        <v>24009</v>
      </c>
      <c r="C53" s="9">
        <f t="shared" ref="C53:K53" si="27">C5/$K$5</f>
        <v>0.57401611904960481</v>
      </c>
      <c r="D53" s="9">
        <f t="shared" si="27"/>
        <v>9.5191931805536534E-2</v>
      </c>
      <c r="E53" s="9">
        <f t="shared" si="27"/>
        <v>4.0187756813213515E-2</v>
      </c>
      <c r="F53" s="9">
        <f t="shared" si="27"/>
        <v>5.9219007350500286E-2</v>
      </c>
      <c r="G53" s="9">
        <f t="shared" si="27"/>
        <v>9.4171768378557744E-2</v>
      </c>
      <c r="H53" s="9">
        <f t="shared" si="27"/>
        <v>4.2869297995717683E-2</v>
      </c>
      <c r="I53" s="9">
        <f t="shared" si="27"/>
        <v>4.3862430525200252E-2</v>
      </c>
      <c r="J53" s="9">
        <f t="shared" si="27"/>
        <v>5.0481688081669272E-2</v>
      </c>
      <c r="K53" s="9">
        <f t="shared" si="27"/>
        <v>1</v>
      </c>
    </row>
    <row r="54" spans="1:11" x14ac:dyDescent="0.2">
      <c r="A54" s="6" t="s">
        <v>77</v>
      </c>
      <c r="B54" s="6">
        <f t="shared" si="25"/>
        <v>12224</v>
      </c>
      <c r="C54" s="9">
        <f>C6/$K$6</f>
        <v>0.56826643192601956</v>
      </c>
      <c r="D54" s="9">
        <f t="shared" ref="D54:K54" si="28">D6/$K$6</f>
        <v>8.501398085001026E-2</v>
      </c>
      <c r="E54" s="9">
        <f t="shared" si="28"/>
        <v>5.5110425222640542E-2</v>
      </c>
      <c r="F54" s="9">
        <f t="shared" si="28"/>
        <v>5.4850566498855204E-2</v>
      </c>
      <c r="G54" s="9">
        <f t="shared" si="28"/>
        <v>9.0017458077903845E-2</v>
      </c>
      <c r="H54" s="9">
        <f t="shared" si="28"/>
        <v>4.4453703762437097E-2</v>
      </c>
      <c r="I54" s="9">
        <f t="shared" si="28"/>
        <v>6.3221369778473382E-2</v>
      </c>
      <c r="J54" s="9">
        <f t="shared" si="28"/>
        <v>3.9066063883660095E-2</v>
      </c>
      <c r="K54" s="9">
        <f t="shared" si="28"/>
        <v>1</v>
      </c>
    </row>
    <row r="55" spans="1:11" x14ac:dyDescent="0.2">
      <c r="A55" s="6" t="s">
        <v>78</v>
      </c>
      <c r="B55" s="6">
        <f t="shared" si="25"/>
        <v>13555</v>
      </c>
      <c r="C55" s="9">
        <f>C7/$K$7</f>
        <v>0.57455228706849171</v>
      </c>
      <c r="D55" s="9">
        <f t="shared" ref="D55:K55" si="29">D7/$K$7</f>
        <v>5.2721002660372218E-2</v>
      </c>
      <c r="E55" s="9">
        <f t="shared" si="29"/>
        <v>7.4220904021400178E-2</v>
      </c>
      <c r="F55" s="9">
        <f t="shared" si="29"/>
        <v>4.2931558461784508E-2</v>
      </c>
      <c r="G55" s="9">
        <f t="shared" si="29"/>
        <v>9.1285360551881647E-2</v>
      </c>
      <c r="H55" s="9">
        <f t="shared" si="29"/>
        <v>5.2063233025406795E-2</v>
      </c>
      <c r="I55" s="9">
        <f t="shared" si="29"/>
        <v>6.33767872945806E-2</v>
      </c>
      <c r="J55" s="9">
        <f t="shared" si="29"/>
        <v>4.8848866916082374E-2</v>
      </c>
      <c r="K55" s="9">
        <f t="shared" si="29"/>
        <v>1</v>
      </c>
    </row>
    <row r="56" spans="1:11" x14ac:dyDescent="0.2">
      <c r="A56" s="6" t="s">
        <v>79</v>
      </c>
      <c r="B56" s="6">
        <f t="shared" si="25"/>
        <v>6320</v>
      </c>
      <c r="C56" s="9">
        <f>C8/$K$8</f>
        <v>0.55159241178045038</v>
      </c>
      <c r="D56" s="9">
        <f t="shared" ref="D56:K56" si="30">D8/$K$8</f>
        <v>3.5472811409540367E-2</v>
      </c>
      <c r="E56" s="9">
        <f t="shared" si="30"/>
        <v>9.3065322280533144E-2</v>
      </c>
      <c r="F56" s="9">
        <f t="shared" si="30"/>
        <v>3.6210513699648783E-2</v>
      </c>
      <c r="G56" s="9">
        <f t="shared" si="30"/>
        <v>0.10322270491338643</v>
      </c>
      <c r="H56" s="9">
        <f t="shared" si="30"/>
        <v>7.2734507546918431E-2</v>
      </c>
      <c r="I56" s="9">
        <f t="shared" si="30"/>
        <v>6.6832803681619785E-2</v>
      </c>
      <c r="J56" s="9">
        <f t="shared" si="30"/>
        <v>4.086892468790268E-2</v>
      </c>
      <c r="K56" s="9">
        <f t="shared" si="30"/>
        <v>1</v>
      </c>
    </row>
    <row r="57" spans="1:11" x14ac:dyDescent="0.2">
      <c r="A57" s="6" t="s">
        <v>80</v>
      </c>
      <c r="B57" s="6">
        <f t="shared" si="25"/>
        <v>1638</v>
      </c>
      <c r="C57" s="9">
        <f>C9/$K$9</f>
        <v>0.60988302244483727</v>
      </c>
      <c r="D57" s="9">
        <f t="shared" ref="D57:K57" si="31">D9/$K$9</f>
        <v>2.1878281838998488E-2</v>
      </c>
      <c r="E57" s="9">
        <f t="shared" si="31"/>
        <v>9.2084271144067267E-2</v>
      </c>
      <c r="F57" s="9">
        <f t="shared" si="31"/>
        <v>9.2166702763156368E-3</v>
      </c>
      <c r="G57" s="9">
        <f t="shared" si="31"/>
        <v>0.13066551855898026</v>
      </c>
      <c r="H57" s="9">
        <f t="shared" si="31"/>
        <v>8.3894053412434499E-2</v>
      </c>
      <c r="I57" s="9">
        <f t="shared" si="31"/>
        <v>2.6090856858871501E-2</v>
      </c>
      <c r="J57" s="9">
        <f t="shared" si="31"/>
        <v>2.6287325465495146E-2</v>
      </c>
      <c r="K57" s="9">
        <f t="shared" si="31"/>
        <v>1</v>
      </c>
    </row>
    <row r="58" spans="1:11" ht="13.5" thickBot="1" x14ac:dyDescent="0.25">
      <c r="A58" s="8" t="s">
        <v>219</v>
      </c>
      <c r="B58" s="8">
        <f>SUM(B52:B57)</f>
        <v>93316</v>
      </c>
      <c r="C58" s="11">
        <f>C10/$K$10</f>
        <v>0.57943271071582625</v>
      </c>
      <c r="D58" s="11">
        <f t="shared" ref="D58:K58" si="32">D10/$K$10</f>
        <v>8.6919226592621787E-2</v>
      </c>
      <c r="E58" s="11">
        <f t="shared" si="32"/>
        <v>4.9792421255933188E-2</v>
      </c>
      <c r="F58" s="11">
        <f t="shared" si="32"/>
        <v>5.2301699008669614E-2</v>
      </c>
      <c r="G58" s="11">
        <f t="shared" si="32"/>
        <v>9.713120855324299E-2</v>
      </c>
      <c r="H58" s="11">
        <f t="shared" si="32"/>
        <v>4.6191528777695487E-2</v>
      </c>
      <c r="I58" s="11">
        <f t="shared" si="32"/>
        <v>4.788066977293351E-2</v>
      </c>
      <c r="J58" s="11">
        <f t="shared" si="32"/>
        <v>4.0350535323077266E-2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v>22945</v>
      </c>
      <c r="C61" s="9">
        <f>C12/$K$12</f>
        <v>0.54812872863766215</v>
      </c>
      <c r="D61" s="9">
        <f t="shared" ref="D61:K61" si="33">D12/$K$12</f>
        <v>9.0033348578290789E-2</v>
      </c>
      <c r="E61" s="9">
        <f t="shared" si="33"/>
        <v>4.1629221157948829E-2</v>
      </c>
      <c r="F61" s="9">
        <f t="shared" si="33"/>
        <v>4.7988024303183024E-2</v>
      </c>
      <c r="G61" s="9">
        <f t="shared" si="33"/>
        <v>0.10630011651078844</v>
      </c>
      <c r="H61" s="9">
        <f t="shared" si="33"/>
        <v>3.2764955401693413E-2</v>
      </c>
      <c r="I61" s="9">
        <f t="shared" si="33"/>
        <v>7.4790552404438618E-2</v>
      </c>
      <c r="J61" s="9">
        <f t="shared" si="33"/>
        <v>5.8365053005994857E-2</v>
      </c>
      <c r="K61" s="9">
        <f t="shared" si="33"/>
        <v>1</v>
      </c>
    </row>
    <row r="62" spans="1:11" x14ac:dyDescent="0.2">
      <c r="A62" s="6" t="s">
        <v>82</v>
      </c>
      <c r="B62" s="6">
        <v>10221</v>
      </c>
      <c r="C62" s="9">
        <f>C13/$K$13</f>
        <v>0.50857541248077109</v>
      </c>
      <c r="D62" s="9">
        <f t="shared" ref="D62:K62" si="34">D13/$K$13</f>
        <v>8.0217292036190921E-2</v>
      </c>
      <c r="E62" s="9">
        <f t="shared" si="34"/>
        <v>4.6211452604603326E-2</v>
      </c>
      <c r="F62" s="9">
        <f t="shared" si="34"/>
        <v>6.3931456208714529E-2</v>
      </c>
      <c r="G62" s="9">
        <f t="shared" si="34"/>
        <v>0.11223761267861941</v>
      </c>
      <c r="H62" s="9">
        <f t="shared" si="34"/>
        <v>6.5632994047229748E-2</v>
      </c>
      <c r="I62" s="9">
        <f t="shared" si="34"/>
        <v>8.460898178374178E-2</v>
      </c>
      <c r="J62" s="9">
        <f t="shared" si="34"/>
        <v>3.8584798160129163E-2</v>
      </c>
      <c r="K62" s="9">
        <f t="shared" si="34"/>
        <v>1</v>
      </c>
    </row>
    <row r="63" spans="1:11" x14ac:dyDescent="0.2">
      <c r="A63" s="6" t="s">
        <v>83</v>
      </c>
      <c r="B63" s="6">
        <v>4767</v>
      </c>
      <c r="C63" s="9">
        <f>C14/$K$14</f>
        <v>0.48542056503879077</v>
      </c>
      <c r="D63" s="9">
        <f t="shared" ref="D63:K63" si="35">D14/$K$14</f>
        <v>6.525460069249539E-2</v>
      </c>
      <c r="E63" s="9">
        <f t="shared" si="35"/>
        <v>6.1251308928054839E-2</v>
      </c>
      <c r="F63" s="9">
        <f t="shared" si="35"/>
        <v>5.2061006823508289E-2</v>
      </c>
      <c r="G63" s="9">
        <f t="shared" si="35"/>
        <v>0.11638964174969486</v>
      </c>
      <c r="H63" s="9">
        <f t="shared" si="35"/>
        <v>6.8472100515574522E-2</v>
      </c>
      <c r="I63" s="9">
        <f t="shared" si="35"/>
        <v>0.10031448126148229</v>
      </c>
      <c r="J63" s="9">
        <f t="shared" si="35"/>
        <v>5.0836294990399086E-2</v>
      </c>
      <c r="K63" s="9">
        <f t="shared" si="35"/>
        <v>1</v>
      </c>
    </row>
    <row r="64" spans="1:11" x14ac:dyDescent="0.2">
      <c r="A64" s="6" t="s">
        <v>84</v>
      </c>
      <c r="B64" s="6">
        <v>5471</v>
      </c>
      <c r="C64" s="9">
        <f>C15/$K$15</f>
        <v>0.47917930077044651</v>
      </c>
      <c r="D64" s="9">
        <f t="shared" ref="D64:K64" si="36">D15/$K$15</f>
        <v>5.2608814963682159E-2</v>
      </c>
      <c r="E64" s="9">
        <f t="shared" si="36"/>
        <v>8.3560173974803836E-2</v>
      </c>
      <c r="F64" s="9">
        <f t="shared" si="36"/>
        <v>5.2556200543397012E-2</v>
      </c>
      <c r="G64" s="9">
        <f t="shared" si="36"/>
        <v>0.11202173982221604</v>
      </c>
      <c r="H64" s="9">
        <f t="shared" si="36"/>
        <v>8.6345772200306689E-2</v>
      </c>
      <c r="I64" s="9">
        <f t="shared" si="36"/>
        <v>9.5111631036428806E-2</v>
      </c>
      <c r="J64" s="9">
        <f t="shared" si="36"/>
        <v>3.8616366688718866E-2</v>
      </c>
      <c r="K64" s="9">
        <f t="shared" si="36"/>
        <v>1</v>
      </c>
    </row>
    <row r="65" spans="1:11" x14ac:dyDescent="0.2">
      <c r="A65" s="6" t="s">
        <v>85</v>
      </c>
      <c r="B65" s="6">
        <v>1316</v>
      </c>
      <c r="C65" s="9">
        <f>C16/$K$16</f>
        <v>0.48140347512686127</v>
      </c>
      <c r="D65" s="9">
        <f t="shared" ref="D65:K65" si="37">D16/$K$16</f>
        <v>3.497418543467351E-2</v>
      </c>
      <c r="E65" s="9">
        <f t="shared" si="37"/>
        <v>0.12622794421172984</v>
      </c>
      <c r="F65" s="9">
        <f t="shared" si="37"/>
        <v>2.1519448894240626E-2</v>
      </c>
      <c r="G65" s="9">
        <f t="shared" si="37"/>
        <v>0.12696465725633613</v>
      </c>
      <c r="H65" s="9">
        <f t="shared" si="37"/>
        <v>8.2727640404724287E-2</v>
      </c>
      <c r="I65" s="9">
        <f t="shared" si="37"/>
        <v>9.6590242729478568E-2</v>
      </c>
      <c r="J65" s="9">
        <f t="shared" si="37"/>
        <v>2.9592405941955776E-2</v>
      </c>
      <c r="K65" s="9">
        <f t="shared" si="37"/>
        <v>1</v>
      </c>
    </row>
    <row r="66" spans="1:11" ht="13.5" thickBot="1" x14ac:dyDescent="0.25">
      <c r="A66" s="8" t="s">
        <v>220</v>
      </c>
      <c r="B66" s="8">
        <f>SUM(B61:B65)</f>
        <v>44720</v>
      </c>
      <c r="C66" s="11">
        <f>C17/$K$17</f>
        <v>0.51829316559064886</v>
      </c>
      <c r="D66" s="11">
        <f t="shared" ref="D66:K66" si="38">D17/$K$17</f>
        <v>7.6395618240235136E-2</v>
      </c>
      <c r="E66" s="11">
        <f t="shared" si="38"/>
        <v>5.5784059785672267E-2</v>
      </c>
      <c r="F66" s="11">
        <f t="shared" si="38"/>
        <v>5.1206381715129881E-2</v>
      </c>
      <c r="G66" s="11">
        <f t="shared" si="38"/>
        <v>0.11064772139609735</v>
      </c>
      <c r="H66" s="11">
        <f t="shared" si="38"/>
        <v>5.482270970616801E-2</v>
      </c>
      <c r="I66" s="11">
        <f t="shared" si="38"/>
        <v>8.4105025082767348E-2</v>
      </c>
      <c r="J66" s="11">
        <f t="shared" si="38"/>
        <v>4.8745318483281244E-2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v>12246</v>
      </c>
      <c r="C69" s="9">
        <f>C19/$K$19</f>
        <v>0.55705220125808741</v>
      </c>
      <c r="D69" s="9">
        <f t="shared" ref="D69:K69" si="39">D19/$K$19</f>
        <v>5.8717351415288367E-2</v>
      </c>
      <c r="E69" s="9">
        <f t="shared" si="39"/>
        <v>4.4316838392564846E-2</v>
      </c>
      <c r="F69" s="9">
        <f t="shared" si="39"/>
        <v>5.7033876573006119E-2</v>
      </c>
      <c r="G69" s="9">
        <f t="shared" si="39"/>
        <v>0.10300020801296453</v>
      </c>
      <c r="H69" s="9">
        <f t="shared" si="39"/>
        <v>4.7400061785572947E-2</v>
      </c>
      <c r="I69" s="9">
        <f t="shared" si="39"/>
        <v>6.4156248508054292E-2</v>
      </c>
      <c r="J69" s="9">
        <f t="shared" si="39"/>
        <v>6.8323214054461456E-2</v>
      </c>
      <c r="K69" s="9">
        <f t="shared" si="39"/>
        <v>1</v>
      </c>
    </row>
    <row r="70" spans="1:11" x14ac:dyDescent="0.2">
      <c r="A70" s="6" t="s">
        <v>87</v>
      </c>
      <c r="B70" s="6">
        <v>7215</v>
      </c>
      <c r="C70" s="9">
        <f>C20/$K$20</f>
        <v>0.51612843729824021</v>
      </c>
      <c r="D70" s="9">
        <f t="shared" ref="D70:K70" si="40">D20/$K$20</f>
        <v>4.2749170073316328E-2</v>
      </c>
      <c r="E70" s="9">
        <f t="shared" si="40"/>
        <v>9.2638167176210789E-2</v>
      </c>
      <c r="F70" s="9">
        <f t="shared" si="40"/>
        <v>2.9463288013305101E-2</v>
      </c>
      <c r="G70" s="9">
        <f t="shared" si="40"/>
        <v>0.11024603939908476</v>
      </c>
      <c r="H70" s="9">
        <f t="shared" si="40"/>
        <v>6.7474890269153237E-2</v>
      </c>
      <c r="I70" s="9">
        <f t="shared" si="40"/>
        <v>8.7277715221294391E-2</v>
      </c>
      <c r="J70" s="9">
        <f t="shared" si="40"/>
        <v>5.4022292549395189E-2</v>
      </c>
      <c r="K70" s="9">
        <f t="shared" si="40"/>
        <v>1</v>
      </c>
    </row>
    <row r="71" spans="1:11" ht="13.5" thickBot="1" x14ac:dyDescent="0.25">
      <c r="A71" s="8" t="s">
        <v>221</v>
      </c>
      <c r="B71" s="8">
        <f>SUM(B69:B70)</f>
        <v>19461</v>
      </c>
      <c r="C71" s="11">
        <f>C21/$K$21</f>
        <v>0.53837642743230096</v>
      </c>
      <c r="D71" s="11">
        <f t="shared" ref="D71:K71" si="41">D21/$K$21</f>
        <v>5.1430188302813887E-2</v>
      </c>
      <c r="E71" s="11">
        <f t="shared" si="41"/>
        <v>6.6368529635097373E-2</v>
      </c>
      <c r="F71" s="11">
        <f t="shared" si="41"/>
        <v>4.4451894214540988E-2</v>
      </c>
      <c r="G71" s="11">
        <f t="shared" si="41"/>
        <v>0.1063068810814471</v>
      </c>
      <c r="H71" s="11">
        <f t="shared" si="41"/>
        <v>5.656131481006621E-2</v>
      </c>
      <c r="I71" s="11">
        <f t="shared" si="41"/>
        <v>7.4707850830865938E-2</v>
      </c>
      <c r="J71" s="11">
        <f t="shared" si="41"/>
        <v>6.179691369286737E-2</v>
      </c>
      <c r="K71" s="11">
        <f t="shared" si="41"/>
        <v>1</v>
      </c>
    </row>
    <row r="72" spans="1:11" ht="13.5" thickTop="1" x14ac:dyDescent="0.2">
      <c r="A72" s="6"/>
      <c r="B72" s="6"/>
      <c r="C72" s="9"/>
      <c r="D72" s="9"/>
      <c r="E72" s="9"/>
      <c r="F72" s="9"/>
      <c r="G72" s="9"/>
      <c r="H72" s="9"/>
      <c r="I72" s="9"/>
      <c r="J72" s="9"/>
      <c r="K72" s="9"/>
    </row>
    <row r="73" spans="1:11" ht="13.5" thickBot="1" x14ac:dyDescent="0.25">
      <c r="A73" s="126" t="s">
        <v>222</v>
      </c>
      <c r="B73" s="126">
        <f>B58+B66+B71</f>
        <v>157497</v>
      </c>
      <c r="C73" s="127">
        <f>C23/$K$23</f>
        <v>0.55475207291269668</v>
      </c>
      <c r="D73" s="127">
        <f t="shared" ref="D73:K73" si="42">D23/$K$23</f>
        <v>7.8832693861667552E-2</v>
      </c>
      <c r="E73" s="127">
        <f t="shared" si="42"/>
        <v>5.3906325542888586E-2</v>
      </c>
      <c r="F73" s="127">
        <f t="shared" si="42"/>
        <v>5.0898769042224443E-2</v>
      </c>
      <c r="G73" s="127">
        <f t="shared" si="42"/>
        <v>0.10260089879811451</v>
      </c>
      <c r="H73" s="127">
        <f t="shared" si="42"/>
        <v>5.0293425267536225E-2</v>
      </c>
      <c r="I73" s="127">
        <f t="shared" si="42"/>
        <v>6.2841491599688007E-2</v>
      </c>
      <c r="J73" s="127">
        <f t="shared" si="42"/>
        <v>4.5874322975184019E-2</v>
      </c>
      <c r="K73" s="127">
        <f t="shared" si="42"/>
        <v>1</v>
      </c>
    </row>
    <row r="90" spans="1:11" x14ac:dyDescent="0.2">
      <c r="A90" s="36" t="s">
        <v>247</v>
      </c>
    </row>
    <row r="91" spans="1:11" x14ac:dyDescent="0.2">
      <c r="A91" s="22" t="s">
        <v>248</v>
      </c>
    </row>
    <row r="92" spans="1:11" ht="22.5" x14ac:dyDescent="0.2">
      <c r="A92" s="21" t="s">
        <v>245</v>
      </c>
      <c r="B92" s="12" t="s">
        <v>235</v>
      </c>
      <c r="C92" s="12" t="s">
        <v>94</v>
      </c>
      <c r="D92" s="12" t="s">
        <v>95</v>
      </c>
      <c r="E92" s="12" t="s">
        <v>96</v>
      </c>
      <c r="F92" s="12" t="s">
        <v>97</v>
      </c>
      <c r="G92" s="12" t="s">
        <v>98</v>
      </c>
      <c r="H92" s="12" t="s">
        <v>99</v>
      </c>
      <c r="I92" s="12" t="s">
        <v>93</v>
      </c>
      <c r="J92" s="12" t="s">
        <v>115</v>
      </c>
      <c r="K92" s="12" t="s">
        <v>113</v>
      </c>
    </row>
    <row r="93" spans="1:11" x14ac:dyDescent="0.2">
      <c r="A93" s="6" t="s">
        <v>102</v>
      </c>
      <c r="B93" s="6">
        <v>35570</v>
      </c>
      <c r="C93" s="6">
        <v>122808942.26000001</v>
      </c>
      <c r="D93" s="6">
        <v>22797518.550000001</v>
      </c>
      <c r="E93" s="6">
        <v>6762652.8099999996</v>
      </c>
      <c r="F93" s="6">
        <v>11508995.189999999</v>
      </c>
      <c r="G93" s="6">
        <v>20987902.530000001</v>
      </c>
      <c r="H93" s="6">
        <v>8077782.9299999997</v>
      </c>
      <c r="I93" s="6">
        <v>7186613.8099999996</v>
      </c>
      <c r="J93" s="6">
        <v>6321723.4000000004</v>
      </c>
      <c r="K93" s="6">
        <f t="shared" ref="K93:K98" si="43">SUM(C93:J93)</f>
        <v>206452131.48000002</v>
      </c>
    </row>
    <row r="94" spans="1:11" x14ac:dyDescent="0.2">
      <c r="A94" s="6" t="s">
        <v>76</v>
      </c>
      <c r="B94" s="6">
        <v>24009</v>
      </c>
      <c r="C94" s="6">
        <v>86157956.810000002</v>
      </c>
      <c r="D94" s="6">
        <v>14288000.07</v>
      </c>
      <c r="E94" s="6">
        <v>6032051.8899999997</v>
      </c>
      <c r="F94" s="6">
        <v>8888580.8399999999</v>
      </c>
      <c r="G94" s="6">
        <v>14134876.85</v>
      </c>
      <c r="H94" s="6">
        <v>6434542.5199999996</v>
      </c>
      <c r="I94" s="6">
        <v>6583608.4900000002</v>
      </c>
      <c r="J94" s="6">
        <v>7577137.5700000003</v>
      </c>
      <c r="K94" s="6">
        <f t="shared" si="43"/>
        <v>150096755.03999999</v>
      </c>
    </row>
    <row r="95" spans="1:11" x14ac:dyDescent="0.2">
      <c r="A95" s="6" t="s">
        <v>77</v>
      </c>
      <c r="B95" s="6">
        <v>12224</v>
      </c>
      <c r="C95" s="6">
        <v>49335351.219999999</v>
      </c>
      <c r="D95" s="6">
        <v>7380683.3700000001</v>
      </c>
      <c r="E95" s="6">
        <v>4784537.7300000004</v>
      </c>
      <c r="F95" s="6">
        <v>4761977.5</v>
      </c>
      <c r="G95" s="6">
        <v>7815071.7000000002</v>
      </c>
      <c r="H95" s="6">
        <v>3859350.06</v>
      </c>
      <c r="I95" s="6">
        <v>5488707.9500000002</v>
      </c>
      <c r="J95" s="6">
        <v>3391609.77</v>
      </c>
      <c r="K95" s="6">
        <f t="shared" si="43"/>
        <v>86817289.299999997</v>
      </c>
    </row>
    <row r="96" spans="1:11" x14ac:dyDescent="0.2">
      <c r="A96" s="6" t="s">
        <v>78</v>
      </c>
      <c r="B96" s="6">
        <v>13555</v>
      </c>
      <c r="C96" s="6">
        <v>48441483.439999998</v>
      </c>
      <c r="D96" s="6">
        <v>4444997.67</v>
      </c>
      <c r="E96" s="6">
        <v>6257691.0300000003</v>
      </c>
      <c r="F96" s="6">
        <v>3619632.93</v>
      </c>
      <c r="G96" s="6">
        <v>7696424.4699999997</v>
      </c>
      <c r="H96" s="6">
        <v>4389539.99</v>
      </c>
      <c r="I96" s="6">
        <v>5343405.05</v>
      </c>
      <c r="J96" s="6">
        <v>4118531.3</v>
      </c>
      <c r="K96" s="6">
        <f t="shared" si="43"/>
        <v>84311705.879999995</v>
      </c>
    </row>
    <row r="97" spans="1:11" x14ac:dyDescent="0.2">
      <c r="A97" s="6" t="s">
        <v>79</v>
      </c>
      <c r="B97" s="6">
        <v>6320</v>
      </c>
      <c r="C97" s="6">
        <v>25663129.280000001</v>
      </c>
      <c r="D97" s="6">
        <v>1650391.35</v>
      </c>
      <c r="E97" s="6">
        <v>4329913.4400000004</v>
      </c>
      <c r="F97" s="6">
        <v>1684713.34</v>
      </c>
      <c r="G97" s="6">
        <v>4802491.05</v>
      </c>
      <c r="H97" s="6">
        <v>3384011.51</v>
      </c>
      <c r="I97" s="6">
        <v>3109431.61</v>
      </c>
      <c r="J97" s="6">
        <v>1901448.38</v>
      </c>
      <c r="K97" s="6">
        <f t="shared" si="43"/>
        <v>46525529.960000001</v>
      </c>
    </row>
    <row r="98" spans="1:11" x14ac:dyDescent="0.2">
      <c r="A98" s="7" t="s">
        <v>80</v>
      </c>
      <c r="B98" s="6">
        <v>1638</v>
      </c>
      <c r="C98" s="6">
        <v>6116319.2300000004</v>
      </c>
      <c r="D98" s="6">
        <v>219410.2</v>
      </c>
      <c r="E98" s="6">
        <v>923483.32</v>
      </c>
      <c r="F98" s="6">
        <v>92431</v>
      </c>
      <c r="G98" s="6">
        <v>1310402.1499999999</v>
      </c>
      <c r="H98" s="6">
        <v>841346.28</v>
      </c>
      <c r="I98" s="6">
        <v>261656.75</v>
      </c>
      <c r="J98" s="6">
        <v>263627.07</v>
      </c>
      <c r="K98" s="6">
        <f t="shared" si="43"/>
        <v>10028676</v>
      </c>
    </row>
    <row r="99" spans="1:11" ht="13.5" thickBot="1" x14ac:dyDescent="0.25">
      <c r="A99" s="8" t="s">
        <v>103</v>
      </c>
      <c r="B99" s="8">
        <f t="shared" ref="B99:K99" si="44">SUM(B93:B98)</f>
        <v>93316</v>
      </c>
      <c r="C99" s="8">
        <f t="shared" si="44"/>
        <v>338523182.24000001</v>
      </c>
      <c r="D99" s="8">
        <f t="shared" si="44"/>
        <v>50781001.210000008</v>
      </c>
      <c r="E99" s="8">
        <f t="shared" si="44"/>
        <v>29090330.220000003</v>
      </c>
      <c r="F99" s="8">
        <f t="shared" si="44"/>
        <v>30556330.800000001</v>
      </c>
      <c r="G99" s="8">
        <f t="shared" si="44"/>
        <v>56747168.75</v>
      </c>
      <c r="H99" s="8">
        <f t="shared" si="44"/>
        <v>26986573.289999999</v>
      </c>
      <c r="I99" s="8">
        <f t="shared" si="44"/>
        <v>27973423.66</v>
      </c>
      <c r="J99" s="8">
        <f t="shared" si="44"/>
        <v>23574077.490000002</v>
      </c>
      <c r="K99" s="8">
        <f t="shared" si="44"/>
        <v>584232087.65999997</v>
      </c>
    </row>
    <row r="100" spans="1:11" ht="13.5" thickTop="1" x14ac:dyDescent="0.2">
      <c r="A100" s="6"/>
      <c r="B100" s="6"/>
      <c r="C100" s="6"/>
      <c r="D100" s="6"/>
      <c r="E100" s="6"/>
      <c r="F100" s="6"/>
      <c r="G100" s="6"/>
      <c r="H100" s="6"/>
      <c r="I100" s="6"/>
      <c r="J100" s="6"/>
      <c r="K100" s="6"/>
    </row>
    <row r="101" spans="1:11" x14ac:dyDescent="0.2">
      <c r="A101" s="6" t="s">
        <v>81</v>
      </c>
      <c r="B101" s="6">
        <v>22945</v>
      </c>
      <c r="C101" s="6">
        <v>84582149.829999998</v>
      </c>
      <c r="D101" s="6">
        <v>13893112.66</v>
      </c>
      <c r="E101" s="6">
        <v>6423835.9299999997</v>
      </c>
      <c r="F101" s="6">
        <v>7405067.5499999998</v>
      </c>
      <c r="G101" s="6">
        <v>16403249.66</v>
      </c>
      <c r="H101" s="6">
        <v>5055984.5199999996</v>
      </c>
      <c r="I101" s="6">
        <v>11540985.5</v>
      </c>
      <c r="J101" s="6">
        <v>9006354.5299999993</v>
      </c>
      <c r="K101" s="6">
        <f>SUM(C101:J101)</f>
        <v>154310740.17999998</v>
      </c>
    </row>
    <row r="102" spans="1:11" x14ac:dyDescent="0.2">
      <c r="A102" s="6" t="s">
        <v>82</v>
      </c>
      <c r="B102" s="6">
        <v>10221</v>
      </c>
      <c r="C102" s="6">
        <v>35403037.689999998</v>
      </c>
      <c r="D102" s="6">
        <v>5584099.71</v>
      </c>
      <c r="E102" s="6">
        <v>3216879.46</v>
      </c>
      <c r="F102" s="6">
        <v>4450407.3499999996</v>
      </c>
      <c r="G102" s="6">
        <v>7813103.6900000004</v>
      </c>
      <c r="H102" s="6">
        <v>4568855.09</v>
      </c>
      <c r="I102" s="6">
        <v>5889814.7599999998</v>
      </c>
      <c r="J102" s="6">
        <v>2685971.5</v>
      </c>
      <c r="K102" s="6">
        <f>SUM(C102:J102)</f>
        <v>69612169.25</v>
      </c>
    </row>
    <row r="103" spans="1:11" x14ac:dyDescent="0.2">
      <c r="A103" s="6" t="s">
        <v>83</v>
      </c>
      <c r="B103" s="6">
        <v>4767</v>
      </c>
      <c r="C103" s="6">
        <v>18282405.93</v>
      </c>
      <c r="D103" s="6">
        <v>2457685.5299999998</v>
      </c>
      <c r="E103" s="6">
        <v>2306909.46</v>
      </c>
      <c r="F103" s="6">
        <v>1960774.9</v>
      </c>
      <c r="G103" s="6">
        <v>4383585.76</v>
      </c>
      <c r="H103" s="6">
        <v>2578866.2999999998</v>
      </c>
      <c r="I103" s="6">
        <v>3778146.62</v>
      </c>
      <c r="J103" s="6">
        <v>1914648.55</v>
      </c>
      <c r="K103" s="6">
        <f>SUM(C103:J103)</f>
        <v>37663023.049999997</v>
      </c>
    </row>
    <row r="104" spans="1:11" x14ac:dyDescent="0.2">
      <c r="A104" s="6" t="s">
        <v>84</v>
      </c>
      <c r="B104" s="6">
        <v>5471</v>
      </c>
      <c r="C104" s="6">
        <v>25441636.59</v>
      </c>
      <c r="D104" s="6">
        <v>2793222.39</v>
      </c>
      <c r="E104" s="6">
        <v>4436559.71</v>
      </c>
      <c r="F104" s="6">
        <v>2790428.87</v>
      </c>
      <c r="G104" s="6">
        <v>5947703.4800000004</v>
      </c>
      <c r="H104" s="6">
        <v>4584458.79</v>
      </c>
      <c r="I104" s="6">
        <v>5049874.96</v>
      </c>
      <c r="J104" s="6">
        <v>2050304.69</v>
      </c>
      <c r="K104" s="6">
        <f>SUM(C104:J104)</f>
        <v>53094189.480000004</v>
      </c>
    </row>
    <row r="105" spans="1:11" x14ac:dyDescent="0.2">
      <c r="A105" s="6" t="s">
        <v>85</v>
      </c>
      <c r="B105" s="6">
        <v>1316</v>
      </c>
      <c r="C105" s="6">
        <v>7995272.9100000001</v>
      </c>
      <c r="D105" s="6">
        <v>580860.28</v>
      </c>
      <c r="E105" s="6">
        <v>2096426.21</v>
      </c>
      <c r="F105" s="6">
        <v>357400.55</v>
      </c>
      <c r="G105" s="6">
        <v>2108661.73</v>
      </c>
      <c r="H105" s="6">
        <v>1373961.96</v>
      </c>
      <c r="I105" s="6">
        <v>1604195.63</v>
      </c>
      <c r="J105" s="6">
        <v>491478.3</v>
      </c>
      <c r="K105" s="6">
        <f>SUM(C105:J105)</f>
        <v>16608257.57</v>
      </c>
    </row>
    <row r="106" spans="1:11" ht="13.5" thickBot="1" x14ac:dyDescent="0.25">
      <c r="A106" s="8" t="s">
        <v>104</v>
      </c>
      <c r="B106" s="8">
        <f t="shared" ref="B106:K106" si="45">SUM(B101:B105)</f>
        <v>44720</v>
      </c>
      <c r="C106" s="8">
        <f t="shared" si="45"/>
        <v>171704502.94999999</v>
      </c>
      <c r="D106" s="8">
        <f t="shared" si="45"/>
        <v>25308980.570000004</v>
      </c>
      <c r="E106" s="8">
        <f t="shared" si="45"/>
        <v>18480610.770000003</v>
      </c>
      <c r="F106" s="8">
        <f t="shared" si="45"/>
        <v>16964079.219999999</v>
      </c>
      <c r="G106" s="8">
        <f t="shared" si="45"/>
        <v>36656304.32</v>
      </c>
      <c r="H106" s="8">
        <f t="shared" si="45"/>
        <v>18162126.66</v>
      </c>
      <c r="I106" s="8">
        <f t="shared" si="45"/>
        <v>27863017.469999999</v>
      </c>
      <c r="J106" s="8">
        <f t="shared" si="45"/>
        <v>16148757.57</v>
      </c>
      <c r="K106" s="8">
        <f t="shared" si="45"/>
        <v>331288379.52999997</v>
      </c>
    </row>
    <row r="107" spans="1:11" ht="13.5" thickTop="1" x14ac:dyDescent="0.2">
      <c r="A107" s="6"/>
      <c r="B107" s="6"/>
      <c r="C107" s="6"/>
      <c r="D107" s="6"/>
      <c r="E107" s="6"/>
      <c r="F107" s="6"/>
      <c r="G107" s="6"/>
      <c r="H107" s="6"/>
      <c r="I107" s="6"/>
      <c r="J107" s="6"/>
      <c r="K107" s="6"/>
    </row>
    <row r="108" spans="1:11" x14ac:dyDescent="0.2">
      <c r="A108" s="6" t="s">
        <v>86</v>
      </c>
      <c r="B108" s="6">
        <v>12246</v>
      </c>
      <c r="C108" s="6">
        <v>43289095.700000003</v>
      </c>
      <c r="D108" s="6">
        <v>4562985.37</v>
      </c>
      <c r="E108" s="6">
        <v>3443906.79</v>
      </c>
      <c r="F108" s="6">
        <v>4432160.82</v>
      </c>
      <c r="G108" s="6">
        <v>8004251.4000000004</v>
      </c>
      <c r="H108" s="6">
        <v>3683507.23</v>
      </c>
      <c r="I108" s="6">
        <v>4985647.62</v>
      </c>
      <c r="J108" s="6">
        <v>5309466.7699999996</v>
      </c>
      <c r="K108" s="6">
        <f>SUM(C108:J108)</f>
        <v>77711021.700000003</v>
      </c>
    </row>
    <row r="109" spans="1:11" x14ac:dyDescent="0.2">
      <c r="A109" s="6" t="s">
        <v>87</v>
      </c>
      <c r="B109" s="6">
        <v>7215</v>
      </c>
      <c r="C109" s="6">
        <v>33668845.869999997</v>
      </c>
      <c r="D109" s="6">
        <v>2788676.45</v>
      </c>
      <c r="E109" s="6">
        <v>6043108.5499999998</v>
      </c>
      <c r="F109" s="6">
        <v>1921992.34</v>
      </c>
      <c r="G109" s="6">
        <v>7191731.0499999998</v>
      </c>
      <c r="H109" s="6">
        <v>4401620.83</v>
      </c>
      <c r="I109" s="6">
        <v>5693427.7000000002</v>
      </c>
      <c r="J109" s="6">
        <v>3524061.28</v>
      </c>
      <c r="K109" s="6">
        <f>SUM(C109:J109)</f>
        <v>65233464.07</v>
      </c>
    </row>
    <row r="110" spans="1:11" ht="13.5" thickBot="1" x14ac:dyDescent="0.25">
      <c r="A110" s="8" t="s">
        <v>105</v>
      </c>
      <c r="B110" s="8">
        <f t="shared" ref="B110:K110" si="46">SUM(B108:B109)</f>
        <v>19461</v>
      </c>
      <c r="C110" s="8">
        <f t="shared" si="46"/>
        <v>76957941.569999993</v>
      </c>
      <c r="D110" s="8">
        <f t="shared" si="46"/>
        <v>7351661.8200000003</v>
      </c>
      <c r="E110" s="8">
        <f t="shared" si="46"/>
        <v>9487015.3399999999</v>
      </c>
      <c r="F110" s="8">
        <f t="shared" si="46"/>
        <v>6354153.1600000001</v>
      </c>
      <c r="G110" s="8">
        <f t="shared" si="46"/>
        <v>15195982.449999999</v>
      </c>
      <c r="H110" s="8">
        <f t="shared" si="46"/>
        <v>8085128.0600000005</v>
      </c>
      <c r="I110" s="8">
        <f t="shared" si="46"/>
        <v>10679075.32</v>
      </c>
      <c r="J110" s="8">
        <f t="shared" si="46"/>
        <v>8833528.0499999989</v>
      </c>
      <c r="K110" s="8">
        <f t="shared" si="46"/>
        <v>142944485.77000001</v>
      </c>
    </row>
    <row r="111" spans="1:11" ht="13.5" thickTop="1" x14ac:dyDescent="0.2">
      <c r="A111" s="6"/>
      <c r="B111" s="6"/>
      <c r="C111" s="6"/>
      <c r="D111" s="6"/>
      <c r="E111" s="6"/>
      <c r="F111" s="6"/>
      <c r="G111" s="6"/>
      <c r="H111" s="6"/>
      <c r="I111" s="6"/>
      <c r="J111" s="6"/>
      <c r="K111" s="6"/>
    </row>
    <row r="112" spans="1:11" ht="13.5" thickBot="1" x14ac:dyDescent="0.25">
      <c r="A112" s="126" t="s">
        <v>209</v>
      </c>
      <c r="B112" s="126">
        <f>B99+B106+B110</f>
        <v>157497</v>
      </c>
      <c r="C112" s="126">
        <f>(C99+C106+C110)</f>
        <v>587185626.75999999</v>
      </c>
      <c r="D112" s="126">
        <f t="shared" ref="D112:K112" si="47">(D99+D106+D110)</f>
        <v>83441643.600000024</v>
      </c>
      <c r="E112" s="126">
        <f t="shared" si="47"/>
        <v>57057956.330000013</v>
      </c>
      <c r="F112" s="126">
        <f t="shared" si="47"/>
        <v>53874563.179999992</v>
      </c>
      <c r="G112" s="126">
        <f t="shared" si="47"/>
        <v>108599455.52</v>
      </c>
      <c r="H112" s="126">
        <f t="shared" si="47"/>
        <v>53233828.010000005</v>
      </c>
      <c r="I112" s="126">
        <f t="shared" si="47"/>
        <v>66515516.449999996</v>
      </c>
      <c r="J112" s="126">
        <f t="shared" si="47"/>
        <v>48556363.109999999</v>
      </c>
      <c r="K112" s="126">
        <f t="shared" si="47"/>
        <v>1058464952.9599999</v>
      </c>
    </row>
    <row r="113" spans="1:11" x14ac:dyDescent="0.2">
      <c r="A113" s="6"/>
      <c r="B113" s="6"/>
      <c r="C113" s="6"/>
      <c r="D113" s="6"/>
      <c r="E113" s="6"/>
      <c r="F113" s="6"/>
      <c r="G113" s="6"/>
      <c r="H113" s="6"/>
      <c r="I113" s="6"/>
      <c r="J113" s="6"/>
      <c r="K113" s="6"/>
    </row>
    <row r="114" spans="1:11" x14ac:dyDescent="0.2">
      <c r="A114" s="36" t="s">
        <v>247</v>
      </c>
      <c r="B114" s="6"/>
      <c r="C114" s="6"/>
      <c r="D114" s="6"/>
      <c r="E114" s="6"/>
      <c r="F114" s="6"/>
      <c r="G114" s="6"/>
      <c r="H114" s="6"/>
      <c r="I114" s="6"/>
      <c r="J114" s="6"/>
      <c r="K114" s="6"/>
    </row>
    <row r="115" spans="1:11" x14ac:dyDescent="0.2">
      <c r="A115" s="36" t="s">
        <v>249</v>
      </c>
      <c r="B115" s="6"/>
      <c r="C115" s="6"/>
      <c r="D115" s="6"/>
      <c r="E115" s="6"/>
      <c r="F115" s="6"/>
      <c r="G115" s="6"/>
      <c r="H115" s="6"/>
      <c r="I115" s="6"/>
      <c r="J115" s="6"/>
      <c r="K115" s="6"/>
    </row>
    <row r="116" spans="1:11" ht="33.75" x14ac:dyDescent="0.2">
      <c r="A116" s="21" t="s">
        <v>245</v>
      </c>
      <c r="B116" s="12" t="s">
        <v>235</v>
      </c>
      <c r="C116" s="12" t="s">
        <v>236</v>
      </c>
      <c r="D116" s="12" t="s">
        <v>237</v>
      </c>
      <c r="E116" s="12" t="s">
        <v>238</v>
      </c>
      <c r="F116" s="12" t="s">
        <v>239</v>
      </c>
      <c r="G116" s="12" t="s">
        <v>240</v>
      </c>
      <c r="H116" s="12" t="s">
        <v>241</v>
      </c>
      <c r="I116" s="12" t="s">
        <v>242</v>
      </c>
      <c r="J116" s="12" t="s">
        <v>243</v>
      </c>
      <c r="K116" s="12" t="s">
        <v>244</v>
      </c>
    </row>
    <row r="117" spans="1:11" x14ac:dyDescent="0.2">
      <c r="A117" s="6" t="s">
        <v>102</v>
      </c>
      <c r="B117" s="6">
        <f t="shared" ref="B117:B122" si="48">B93</f>
        <v>35570</v>
      </c>
      <c r="C117" s="6">
        <f>C93/B117</f>
        <v>3452.5988827663764</v>
      </c>
      <c r="D117" s="6">
        <f t="shared" ref="D117:D123" si="49">D93/B117</f>
        <v>640.91983553556372</v>
      </c>
      <c r="E117" s="6">
        <f t="shared" ref="E117:E123" si="50">E93/B117</f>
        <v>190.12237306719143</v>
      </c>
      <c r="F117" s="6">
        <f t="shared" ref="F117:F123" si="51">F93/B117</f>
        <v>323.55904385718298</v>
      </c>
      <c r="G117" s="6">
        <f t="shared" ref="G117:G123" si="52">G93/B117</f>
        <v>590.04505285352832</v>
      </c>
      <c r="H117" s="6">
        <f t="shared" ref="H117:H123" si="53">H93/B117</f>
        <v>227.09538740511667</v>
      </c>
      <c r="I117" s="6">
        <f t="shared" ref="I117:I123" si="54">I93/B117</f>
        <v>202.04143407365757</v>
      </c>
      <c r="J117" s="6">
        <f t="shared" ref="J117:J123" si="55">J93/B117</f>
        <v>177.72626932808546</v>
      </c>
      <c r="K117" s="6">
        <f t="shared" ref="K117:K123" si="56">SUM(C117:J117)</f>
        <v>5804.1082788867025</v>
      </c>
    </row>
    <row r="118" spans="1:11" x14ac:dyDescent="0.2">
      <c r="A118" s="6" t="s">
        <v>76</v>
      </c>
      <c r="B118" s="6">
        <f t="shared" si="48"/>
        <v>24009</v>
      </c>
      <c r="C118" s="6">
        <f t="shared" ref="C118:C134" si="57">C94/B118</f>
        <v>3588.5691536507143</v>
      </c>
      <c r="D118" s="6">
        <f t="shared" si="49"/>
        <v>595.11016993627391</v>
      </c>
      <c r="E118" s="6">
        <f t="shared" si="50"/>
        <v>251.2412799366904</v>
      </c>
      <c r="F118" s="6">
        <f t="shared" si="51"/>
        <v>370.21870298638009</v>
      </c>
      <c r="G118" s="6">
        <f t="shared" si="52"/>
        <v>588.73242742304967</v>
      </c>
      <c r="H118" s="6">
        <f t="shared" si="53"/>
        <v>268.00543629472281</v>
      </c>
      <c r="I118" s="6">
        <f t="shared" si="54"/>
        <v>274.2141900953809</v>
      </c>
      <c r="J118" s="6">
        <f t="shared" si="55"/>
        <v>315.59571702278316</v>
      </c>
      <c r="K118" s="6">
        <f t="shared" si="56"/>
        <v>6251.687077345995</v>
      </c>
    </row>
    <row r="119" spans="1:11" x14ac:dyDescent="0.2">
      <c r="A119" s="6" t="s">
        <v>77</v>
      </c>
      <c r="B119" s="6">
        <f t="shared" si="48"/>
        <v>12224</v>
      </c>
      <c r="C119" s="6">
        <f t="shared" si="57"/>
        <v>4035.941690117801</v>
      </c>
      <c r="D119" s="6">
        <f t="shared" si="49"/>
        <v>603.78627045157066</v>
      </c>
      <c r="E119" s="6">
        <f t="shared" si="50"/>
        <v>391.40524623691101</v>
      </c>
      <c r="F119" s="6">
        <f t="shared" si="51"/>
        <v>389.55967768324609</v>
      </c>
      <c r="G119" s="6">
        <f t="shared" si="52"/>
        <v>639.32196498691098</v>
      </c>
      <c r="H119" s="6">
        <f t="shared" si="53"/>
        <v>315.71908213350787</v>
      </c>
      <c r="I119" s="6">
        <f t="shared" si="54"/>
        <v>449.01079433900526</v>
      </c>
      <c r="J119" s="6">
        <f t="shared" si="55"/>
        <v>277.45498772905762</v>
      </c>
      <c r="K119" s="6">
        <f t="shared" si="56"/>
        <v>7102.1997136780101</v>
      </c>
    </row>
    <row r="120" spans="1:11" x14ac:dyDescent="0.2">
      <c r="A120" s="6" t="s">
        <v>78</v>
      </c>
      <c r="B120" s="6">
        <f t="shared" si="48"/>
        <v>13555</v>
      </c>
      <c r="C120" s="6">
        <f t="shared" si="57"/>
        <v>3573.6985201032826</v>
      </c>
      <c r="D120" s="6">
        <f t="shared" si="49"/>
        <v>327.92310365178901</v>
      </c>
      <c r="E120" s="6">
        <f t="shared" si="50"/>
        <v>461.65186499446702</v>
      </c>
      <c r="F120" s="6">
        <f t="shared" si="51"/>
        <v>267.03304537071193</v>
      </c>
      <c r="G120" s="6">
        <f t="shared" si="52"/>
        <v>567.79228845444482</v>
      </c>
      <c r="H120" s="6">
        <f t="shared" si="53"/>
        <v>323.83179564736264</v>
      </c>
      <c r="I120" s="6">
        <f t="shared" si="54"/>
        <v>394.20177425304314</v>
      </c>
      <c r="J120" s="6">
        <f t="shared" si="55"/>
        <v>303.83853190704536</v>
      </c>
      <c r="K120" s="6">
        <f t="shared" si="56"/>
        <v>6219.970924382148</v>
      </c>
    </row>
    <row r="121" spans="1:11" x14ac:dyDescent="0.2">
      <c r="A121" s="6" t="s">
        <v>79</v>
      </c>
      <c r="B121" s="6">
        <f t="shared" si="48"/>
        <v>6320</v>
      </c>
      <c r="C121" s="6">
        <f t="shared" si="57"/>
        <v>4060.6217215189877</v>
      </c>
      <c r="D121" s="6">
        <f t="shared" si="49"/>
        <v>261.13787183544304</v>
      </c>
      <c r="E121" s="6">
        <f t="shared" si="50"/>
        <v>685.1128860759494</v>
      </c>
      <c r="F121" s="6">
        <f t="shared" si="51"/>
        <v>266.56856645569621</v>
      </c>
      <c r="G121" s="6">
        <f t="shared" si="52"/>
        <v>759.88782436708857</v>
      </c>
      <c r="H121" s="6">
        <f t="shared" si="53"/>
        <v>535.44485917721511</v>
      </c>
      <c r="I121" s="6">
        <f t="shared" si="54"/>
        <v>491.99867246835441</v>
      </c>
      <c r="J121" s="6">
        <f t="shared" si="55"/>
        <v>300.86208544303798</v>
      </c>
      <c r="K121" s="6">
        <f t="shared" si="56"/>
        <v>7361.634487341772</v>
      </c>
    </row>
    <row r="122" spans="1:11" x14ac:dyDescent="0.2">
      <c r="A122" s="6" t="s">
        <v>80</v>
      </c>
      <c r="B122" s="6">
        <f t="shared" si="48"/>
        <v>1638</v>
      </c>
      <c r="C122" s="6">
        <f t="shared" si="57"/>
        <v>3734.0166239316241</v>
      </c>
      <c r="D122" s="6">
        <f t="shared" si="49"/>
        <v>133.95006105006107</v>
      </c>
      <c r="E122" s="6">
        <f t="shared" si="50"/>
        <v>563.78713064713065</v>
      </c>
      <c r="F122" s="6">
        <f t="shared" si="51"/>
        <v>56.429181929181929</v>
      </c>
      <c r="G122" s="6">
        <f t="shared" si="52"/>
        <v>800.00131257631256</v>
      </c>
      <c r="H122" s="6">
        <f t="shared" si="53"/>
        <v>513.64241758241758</v>
      </c>
      <c r="I122" s="6">
        <f t="shared" si="54"/>
        <v>159.74160561660563</v>
      </c>
      <c r="J122" s="6">
        <f t="shared" si="55"/>
        <v>160.9444871794872</v>
      </c>
      <c r="K122" s="6">
        <f t="shared" si="56"/>
        <v>6122.5128205128212</v>
      </c>
    </row>
    <row r="123" spans="1:11" ht="13.5" thickBot="1" x14ac:dyDescent="0.25">
      <c r="A123" s="8" t="s">
        <v>219</v>
      </c>
      <c r="B123" s="8">
        <f>SUM(B117:B122)</f>
        <v>93316</v>
      </c>
      <c r="C123" s="8">
        <f t="shared" si="57"/>
        <v>3627.7078125937674</v>
      </c>
      <c r="D123" s="8">
        <f t="shared" si="49"/>
        <v>544.18321841913507</v>
      </c>
      <c r="E123" s="8">
        <f t="shared" si="50"/>
        <v>311.74000407218489</v>
      </c>
      <c r="F123" s="8">
        <f t="shared" si="51"/>
        <v>327.45007072742084</v>
      </c>
      <c r="G123" s="8">
        <f t="shared" si="52"/>
        <v>608.11831572291999</v>
      </c>
      <c r="H123" s="8">
        <f t="shared" si="53"/>
        <v>289.1955644262506</v>
      </c>
      <c r="I123" s="8">
        <f t="shared" si="54"/>
        <v>299.77092524325946</v>
      </c>
      <c r="J123" s="8">
        <f t="shared" si="55"/>
        <v>252.62631799477049</v>
      </c>
      <c r="K123" s="8">
        <f t="shared" si="56"/>
        <v>6260.7922291997093</v>
      </c>
    </row>
    <row r="124" spans="1:11" ht="13.5" thickTop="1" x14ac:dyDescent="0.2">
      <c r="A124" s="6"/>
      <c r="B124" s="6"/>
      <c r="C124" s="6"/>
      <c r="D124" s="6"/>
      <c r="E124" s="6"/>
      <c r="F124" s="6"/>
      <c r="G124" s="6"/>
      <c r="H124" s="6"/>
      <c r="I124" s="6"/>
      <c r="J124" s="6"/>
      <c r="K124" s="6"/>
    </row>
    <row r="125" spans="1:11" x14ac:dyDescent="0.2">
      <c r="A125" s="6" t="s">
        <v>81</v>
      </c>
      <c r="B125" s="6">
        <v>22945</v>
      </c>
      <c r="C125" s="6">
        <f t="shared" si="57"/>
        <v>3686.2998400522988</v>
      </c>
      <c r="D125" s="6">
        <f t="shared" ref="D125:D130" si="58">D101/B125</f>
        <v>605.49630246241009</v>
      </c>
      <c r="E125" s="6">
        <f t="shared" ref="E125:E130" si="59">E101/B125</f>
        <v>279.96669993462626</v>
      </c>
      <c r="F125" s="6">
        <f t="shared" ref="F125:F130" si="60">F101/B125</f>
        <v>322.73120723469162</v>
      </c>
      <c r="G125" s="6">
        <f t="shared" ref="G125:G130" si="61">G101/B125</f>
        <v>714.89429766833734</v>
      </c>
      <c r="H125" s="6">
        <f t="shared" ref="H125:H130" si="62">H101/B125</f>
        <v>220.35234342994116</v>
      </c>
      <c r="I125" s="6">
        <f t="shared" ref="I125:I130" si="63">I101/B125</f>
        <v>502.98476792329484</v>
      </c>
      <c r="J125" s="6">
        <f t="shared" ref="J125:J130" si="64">J101/B125</f>
        <v>392.51926476356499</v>
      </c>
      <c r="K125" s="6">
        <f t="shared" ref="K125:K130" si="65">SUM(C125:J125)</f>
        <v>6725.2447234691645</v>
      </c>
    </row>
    <row r="126" spans="1:11" x14ac:dyDescent="0.2">
      <c r="A126" s="6" t="s">
        <v>82</v>
      </c>
      <c r="B126" s="6">
        <v>10221</v>
      </c>
      <c r="C126" s="6">
        <f t="shared" si="57"/>
        <v>3463.7547881811952</v>
      </c>
      <c r="D126" s="6">
        <f t="shared" si="58"/>
        <v>546.33594658056938</v>
      </c>
      <c r="E126" s="6">
        <f t="shared" si="59"/>
        <v>314.7323608257509</v>
      </c>
      <c r="F126" s="6">
        <f t="shared" si="60"/>
        <v>435.41799726054199</v>
      </c>
      <c r="G126" s="6">
        <f t="shared" si="61"/>
        <v>764.41675863418459</v>
      </c>
      <c r="H126" s="6">
        <f t="shared" si="62"/>
        <v>447.0066617747774</v>
      </c>
      <c r="I126" s="6">
        <f t="shared" si="63"/>
        <v>576.24642989922711</v>
      </c>
      <c r="J126" s="6">
        <f t="shared" si="64"/>
        <v>262.78950200567459</v>
      </c>
      <c r="K126" s="6">
        <f t="shared" si="65"/>
        <v>6810.7004451619205</v>
      </c>
    </row>
    <row r="127" spans="1:11" x14ac:dyDescent="0.2">
      <c r="A127" s="6" t="s">
        <v>83</v>
      </c>
      <c r="B127" s="6">
        <v>4767</v>
      </c>
      <c r="C127" s="6">
        <f t="shared" si="57"/>
        <v>3835.2015796098176</v>
      </c>
      <c r="D127" s="6">
        <f t="shared" si="58"/>
        <v>515.56230962869722</v>
      </c>
      <c r="E127" s="6">
        <f t="shared" si="59"/>
        <v>483.93317809943358</v>
      </c>
      <c r="F127" s="6">
        <f t="shared" si="60"/>
        <v>411.32261380323052</v>
      </c>
      <c r="G127" s="6">
        <f t="shared" si="61"/>
        <v>919.56907069435704</v>
      </c>
      <c r="H127" s="6">
        <f t="shared" si="62"/>
        <v>540.98307111390807</v>
      </c>
      <c r="I127" s="6">
        <f t="shared" si="63"/>
        <v>792.56274805957628</v>
      </c>
      <c r="J127" s="6">
        <f t="shared" si="64"/>
        <v>401.64643381581709</v>
      </c>
      <c r="K127" s="6">
        <f t="shared" si="65"/>
        <v>7900.7810048248375</v>
      </c>
    </row>
    <row r="128" spans="1:11" x14ac:dyDescent="0.2">
      <c r="A128" s="6" t="s">
        <v>84</v>
      </c>
      <c r="B128" s="6">
        <v>5471</v>
      </c>
      <c r="C128" s="6">
        <f t="shared" si="57"/>
        <v>4650.2717218058851</v>
      </c>
      <c r="D128" s="6">
        <f t="shared" si="58"/>
        <v>510.55061049168347</v>
      </c>
      <c r="E128" s="6">
        <f t="shared" si="59"/>
        <v>810.92299579601536</v>
      </c>
      <c r="F128" s="6">
        <f t="shared" si="60"/>
        <v>510.04000548345823</v>
      </c>
      <c r="G128" s="6">
        <f t="shared" si="61"/>
        <v>1087.1327874246026</v>
      </c>
      <c r="H128" s="6">
        <f t="shared" si="62"/>
        <v>837.95627673185891</v>
      </c>
      <c r="I128" s="6">
        <f t="shared" si="63"/>
        <v>923.02594772436487</v>
      </c>
      <c r="J128" s="6">
        <f t="shared" si="64"/>
        <v>374.75867117528787</v>
      </c>
      <c r="K128" s="6">
        <f t="shared" si="65"/>
        <v>9704.6590166331571</v>
      </c>
    </row>
    <row r="129" spans="1:11" x14ac:dyDescent="0.2">
      <c r="A129" s="6" t="s">
        <v>85</v>
      </c>
      <c r="B129" s="6">
        <v>1316</v>
      </c>
      <c r="C129" s="6">
        <f t="shared" si="57"/>
        <v>6075.4353419452891</v>
      </c>
      <c r="D129" s="6">
        <f t="shared" si="58"/>
        <v>441.38319148936171</v>
      </c>
      <c r="E129" s="6">
        <f t="shared" si="59"/>
        <v>1593.0290349544073</v>
      </c>
      <c r="F129" s="6">
        <f t="shared" si="60"/>
        <v>271.58096504559268</v>
      </c>
      <c r="G129" s="6">
        <f t="shared" si="61"/>
        <v>1602.3265425531915</v>
      </c>
      <c r="H129" s="6">
        <f t="shared" si="62"/>
        <v>1044.0440425531915</v>
      </c>
      <c r="I129" s="6">
        <f t="shared" si="63"/>
        <v>1218.9936398176292</v>
      </c>
      <c r="J129" s="6">
        <f t="shared" si="64"/>
        <v>373.46375379939207</v>
      </c>
      <c r="K129" s="6">
        <f t="shared" si="65"/>
        <v>12620.256512158056</v>
      </c>
    </row>
    <row r="130" spans="1:11" ht="13.5" thickBot="1" x14ac:dyDescent="0.25">
      <c r="A130" s="8" t="s">
        <v>220</v>
      </c>
      <c r="B130" s="8">
        <f>SUM(B125:B129)</f>
        <v>44720</v>
      </c>
      <c r="C130" s="8">
        <f t="shared" si="57"/>
        <v>3839.5461303667262</v>
      </c>
      <c r="D130" s="8">
        <f t="shared" si="58"/>
        <v>565.94321489266554</v>
      </c>
      <c r="E130" s="8">
        <f t="shared" si="59"/>
        <v>413.25158251341691</v>
      </c>
      <c r="F130" s="8">
        <f t="shared" si="60"/>
        <v>379.33987522361355</v>
      </c>
      <c r="G130" s="8">
        <f t="shared" si="61"/>
        <v>819.68480143112697</v>
      </c>
      <c r="H130" s="8">
        <f t="shared" si="62"/>
        <v>406.12984481216461</v>
      </c>
      <c r="I130" s="8">
        <f t="shared" si="63"/>
        <v>623.05495237030414</v>
      </c>
      <c r="J130" s="8">
        <f t="shared" si="64"/>
        <v>361.10817464221827</v>
      </c>
      <c r="K130" s="8">
        <f t="shared" si="65"/>
        <v>7408.0585762522351</v>
      </c>
    </row>
    <row r="131" spans="1:11" ht="13.5" thickTop="1" x14ac:dyDescent="0.2">
      <c r="A131" s="6"/>
      <c r="B131" s="6"/>
      <c r="C131" s="6"/>
      <c r="D131" s="6"/>
      <c r="E131" s="6"/>
      <c r="F131" s="6"/>
      <c r="G131" s="6"/>
      <c r="H131" s="6"/>
      <c r="I131" s="6"/>
      <c r="J131" s="6"/>
      <c r="K131" s="6"/>
    </row>
    <row r="132" spans="1:11" x14ac:dyDescent="0.2">
      <c r="A132" s="6" t="s">
        <v>86</v>
      </c>
      <c r="B132" s="6">
        <v>12246</v>
      </c>
      <c r="C132" s="6">
        <f t="shared" si="57"/>
        <v>3534.9580026130984</v>
      </c>
      <c r="D132" s="6">
        <f>D108/B132</f>
        <v>372.61027029234037</v>
      </c>
      <c r="E132" s="6">
        <f>E108/B132</f>
        <v>281.22707741303282</v>
      </c>
      <c r="F132" s="6">
        <f>F108/B132</f>
        <v>361.92722684958358</v>
      </c>
      <c r="G132" s="6">
        <f>G108/B132</f>
        <v>653.6217050465458</v>
      </c>
      <c r="H132" s="6">
        <f>H108/B132</f>
        <v>300.7926857749469</v>
      </c>
      <c r="I132" s="6">
        <f>I108/B132</f>
        <v>407.1245810877021</v>
      </c>
      <c r="J132" s="6">
        <f>J108/B132</f>
        <v>433.56743181447001</v>
      </c>
      <c r="K132" s="6">
        <f>SUM(C132:J132)</f>
        <v>6345.8289808917198</v>
      </c>
    </row>
    <row r="133" spans="1:11" x14ac:dyDescent="0.2">
      <c r="A133" s="7" t="s">
        <v>87</v>
      </c>
      <c r="B133" s="6">
        <v>7215</v>
      </c>
      <c r="C133" s="6">
        <f t="shared" si="57"/>
        <v>4666.5067040887034</v>
      </c>
      <c r="D133" s="6">
        <f>D109/B133</f>
        <v>386.5109424809425</v>
      </c>
      <c r="E133" s="6">
        <f>E109/B133</f>
        <v>837.57568260568257</v>
      </c>
      <c r="F133" s="6">
        <f>F109/B133</f>
        <v>266.38840471240474</v>
      </c>
      <c r="G133" s="6">
        <f>G109/B133</f>
        <v>996.77492030492033</v>
      </c>
      <c r="H133" s="6">
        <f>H109/B133</f>
        <v>610.06525710325707</v>
      </c>
      <c r="I133" s="6">
        <f>I109/B133</f>
        <v>789.10986832986839</v>
      </c>
      <c r="J133" s="6">
        <f>J109/B133</f>
        <v>488.43538184338183</v>
      </c>
      <c r="K133" s="6">
        <f>SUM(C133:J133)</f>
        <v>9041.3671614691593</v>
      </c>
    </row>
    <row r="134" spans="1:11" ht="13.5" thickBot="1" x14ac:dyDescent="0.25">
      <c r="A134" s="8" t="s">
        <v>221</v>
      </c>
      <c r="B134" s="8">
        <f>SUM(B132:B133)</f>
        <v>19461</v>
      </c>
      <c r="C134" s="8">
        <f t="shared" si="57"/>
        <v>3954.4700462463384</v>
      </c>
      <c r="D134" s="8">
        <f>D110/B134</f>
        <v>377.76382611376602</v>
      </c>
      <c r="E134" s="8">
        <f>E110/B134</f>
        <v>487.48858434818356</v>
      </c>
      <c r="F134" s="8">
        <f>F110/B134</f>
        <v>326.50702224962748</v>
      </c>
      <c r="G134" s="8">
        <f>G110/B134</f>
        <v>780.84283695596321</v>
      </c>
      <c r="H134" s="8">
        <f>H110/B134</f>
        <v>415.4528575098916</v>
      </c>
      <c r="I134" s="8">
        <f>I110/B134</f>
        <v>548.74237295103023</v>
      </c>
      <c r="J134" s="8">
        <f>J110/B134</f>
        <v>453.90925697548937</v>
      </c>
      <c r="K134" s="8">
        <f>SUM(C134:J134)</f>
        <v>7345.1768033502894</v>
      </c>
    </row>
    <row r="135" spans="1:11" ht="13.5" thickTop="1" x14ac:dyDescent="0.2">
      <c r="A135" s="6"/>
      <c r="B135" s="6"/>
      <c r="C135" s="6"/>
      <c r="D135" s="6"/>
      <c r="E135" s="6"/>
      <c r="F135" s="6"/>
      <c r="G135" s="6"/>
      <c r="H135" s="6"/>
      <c r="I135" s="6"/>
      <c r="J135" s="6"/>
      <c r="K135" s="6"/>
    </row>
    <row r="136" spans="1:11" ht="13.5" thickBot="1" x14ac:dyDescent="0.25">
      <c r="A136" s="126" t="s">
        <v>222</v>
      </c>
      <c r="B136" s="126">
        <f>B123+B130+B134</f>
        <v>157497</v>
      </c>
      <c r="C136" s="126">
        <f>C112/$B$47</f>
        <v>3728.2337235629884</v>
      </c>
      <c r="D136" s="126">
        <f t="shared" ref="D136:J136" si="66">D112/$B$47</f>
        <v>529.79830472961407</v>
      </c>
      <c r="E136" s="126">
        <f t="shared" si="66"/>
        <v>362.27963916773024</v>
      </c>
      <c r="F136" s="126">
        <f t="shared" si="66"/>
        <v>342.06723416953969</v>
      </c>
      <c r="G136" s="126">
        <f t="shared" si="66"/>
        <v>689.53348647910752</v>
      </c>
      <c r="H136" s="126">
        <f t="shared" si="66"/>
        <v>337.99899686978171</v>
      </c>
      <c r="I136" s="126">
        <f t="shared" si="66"/>
        <v>422.32878372286456</v>
      </c>
      <c r="J136" s="126">
        <f t="shared" si="66"/>
        <v>308.30024133793023</v>
      </c>
      <c r="K136" s="8">
        <f>SUM(C136:J136)</f>
        <v>6720.5404100395563</v>
      </c>
    </row>
    <row r="137" spans="1:11" x14ac:dyDescent="0.2">
      <c r="A137" s="6"/>
      <c r="B137" s="6"/>
      <c r="C137" s="6"/>
      <c r="D137" s="6"/>
      <c r="E137" s="6"/>
      <c r="F137" s="6"/>
      <c r="G137" s="6"/>
      <c r="H137" s="6"/>
      <c r="I137" s="6"/>
      <c r="J137" s="6"/>
      <c r="K137" s="6"/>
    </row>
    <row r="138" spans="1:11" x14ac:dyDescent="0.2">
      <c r="A138" s="36" t="s">
        <v>247</v>
      </c>
      <c r="B138" s="6"/>
      <c r="C138" s="6"/>
      <c r="D138" s="6"/>
      <c r="E138" s="6"/>
      <c r="F138" s="6"/>
      <c r="G138" s="6"/>
      <c r="H138" s="6"/>
      <c r="I138" s="6"/>
      <c r="J138" s="6"/>
      <c r="K138" s="6"/>
    </row>
    <row r="139" spans="1:11" x14ac:dyDescent="0.2">
      <c r="A139" s="22" t="s">
        <v>250</v>
      </c>
      <c r="B139" s="6"/>
      <c r="C139" s="6"/>
      <c r="D139" s="6"/>
      <c r="E139" s="6"/>
      <c r="F139" s="6"/>
      <c r="G139" s="6"/>
      <c r="H139" s="6"/>
      <c r="I139" s="6"/>
      <c r="J139" s="6"/>
      <c r="K139" s="6"/>
    </row>
    <row r="140" spans="1:11" ht="33.75" x14ac:dyDescent="0.2">
      <c r="A140" s="21" t="s">
        <v>245</v>
      </c>
      <c r="B140" s="22"/>
      <c r="C140" s="12" t="s">
        <v>236</v>
      </c>
      <c r="D140" s="12" t="s">
        <v>246</v>
      </c>
      <c r="E140" s="12" t="s">
        <v>238</v>
      </c>
      <c r="F140" s="12" t="s">
        <v>239</v>
      </c>
      <c r="G140" s="12" t="s">
        <v>240</v>
      </c>
      <c r="H140" s="12" t="s">
        <v>241</v>
      </c>
      <c r="I140" s="12" t="s">
        <v>242</v>
      </c>
      <c r="J140" s="12" t="s">
        <v>243</v>
      </c>
      <c r="K140" s="12" t="s">
        <v>244</v>
      </c>
    </row>
    <row r="141" spans="1:11" x14ac:dyDescent="0.2">
      <c r="A141" s="6" t="s">
        <v>102</v>
      </c>
      <c r="B141" s="6">
        <f t="shared" ref="B141:B146" si="67">B117</f>
        <v>35570</v>
      </c>
      <c r="C141" s="9">
        <f>C93/$K$4</f>
        <v>0.5948543198833337</v>
      </c>
      <c r="D141" s="9">
        <f t="shared" ref="D141:K141" si="68">D93/$K$4</f>
        <v>0.11042520310432592</v>
      </c>
      <c r="E141" s="9">
        <f t="shared" si="68"/>
        <v>3.2756517268774862E-2</v>
      </c>
      <c r="F141" s="9">
        <f t="shared" si="68"/>
        <v>5.5746555424228836E-2</v>
      </c>
      <c r="G141" s="9">
        <f t="shared" si="68"/>
        <v>0.10165989752463853</v>
      </c>
      <c r="H141" s="9">
        <f t="shared" si="68"/>
        <v>3.9126662786635034E-2</v>
      </c>
      <c r="I141" s="9">
        <f t="shared" si="68"/>
        <v>3.4810073204287556E-2</v>
      </c>
      <c r="J141" s="9">
        <f t="shared" si="68"/>
        <v>3.0620770803775475E-2</v>
      </c>
      <c r="K141" s="9">
        <f t="shared" si="68"/>
        <v>1</v>
      </c>
    </row>
    <row r="142" spans="1:11" x14ac:dyDescent="0.2">
      <c r="A142" s="6" t="s">
        <v>76</v>
      </c>
      <c r="B142" s="6">
        <f t="shared" si="67"/>
        <v>24009</v>
      </c>
      <c r="C142" s="9">
        <f t="shared" ref="C142:K142" si="69">C94/$K$5</f>
        <v>0.57401611904960481</v>
      </c>
      <c r="D142" s="9">
        <f t="shared" si="69"/>
        <v>9.5191931805536534E-2</v>
      </c>
      <c r="E142" s="9">
        <f t="shared" si="69"/>
        <v>4.0187756813213515E-2</v>
      </c>
      <c r="F142" s="9">
        <f t="shared" si="69"/>
        <v>5.9219007350500286E-2</v>
      </c>
      <c r="G142" s="9">
        <f t="shared" si="69"/>
        <v>9.4171768378557744E-2</v>
      </c>
      <c r="H142" s="9">
        <f t="shared" si="69"/>
        <v>4.2869297995717683E-2</v>
      </c>
      <c r="I142" s="9">
        <f t="shared" si="69"/>
        <v>4.3862430525200252E-2</v>
      </c>
      <c r="J142" s="9">
        <f t="shared" si="69"/>
        <v>5.0481688081669272E-2</v>
      </c>
      <c r="K142" s="9">
        <f t="shared" si="69"/>
        <v>1</v>
      </c>
    </row>
    <row r="143" spans="1:11" x14ac:dyDescent="0.2">
      <c r="A143" s="6" t="s">
        <v>77</v>
      </c>
      <c r="B143" s="6">
        <f t="shared" si="67"/>
        <v>12224</v>
      </c>
      <c r="C143" s="9">
        <f>C95/$K$6</f>
        <v>0.56826643192601956</v>
      </c>
      <c r="D143" s="9">
        <f t="shared" ref="D143:K143" si="70">D95/$K$6</f>
        <v>8.501398085001026E-2</v>
      </c>
      <c r="E143" s="9">
        <f t="shared" si="70"/>
        <v>5.5110425222640542E-2</v>
      </c>
      <c r="F143" s="9">
        <f t="shared" si="70"/>
        <v>5.4850566498855204E-2</v>
      </c>
      <c r="G143" s="9">
        <f t="shared" si="70"/>
        <v>9.0017458077903845E-2</v>
      </c>
      <c r="H143" s="9">
        <f t="shared" si="70"/>
        <v>4.4453703762437097E-2</v>
      </c>
      <c r="I143" s="9">
        <f t="shared" si="70"/>
        <v>6.3221369778473382E-2</v>
      </c>
      <c r="J143" s="9">
        <f t="shared" si="70"/>
        <v>3.9066063883660095E-2</v>
      </c>
      <c r="K143" s="9">
        <f t="shared" si="70"/>
        <v>1</v>
      </c>
    </row>
    <row r="144" spans="1:11" x14ac:dyDescent="0.2">
      <c r="A144" s="6" t="s">
        <v>78</v>
      </c>
      <c r="B144" s="6">
        <f t="shared" si="67"/>
        <v>13555</v>
      </c>
      <c r="C144" s="9">
        <f>C96/$K$7</f>
        <v>0.57455228706849171</v>
      </c>
      <c r="D144" s="9">
        <f t="shared" ref="D144:K144" si="71">D96/$K$7</f>
        <v>5.2721002660372218E-2</v>
      </c>
      <c r="E144" s="9">
        <f t="shared" si="71"/>
        <v>7.4220904021400178E-2</v>
      </c>
      <c r="F144" s="9">
        <f t="shared" si="71"/>
        <v>4.2931558461784508E-2</v>
      </c>
      <c r="G144" s="9">
        <f t="shared" si="71"/>
        <v>9.1285360551881647E-2</v>
      </c>
      <c r="H144" s="9">
        <f t="shared" si="71"/>
        <v>5.2063233025406795E-2</v>
      </c>
      <c r="I144" s="9">
        <f t="shared" si="71"/>
        <v>6.33767872945806E-2</v>
      </c>
      <c r="J144" s="9">
        <f t="shared" si="71"/>
        <v>4.8848866916082374E-2</v>
      </c>
      <c r="K144" s="9">
        <f t="shared" si="71"/>
        <v>1</v>
      </c>
    </row>
    <row r="145" spans="1:11" x14ac:dyDescent="0.2">
      <c r="A145" s="6" t="s">
        <v>79</v>
      </c>
      <c r="B145" s="6">
        <f t="shared" si="67"/>
        <v>6320</v>
      </c>
      <c r="C145" s="9">
        <f>C97/$K$8</f>
        <v>0.55159241178045038</v>
      </c>
      <c r="D145" s="9">
        <f t="shared" ref="D145:K145" si="72">D97/$K$8</f>
        <v>3.5472811409540367E-2</v>
      </c>
      <c r="E145" s="9">
        <f t="shared" si="72"/>
        <v>9.3065322280533144E-2</v>
      </c>
      <c r="F145" s="9">
        <f t="shared" si="72"/>
        <v>3.6210513699648783E-2</v>
      </c>
      <c r="G145" s="9">
        <f t="shared" si="72"/>
        <v>0.10322270491338643</v>
      </c>
      <c r="H145" s="9">
        <f t="shared" si="72"/>
        <v>7.2734507546918431E-2</v>
      </c>
      <c r="I145" s="9">
        <f t="shared" si="72"/>
        <v>6.6832803681619785E-2</v>
      </c>
      <c r="J145" s="9">
        <f t="shared" si="72"/>
        <v>4.086892468790268E-2</v>
      </c>
      <c r="K145" s="9">
        <f t="shared" si="72"/>
        <v>1</v>
      </c>
    </row>
    <row r="146" spans="1:11" x14ac:dyDescent="0.2">
      <c r="A146" s="6" t="s">
        <v>80</v>
      </c>
      <c r="B146" s="6">
        <f t="shared" si="67"/>
        <v>1638</v>
      </c>
      <c r="C146" s="9">
        <f>C98/$K$9</f>
        <v>0.60988302244483727</v>
      </c>
      <c r="D146" s="9">
        <f t="shared" ref="D146:K146" si="73">D98/$K$9</f>
        <v>2.1878281838998488E-2</v>
      </c>
      <c r="E146" s="9">
        <f t="shared" si="73"/>
        <v>9.2084271144067267E-2</v>
      </c>
      <c r="F146" s="9">
        <f t="shared" si="73"/>
        <v>9.2166702763156368E-3</v>
      </c>
      <c r="G146" s="9">
        <f t="shared" si="73"/>
        <v>0.13066551855898026</v>
      </c>
      <c r="H146" s="9">
        <f t="shared" si="73"/>
        <v>8.3894053412434499E-2</v>
      </c>
      <c r="I146" s="9">
        <f t="shared" si="73"/>
        <v>2.6090856858871501E-2</v>
      </c>
      <c r="J146" s="9">
        <f t="shared" si="73"/>
        <v>2.6287325465495146E-2</v>
      </c>
      <c r="K146" s="9">
        <f t="shared" si="73"/>
        <v>1</v>
      </c>
    </row>
    <row r="147" spans="1:11" ht="13.5" thickBot="1" x14ac:dyDescent="0.25">
      <c r="A147" s="8" t="s">
        <v>219</v>
      </c>
      <c r="B147" s="8">
        <f>SUM(B141:B146)</f>
        <v>93316</v>
      </c>
      <c r="C147" s="11">
        <f>C99/$K$10</f>
        <v>0.57943271071582625</v>
      </c>
      <c r="D147" s="11">
        <f t="shared" ref="D147:K147" si="74">D99/$K$10</f>
        <v>8.6919226592621787E-2</v>
      </c>
      <c r="E147" s="11">
        <f t="shared" si="74"/>
        <v>4.9792421255933188E-2</v>
      </c>
      <c r="F147" s="11">
        <f t="shared" si="74"/>
        <v>5.2301699008669614E-2</v>
      </c>
      <c r="G147" s="11">
        <f t="shared" si="74"/>
        <v>9.713120855324299E-2</v>
      </c>
      <c r="H147" s="11">
        <f t="shared" si="74"/>
        <v>4.6191528777695487E-2</v>
      </c>
      <c r="I147" s="11">
        <f t="shared" si="74"/>
        <v>4.788066977293351E-2</v>
      </c>
      <c r="J147" s="11">
        <f t="shared" si="74"/>
        <v>4.0350535323077266E-2</v>
      </c>
      <c r="K147" s="11">
        <f t="shared" si="74"/>
        <v>1</v>
      </c>
    </row>
    <row r="148" spans="1:11" ht="13.5" thickTop="1" x14ac:dyDescent="0.2">
      <c r="A148" s="6"/>
      <c r="B148" s="6"/>
      <c r="C148" s="9"/>
      <c r="D148" s="9"/>
      <c r="E148" s="9"/>
      <c r="F148" s="9"/>
      <c r="G148" s="9"/>
      <c r="H148" s="9"/>
      <c r="I148" s="9"/>
      <c r="J148" s="9"/>
      <c r="K148" s="9"/>
    </row>
    <row r="149" spans="1:11" x14ac:dyDescent="0.2">
      <c r="A149" s="6"/>
      <c r="B149" s="6"/>
      <c r="C149" s="9"/>
      <c r="D149" s="9"/>
      <c r="E149" s="9"/>
      <c r="F149" s="9"/>
      <c r="G149" s="9"/>
      <c r="H149" s="9"/>
      <c r="I149" s="9"/>
      <c r="J149" s="9"/>
      <c r="K149" s="9"/>
    </row>
    <row r="150" spans="1:11" x14ac:dyDescent="0.2">
      <c r="A150" s="6" t="s">
        <v>81</v>
      </c>
      <c r="B150" s="6">
        <v>22945</v>
      </c>
      <c r="C150" s="9">
        <f>C101/$K$12</f>
        <v>0.54812872863766215</v>
      </c>
      <c r="D150" s="9">
        <f t="shared" ref="D150:K150" si="75">D101/$K$12</f>
        <v>9.0033348578290789E-2</v>
      </c>
      <c r="E150" s="9">
        <f t="shared" si="75"/>
        <v>4.1629221157948829E-2</v>
      </c>
      <c r="F150" s="9">
        <f t="shared" si="75"/>
        <v>4.7988024303183024E-2</v>
      </c>
      <c r="G150" s="9">
        <f t="shared" si="75"/>
        <v>0.10630011651078844</v>
      </c>
      <c r="H150" s="9">
        <f t="shared" si="75"/>
        <v>3.2764955401693413E-2</v>
      </c>
      <c r="I150" s="9">
        <f t="shared" si="75"/>
        <v>7.4790552404438618E-2</v>
      </c>
      <c r="J150" s="9">
        <f t="shared" si="75"/>
        <v>5.8365053005994857E-2</v>
      </c>
      <c r="K150" s="9">
        <f t="shared" si="75"/>
        <v>1</v>
      </c>
    </row>
    <row r="151" spans="1:11" x14ac:dyDescent="0.2">
      <c r="A151" s="6" t="s">
        <v>82</v>
      </c>
      <c r="B151" s="6">
        <v>10221</v>
      </c>
      <c r="C151" s="9">
        <f>C102/$K$13</f>
        <v>0.50857541248077109</v>
      </c>
      <c r="D151" s="9">
        <f t="shared" ref="D151:K151" si="76">D102/$K$13</f>
        <v>8.0217292036190921E-2</v>
      </c>
      <c r="E151" s="9">
        <f t="shared" si="76"/>
        <v>4.6211452604603326E-2</v>
      </c>
      <c r="F151" s="9">
        <f t="shared" si="76"/>
        <v>6.3931456208714529E-2</v>
      </c>
      <c r="G151" s="9">
        <f t="shared" si="76"/>
        <v>0.11223761267861941</v>
      </c>
      <c r="H151" s="9">
        <f t="shared" si="76"/>
        <v>6.5632994047229748E-2</v>
      </c>
      <c r="I151" s="9">
        <f t="shared" si="76"/>
        <v>8.460898178374178E-2</v>
      </c>
      <c r="J151" s="9">
        <f t="shared" si="76"/>
        <v>3.8584798160129163E-2</v>
      </c>
      <c r="K151" s="9">
        <f t="shared" si="76"/>
        <v>1</v>
      </c>
    </row>
    <row r="152" spans="1:11" x14ac:dyDescent="0.2">
      <c r="A152" s="6" t="s">
        <v>83</v>
      </c>
      <c r="B152" s="6">
        <v>4767</v>
      </c>
      <c r="C152" s="9">
        <f>C103/$K$14</f>
        <v>0.48542056503879077</v>
      </c>
      <c r="D152" s="9">
        <f t="shared" ref="D152:K152" si="77">D103/$K$14</f>
        <v>6.525460069249539E-2</v>
      </c>
      <c r="E152" s="9">
        <f t="shared" si="77"/>
        <v>6.1251308928054839E-2</v>
      </c>
      <c r="F152" s="9">
        <f t="shared" si="77"/>
        <v>5.2061006823508289E-2</v>
      </c>
      <c r="G152" s="9">
        <f t="shared" si="77"/>
        <v>0.11638964174969486</v>
      </c>
      <c r="H152" s="9">
        <f t="shared" si="77"/>
        <v>6.8472100515574522E-2</v>
      </c>
      <c r="I152" s="9">
        <f t="shared" si="77"/>
        <v>0.10031448126148229</v>
      </c>
      <c r="J152" s="9">
        <f t="shared" si="77"/>
        <v>5.0836294990399086E-2</v>
      </c>
      <c r="K152" s="9">
        <f t="shared" si="77"/>
        <v>1</v>
      </c>
    </row>
    <row r="153" spans="1:11" x14ac:dyDescent="0.2">
      <c r="A153" s="6" t="s">
        <v>84</v>
      </c>
      <c r="B153" s="6">
        <v>5471</v>
      </c>
      <c r="C153" s="9">
        <f>C104/$K$15</f>
        <v>0.47917930077044651</v>
      </c>
      <c r="D153" s="9">
        <f t="shared" ref="D153:K153" si="78">D104/$K$15</f>
        <v>5.2608814963682159E-2</v>
      </c>
      <c r="E153" s="9">
        <f t="shared" si="78"/>
        <v>8.3560173974803836E-2</v>
      </c>
      <c r="F153" s="9">
        <f t="shared" si="78"/>
        <v>5.2556200543397012E-2</v>
      </c>
      <c r="G153" s="9">
        <f t="shared" si="78"/>
        <v>0.11202173982221604</v>
      </c>
      <c r="H153" s="9">
        <f t="shared" si="78"/>
        <v>8.6345772200306689E-2</v>
      </c>
      <c r="I153" s="9">
        <f t="shared" si="78"/>
        <v>9.5111631036428806E-2</v>
      </c>
      <c r="J153" s="9">
        <f t="shared" si="78"/>
        <v>3.8616366688718866E-2</v>
      </c>
      <c r="K153" s="9">
        <f t="shared" si="78"/>
        <v>1</v>
      </c>
    </row>
    <row r="154" spans="1:11" x14ac:dyDescent="0.2">
      <c r="A154" s="6" t="s">
        <v>85</v>
      </c>
      <c r="B154" s="6">
        <v>1316</v>
      </c>
      <c r="C154" s="9">
        <f>C105/$K$16</f>
        <v>0.48140347512686127</v>
      </c>
      <c r="D154" s="9">
        <f t="shared" ref="D154:K154" si="79">D105/$K$16</f>
        <v>3.497418543467351E-2</v>
      </c>
      <c r="E154" s="9">
        <f t="shared" si="79"/>
        <v>0.12622794421172984</v>
      </c>
      <c r="F154" s="9">
        <f t="shared" si="79"/>
        <v>2.1519448894240626E-2</v>
      </c>
      <c r="G154" s="9">
        <f t="shared" si="79"/>
        <v>0.12696465725633613</v>
      </c>
      <c r="H154" s="9">
        <f t="shared" si="79"/>
        <v>8.2727640404724287E-2</v>
      </c>
      <c r="I154" s="9">
        <f t="shared" si="79"/>
        <v>9.6590242729478568E-2</v>
      </c>
      <c r="J154" s="9">
        <f t="shared" si="79"/>
        <v>2.9592405941955776E-2</v>
      </c>
      <c r="K154" s="9">
        <f t="shared" si="79"/>
        <v>1</v>
      </c>
    </row>
    <row r="155" spans="1:11" ht="13.5" thickBot="1" x14ac:dyDescent="0.25">
      <c r="A155" s="8" t="s">
        <v>220</v>
      </c>
      <c r="B155" s="8">
        <f>SUM(B150:B154)</f>
        <v>44720</v>
      </c>
      <c r="C155" s="11">
        <f>C106/$K$17</f>
        <v>0.51829316559064886</v>
      </c>
      <c r="D155" s="11">
        <f t="shared" ref="D155:K155" si="80">D106/$K$17</f>
        <v>7.6395618240235136E-2</v>
      </c>
      <c r="E155" s="11">
        <f t="shared" si="80"/>
        <v>5.5784059785672267E-2</v>
      </c>
      <c r="F155" s="11">
        <f t="shared" si="80"/>
        <v>5.1206381715129881E-2</v>
      </c>
      <c r="G155" s="11">
        <f t="shared" si="80"/>
        <v>0.11064772139609735</v>
      </c>
      <c r="H155" s="11">
        <f t="shared" si="80"/>
        <v>5.482270970616801E-2</v>
      </c>
      <c r="I155" s="11">
        <f t="shared" si="80"/>
        <v>8.4105025082767348E-2</v>
      </c>
      <c r="J155" s="11">
        <f t="shared" si="80"/>
        <v>4.8745318483281244E-2</v>
      </c>
      <c r="K155" s="11">
        <f t="shared" si="80"/>
        <v>1</v>
      </c>
    </row>
    <row r="156" spans="1:11" ht="13.5" thickTop="1" x14ac:dyDescent="0.2">
      <c r="A156" s="6"/>
      <c r="B156" s="6"/>
      <c r="C156" s="9"/>
      <c r="D156" s="9"/>
      <c r="E156" s="9"/>
      <c r="F156" s="9"/>
      <c r="G156" s="9"/>
      <c r="H156" s="9"/>
      <c r="I156" s="9"/>
      <c r="J156" s="9"/>
      <c r="K156" s="9"/>
    </row>
    <row r="157" spans="1:11" x14ac:dyDescent="0.2">
      <c r="A157" s="6"/>
      <c r="C157" s="9"/>
      <c r="D157" s="9"/>
      <c r="E157" s="9"/>
      <c r="F157" s="9"/>
      <c r="G157" s="9"/>
      <c r="H157" s="9"/>
      <c r="I157" s="9"/>
      <c r="J157" s="9"/>
      <c r="K157" s="9"/>
    </row>
    <row r="158" spans="1:11" x14ac:dyDescent="0.2">
      <c r="A158" s="6" t="s">
        <v>86</v>
      </c>
      <c r="B158" s="6">
        <v>12246</v>
      </c>
      <c r="C158" s="9">
        <f>C108/$K$19</f>
        <v>0.55705220125808741</v>
      </c>
      <c r="D158" s="9">
        <f t="shared" ref="D158:K158" si="81">D108/$K$19</f>
        <v>5.8717351415288367E-2</v>
      </c>
      <c r="E158" s="9">
        <f t="shared" si="81"/>
        <v>4.4316838392564846E-2</v>
      </c>
      <c r="F158" s="9">
        <f t="shared" si="81"/>
        <v>5.7033876573006119E-2</v>
      </c>
      <c r="G158" s="9">
        <f t="shared" si="81"/>
        <v>0.10300020801296453</v>
      </c>
      <c r="H158" s="9">
        <f t="shared" si="81"/>
        <v>4.7400061785572947E-2</v>
      </c>
      <c r="I158" s="9">
        <f t="shared" si="81"/>
        <v>6.4156248508054292E-2</v>
      </c>
      <c r="J158" s="9">
        <f t="shared" si="81"/>
        <v>6.8323214054461456E-2</v>
      </c>
      <c r="K158" s="9">
        <f t="shared" si="81"/>
        <v>1</v>
      </c>
    </row>
    <row r="159" spans="1:11" x14ac:dyDescent="0.2">
      <c r="A159" s="6" t="s">
        <v>87</v>
      </c>
      <c r="B159" s="6">
        <v>7215</v>
      </c>
      <c r="C159" s="9">
        <f>C109/$K$20</f>
        <v>0.51612843729824021</v>
      </c>
      <c r="D159" s="9">
        <f t="shared" ref="D159:K159" si="82">D109/$K$20</f>
        <v>4.2749170073316328E-2</v>
      </c>
      <c r="E159" s="9">
        <f t="shared" si="82"/>
        <v>9.2638167176210789E-2</v>
      </c>
      <c r="F159" s="9">
        <f t="shared" si="82"/>
        <v>2.9463288013305101E-2</v>
      </c>
      <c r="G159" s="9">
        <f t="shared" si="82"/>
        <v>0.11024603939908476</v>
      </c>
      <c r="H159" s="9">
        <f t="shared" si="82"/>
        <v>6.7474890269153237E-2</v>
      </c>
      <c r="I159" s="9">
        <f t="shared" si="82"/>
        <v>8.7277715221294391E-2</v>
      </c>
      <c r="J159" s="9">
        <f t="shared" si="82"/>
        <v>5.4022292549395189E-2</v>
      </c>
      <c r="K159" s="9">
        <f t="shared" si="82"/>
        <v>1</v>
      </c>
    </row>
    <row r="160" spans="1:11" ht="13.5" thickBot="1" x14ac:dyDescent="0.25">
      <c r="A160" s="8" t="s">
        <v>221</v>
      </c>
      <c r="B160" s="8">
        <f>SUM(B158:B159)</f>
        <v>19461</v>
      </c>
      <c r="C160" s="11">
        <f>C110/$K$21</f>
        <v>0.53837642743230096</v>
      </c>
      <c r="D160" s="11">
        <f t="shared" ref="D160:K160" si="83">D110/$K$21</f>
        <v>5.1430188302813887E-2</v>
      </c>
      <c r="E160" s="11">
        <f t="shared" si="83"/>
        <v>6.6368529635097373E-2</v>
      </c>
      <c r="F160" s="11">
        <f t="shared" si="83"/>
        <v>4.4451894214540988E-2</v>
      </c>
      <c r="G160" s="11">
        <f t="shared" si="83"/>
        <v>0.1063068810814471</v>
      </c>
      <c r="H160" s="11">
        <f t="shared" si="83"/>
        <v>5.656131481006621E-2</v>
      </c>
      <c r="I160" s="11">
        <f t="shared" si="83"/>
        <v>7.4707850830865938E-2</v>
      </c>
      <c r="J160" s="11">
        <f t="shared" si="83"/>
        <v>6.179691369286737E-2</v>
      </c>
      <c r="K160" s="11">
        <f t="shared" si="83"/>
        <v>1</v>
      </c>
    </row>
    <row r="161" spans="1:11" ht="13.5" thickTop="1" x14ac:dyDescent="0.2">
      <c r="A161" s="6"/>
      <c r="B161" s="6"/>
      <c r="C161" s="9"/>
      <c r="D161" s="9"/>
      <c r="E161" s="9"/>
      <c r="F161" s="9"/>
      <c r="G161" s="9"/>
      <c r="H161" s="9"/>
      <c r="I161" s="9"/>
      <c r="J161" s="9"/>
      <c r="K161" s="9"/>
    </row>
    <row r="162" spans="1:11" ht="13.5" thickBot="1" x14ac:dyDescent="0.25">
      <c r="A162" s="126" t="s">
        <v>222</v>
      </c>
      <c r="B162" s="126">
        <f>B147+B155+B160</f>
        <v>157497</v>
      </c>
      <c r="C162" s="127">
        <f>C112/$K$23</f>
        <v>0.55475207291269668</v>
      </c>
      <c r="D162" s="127">
        <f t="shared" ref="D162:K162" si="84">D112/$K$23</f>
        <v>7.8832693861667552E-2</v>
      </c>
      <c r="E162" s="127">
        <f t="shared" si="84"/>
        <v>5.3906325542888586E-2</v>
      </c>
      <c r="F162" s="127">
        <f t="shared" si="84"/>
        <v>5.0898769042224443E-2</v>
      </c>
      <c r="G162" s="127">
        <f t="shared" si="84"/>
        <v>0.10260089879811451</v>
      </c>
      <c r="H162" s="127">
        <f t="shared" si="84"/>
        <v>5.0293425267536225E-2</v>
      </c>
      <c r="I162" s="127">
        <f t="shared" si="84"/>
        <v>6.2841491599688007E-2</v>
      </c>
      <c r="J162" s="127">
        <f t="shared" si="84"/>
        <v>4.5874322975184019E-2</v>
      </c>
      <c r="K162" s="127">
        <f t="shared" si="84"/>
        <v>1</v>
      </c>
    </row>
  </sheetData>
  <phoneticPr fontId="7"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0"/>
  <dimension ref="A1:L73"/>
  <sheetViews>
    <sheetView zoomScaleNormal="100" workbookViewId="0">
      <selection activeCell="C32" sqref="C32"/>
    </sheetView>
  </sheetViews>
  <sheetFormatPr defaultRowHeight="12.75" x14ac:dyDescent="0.2"/>
  <cols>
    <col min="1" max="1" width="17.5703125" bestFit="1" customWidth="1"/>
    <col min="3" max="3" width="9.5703125" bestFit="1" customWidth="1"/>
    <col min="7" max="7" width="9.5703125" bestFit="1" customWidth="1"/>
    <col min="11" max="11" width="10.85546875" bestFit="1" customWidth="1"/>
  </cols>
  <sheetData>
    <row r="1" spans="1:12" x14ac:dyDescent="0.2">
      <c r="A1" s="36" t="s">
        <v>247</v>
      </c>
    </row>
    <row r="2" spans="1:12" x14ac:dyDescent="0.2">
      <c r="A2" s="22" t="s">
        <v>252</v>
      </c>
    </row>
    <row r="3" spans="1:12" ht="22.5" x14ac:dyDescent="0.2">
      <c r="A3" s="155" t="s">
        <v>245</v>
      </c>
      <c r="B3" s="141" t="s">
        <v>201</v>
      </c>
      <c r="C3" s="141" t="s">
        <v>94</v>
      </c>
      <c r="D3" s="141" t="s">
        <v>95</v>
      </c>
      <c r="E3" s="141" t="s">
        <v>96</v>
      </c>
      <c r="F3" s="141" t="s">
        <v>97</v>
      </c>
      <c r="G3" s="141" t="s">
        <v>98</v>
      </c>
      <c r="H3" s="141" t="s">
        <v>99</v>
      </c>
      <c r="I3" s="141" t="s">
        <v>93</v>
      </c>
      <c r="J3" s="141" t="s">
        <v>115</v>
      </c>
      <c r="K3" s="141" t="s">
        <v>113</v>
      </c>
      <c r="L3" s="141" t="s">
        <v>451</v>
      </c>
    </row>
    <row r="4" spans="1:12" x14ac:dyDescent="0.2">
      <c r="A4" s="6" t="s">
        <v>102</v>
      </c>
      <c r="B4" s="6">
        <v>35959</v>
      </c>
      <c r="C4" s="6">
        <v>118892455.69</v>
      </c>
      <c r="D4" s="6">
        <v>22569597.780000001</v>
      </c>
      <c r="E4" s="6">
        <v>5538395.1799999997</v>
      </c>
      <c r="F4" s="6">
        <v>11373401.48</v>
      </c>
      <c r="G4" s="6">
        <v>20490115</v>
      </c>
      <c r="H4" s="6">
        <v>7745178.3200000003</v>
      </c>
      <c r="I4" s="6">
        <v>6918771.8899999997</v>
      </c>
      <c r="J4" s="6">
        <v>6487213.0099999998</v>
      </c>
      <c r="K4" s="6">
        <v>200015128.34999996</v>
      </c>
      <c r="L4" s="6">
        <f>K4/B4</f>
        <v>5562.3106412859079</v>
      </c>
    </row>
    <row r="5" spans="1:12" x14ac:dyDescent="0.2">
      <c r="A5" s="6" t="s">
        <v>76</v>
      </c>
      <c r="B5" s="6">
        <v>24474</v>
      </c>
      <c r="C5" s="6">
        <v>83993683.980000004</v>
      </c>
      <c r="D5" s="6">
        <v>12909821.939999999</v>
      </c>
      <c r="E5" s="6">
        <v>5668351.9800000004</v>
      </c>
      <c r="F5" s="6">
        <v>8605249.4499999993</v>
      </c>
      <c r="G5" s="6">
        <v>13289111.98</v>
      </c>
      <c r="H5" s="6">
        <v>5566319.5499999998</v>
      </c>
      <c r="I5" s="6">
        <v>6061309.2000000002</v>
      </c>
      <c r="J5" s="6">
        <v>6360133.2199999997</v>
      </c>
      <c r="K5" s="6">
        <v>142453981.30000001</v>
      </c>
      <c r="L5" s="6">
        <f t="shared" ref="L5:L23" si="0">K5/B5</f>
        <v>5820.625206341424</v>
      </c>
    </row>
    <row r="6" spans="1:12" x14ac:dyDescent="0.2">
      <c r="A6" s="6" t="s">
        <v>77</v>
      </c>
      <c r="B6" s="6">
        <v>12843</v>
      </c>
      <c r="C6" s="6">
        <v>48206382.579999998</v>
      </c>
      <c r="D6" s="6">
        <v>6069215.3300000001</v>
      </c>
      <c r="E6" s="6">
        <v>4159694.72</v>
      </c>
      <c r="F6" s="6">
        <v>4602687.05</v>
      </c>
      <c r="G6" s="6">
        <v>7114258.5599999996</v>
      </c>
      <c r="H6" s="6">
        <v>3641962.43</v>
      </c>
      <c r="I6" s="6">
        <v>4822320.57</v>
      </c>
      <c r="J6" s="6">
        <v>3190240.15</v>
      </c>
      <c r="K6" s="6">
        <v>81806761.390000015</v>
      </c>
      <c r="L6" s="6">
        <f t="shared" si="0"/>
        <v>6369.7548384333886</v>
      </c>
    </row>
    <row r="7" spans="1:12" x14ac:dyDescent="0.2">
      <c r="A7" s="6" t="s">
        <v>78</v>
      </c>
      <c r="B7" s="6">
        <v>14333</v>
      </c>
      <c r="C7" s="6">
        <v>49540616.530000001</v>
      </c>
      <c r="D7" s="6">
        <v>4316541.76</v>
      </c>
      <c r="E7" s="6">
        <v>6415097.4100000001</v>
      </c>
      <c r="F7" s="6">
        <v>3682615.82</v>
      </c>
      <c r="G7" s="6">
        <v>7432344.1900000004</v>
      </c>
      <c r="H7" s="6">
        <v>4223454.16</v>
      </c>
      <c r="I7" s="6">
        <v>5661057.0099999998</v>
      </c>
      <c r="J7" s="6">
        <v>3914906.23</v>
      </c>
      <c r="K7" s="6">
        <v>85186633.110000014</v>
      </c>
      <c r="L7" s="6">
        <f t="shared" si="0"/>
        <v>5943.3916912021223</v>
      </c>
    </row>
    <row r="8" spans="1:12" x14ac:dyDescent="0.2">
      <c r="A8" s="6" t="s">
        <v>79</v>
      </c>
      <c r="B8" s="6">
        <v>5735</v>
      </c>
      <c r="C8" s="6">
        <v>21657714.449999999</v>
      </c>
      <c r="D8" s="6">
        <v>1266069.1000000001</v>
      </c>
      <c r="E8" s="6">
        <v>3638582.84</v>
      </c>
      <c r="F8" s="6">
        <v>1265168.58</v>
      </c>
      <c r="G8" s="6">
        <v>3775010.9</v>
      </c>
      <c r="H8" s="6">
        <v>2860178.09</v>
      </c>
      <c r="I8" s="6">
        <v>2774340.46</v>
      </c>
      <c r="J8" s="6">
        <v>1625919.21</v>
      </c>
      <c r="K8" s="6">
        <v>38862983.629999995</v>
      </c>
      <c r="L8" s="6">
        <f t="shared" si="0"/>
        <v>6776.4574768962502</v>
      </c>
    </row>
    <row r="9" spans="1:12" x14ac:dyDescent="0.2">
      <c r="A9" s="7" t="s">
        <v>80</v>
      </c>
      <c r="B9" s="6">
        <v>1522</v>
      </c>
      <c r="C9" s="6">
        <v>5860388.2800000003</v>
      </c>
      <c r="D9" s="6">
        <v>162664.74</v>
      </c>
      <c r="E9" s="6">
        <v>855511.37</v>
      </c>
      <c r="F9" s="6">
        <v>123924.74</v>
      </c>
      <c r="G9" s="6">
        <v>1144170.54</v>
      </c>
      <c r="H9" s="6">
        <v>776139.07</v>
      </c>
      <c r="I9" s="6">
        <v>280083.64</v>
      </c>
      <c r="J9" s="6">
        <v>520720.57</v>
      </c>
      <c r="K9" s="6">
        <v>9723602.9500000011</v>
      </c>
      <c r="L9" s="6">
        <f t="shared" si="0"/>
        <v>6388.7010183968468</v>
      </c>
    </row>
    <row r="10" spans="1:12" ht="13.5" thickBot="1" x14ac:dyDescent="0.25">
      <c r="A10" s="8" t="s">
        <v>103</v>
      </c>
      <c r="B10" s="8">
        <v>94866</v>
      </c>
      <c r="C10" s="8">
        <v>328151241.50999993</v>
      </c>
      <c r="D10" s="8">
        <v>47293910.649999999</v>
      </c>
      <c r="E10" s="8">
        <v>26275633.5</v>
      </c>
      <c r="F10" s="8">
        <v>29653047.120000001</v>
      </c>
      <c r="G10" s="8">
        <v>53245011.170000002</v>
      </c>
      <c r="H10" s="8">
        <v>24813231.620000001</v>
      </c>
      <c r="I10" s="8">
        <v>26517882.770000003</v>
      </c>
      <c r="J10" s="8">
        <v>22099132.390000001</v>
      </c>
      <c r="K10" s="8">
        <v>558049090.73000002</v>
      </c>
      <c r="L10" s="8">
        <f t="shared" si="0"/>
        <v>5882.4983738114815</v>
      </c>
    </row>
    <row r="11" spans="1:12" ht="13.5" thickTop="1" x14ac:dyDescent="0.2">
      <c r="A11" s="6"/>
      <c r="B11" s="6"/>
      <c r="C11" s="6"/>
      <c r="D11" s="6"/>
      <c r="E11" s="6"/>
      <c r="F11" s="6"/>
      <c r="G11" s="6"/>
      <c r="H11" s="6"/>
      <c r="I11" s="6"/>
      <c r="J11" s="6"/>
      <c r="K11" s="6"/>
      <c r="L11" s="6"/>
    </row>
    <row r="12" spans="1:12" x14ac:dyDescent="0.2">
      <c r="A12" s="6" t="s">
        <v>81</v>
      </c>
      <c r="B12" s="6">
        <v>22915</v>
      </c>
      <c r="C12" s="6">
        <v>82233598.159999996</v>
      </c>
      <c r="D12" s="6">
        <v>12905928.970000001</v>
      </c>
      <c r="E12" s="6">
        <v>5037050.34</v>
      </c>
      <c r="F12" s="6">
        <v>6876487.0300000003</v>
      </c>
      <c r="G12" s="6">
        <v>14666938.050000001</v>
      </c>
      <c r="H12" s="6">
        <v>4720751.53</v>
      </c>
      <c r="I12" s="6">
        <v>11005335.48</v>
      </c>
      <c r="J12" s="6">
        <v>7323307.3399999999</v>
      </c>
      <c r="K12" s="6">
        <v>144769396.90000001</v>
      </c>
      <c r="L12" s="6">
        <f t="shared" si="0"/>
        <v>6317.6695134191577</v>
      </c>
    </row>
    <row r="13" spans="1:12" x14ac:dyDescent="0.2">
      <c r="A13" s="6" t="s">
        <v>82</v>
      </c>
      <c r="B13" s="6">
        <v>10365</v>
      </c>
      <c r="C13" s="6">
        <v>34168718.420000002</v>
      </c>
      <c r="D13" s="6">
        <v>5451625.21</v>
      </c>
      <c r="E13" s="6">
        <v>2987428.82</v>
      </c>
      <c r="F13" s="6">
        <v>4353903.2699999996</v>
      </c>
      <c r="G13" s="6">
        <v>7521531.1600000001</v>
      </c>
      <c r="H13" s="6">
        <v>3902114.56</v>
      </c>
      <c r="I13" s="6">
        <v>5547095.9500000002</v>
      </c>
      <c r="J13" s="6">
        <v>1306252.56</v>
      </c>
      <c r="K13" s="6">
        <v>65238669.950000003</v>
      </c>
      <c r="L13" s="6">
        <f t="shared" si="0"/>
        <v>6294.1312059816692</v>
      </c>
    </row>
    <row r="14" spans="1:12" x14ac:dyDescent="0.2">
      <c r="A14" s="6" t="s">
        <v>83</v>
      </c>
      <c r="B14" s="6">
        <v>4844</v>
      </c>
      <c r="C14" s="6">
        <v>17579672.760000002</v>
      </c>
      <c r="D14" s="6">
        <v>2265904.14</v>
      </c>
      <c r="E14" s="6">
        <v>2135363.5499999998</v>
      </c>
      <c r="F14" s="6">
        <v>1815890.64</v>
      </c>
      <c r="G14" s="6">
        <v>4001166.49</v>
      </c>
      <c r="H14" s="6">
        <v>2144499.61</v>
      </c>
      <c r="I14" s="6">
        <v>3484430.22</v>
      </c>
      <c r="J14" s="6">
        <v>2241461.36</v>
      </c>
      <c r="K14" s="6">
        <v>35668388.770000003</v>
      </c>
      <c r="L14" s="6">
        <f t="shared" si="0"/>
        <v>7363.4163439306367</v>
      </c>
    </row>
    <row r="15" spans="1:12" x14ac:dyDescent="0.2">
      <c r="A15" s="6" t="s">
        <v>84</v>
      </c>
      <c r="B15" s="6">
        <v>5489</v>
      </c>
      <c r="C15" s="6">
        <v>24622251.559999999</v>
      </c>
      <c r="D15" s="6">
        <v>2518011.5299999998</v>
      </c>
      <c r="E15" s="6">
        <v>3847132.72</v>
      </c>
      <c r="F15" s="6">
        <v>2462547.69</v>
      </c>
      <c r="G15" s="6">
        <v>5006474.93</v>
      </c>
      <c r="H15" s="6">
        <v>3917101.28</v>
      </c>
      <c r="I15" s="6">
        <v>4404170.2</v>
      </c>
      <c r="J15" s="6">
        <v>1421056.14</v>
      </c>
      <c r="K15" s="6">
        <v>48198746.050000004</v>
      </c>
      <c r="L15" s="6">
        <f t="shared" si="0"/>
        <v>8780.9703133539806</v>
      </c>
    </row>
    <row r="16" spans="1:12" x14ac:dyDescent="0.2">
      <c r="A16" s="6" t="s">
        <v>85</v>
      </c>
      <c r="B16" s="6">
        <v>1447</v>
      </c>
      <c r="C16" s="6">
        <v>8406511.4100000001</v>
      </c>
      <c r="D16" s="6">
        <v>536207.66</v>
      </c>
      <c r="E16" s="6">
        <v>2152344.38</v>
      </c>
      <c r="F16" s="6">
        <v>360642.33</v>
      </c>
      <c r="G16" s="6">
        <v>2274417.58</v>
      </c>
      <c r="H16" s="6">
        <v>1303471.6599999999</v>
      </c>
      <c r="I16" s="6">
        <v>1724855.33</v>
      </c>
      <c r="J16" s="6">
        <v>496030.44</v>
      </c>
      <c r="K16" s="6">
        <v>17254480.789999999</v>
      </c>
      <c r="L16" s="6">
        <f t="shared" si="0"/>
        <v>11924.312916378714</v>
      </c>
    </row>
    <row r="17" spans="1:12" ht="13.5" thickBot="1" x14ac:dyDescent="0.25">
      <c r="A17" s="8" t="s">
        <v>104</v>
      </c>
      <c r="B17" s="8">
        <v>45060</v>
      </c>
      <c r="C17" s="8">
        <v>167010752.31</v>
      </c>
      <c r="D17" s="8">
        <v>23677677.510000002</v>
      </c>
      <c r="E17" s="8">
        <v>16159319.810000002</v>
      </c>
      <c r="F17" s="8">
        <v>15869470.960000001</v>
      </c>
      <c r="G17" s="8">
        <v>33470528.210000001</v>
      </c>
      <c r="H17" s="8">
        <v>15987938.639999999</v>
      </c>
      <c r="I17" s="8">
        <v>26165887.18</v>
      </c>
      <c r="J17" s="8">
        <v>12788107.84</v>
      </c>
      <c r="K17" s="8">
        <v>311129682.45999998</v>
      </c>
      <c r="L17" s="8">
        <f t="shared" si="0"/>
        <v>6904.7865614735902</v>
      </c>
    </row>
    <row r="18" spans="1:12" ht="13.5" thickTop="1" x14ac:dyDescent="0.2">
      <c r="A18" s="6"/>
      <c r="B18" s="6"/>
      <c r="C18" s="6"/>
      <c r="D18" s="6"/>
      <c r="E18" s="6"/>
      <c r="F18" s="6"/>
      <c r="G18" s="6"/>
      <c r="H18" s="6"/>
      <c r="I18" s="6"/>
      <c r="J18" s="6"/>
      <c r="K18" s="6"/>
      <c r="L18" s="6"/>
    </row>
    <row r="19" spans="1:12" x14ac:dyDescent="0.2">
      <c r="A19" s="6" t="s">
        <v>86</v>
      </c>
      <c r="B19" s="6">
        <v>12332</v>
      </c>
      <c r="C19" s="6">
        <v>41259638.770000003</v>
      </c>
      <c r="D19" s="6">
        <v>4285576.59</v>
      </c>
      <c r="E19" s="6">
        <v>3264126.65</v>
      </c>
      <c r="F19" s="6">
        <v>4260150.1100000003</v>
      </c>
      <c r="G19" s="6">
        <v>6830510.0499999998</v>
      </c>
      <c r="H19" s="6">
        <v>3961354.3</v>
      </c>
      <c r="I19" s="6">
        <v>4747313.04</v>
      </c>
      <c r="J19" s="6">
        <v>4058378.95</v>
      </c>
      <c r="K19" s="6">
        <v>72667048.459999993</v>
      </c>
      <c r="L19" s="6">
        <f t="shared" si="0"/>
        <v>5892.5598816088223</v>
      </c>
    </row>
    <row r="20" spans="1:12" x14ac:dyDescent="0.2">
      <c r="A20" s="6" t="s">
        <v>87</v>
      </c>
      <c r="B20" s="6">
        <v>7484</v>
      </c>
      <c r="C20" s="6">
        <v>32662990.510000002</v>
      </c>
      <c r="D20" s="6">
        <v>2429077.83</v>
      </c>
      <c r="E20" s="6">
        <v>5851315.5899999999</v>
      </c>
      <c r="F20" s="6">
        <v>2063457.12</v>
      </c>
      <c r="G20" s="6">
        <v>6630720.8600000003</v>
      </c>
      <c r="H20" s="6">
        <v>4123340.23</v>
      </c>
      <c r="I20" s="6">
        <v>5307163.34</v>
      </c>
      <c r="J20" s="6">
        <v>3061900.39</v>
      </c>
      <c r="K20" s="6">
        <v>62129965.870000005</v>
      </c>
      <c r="L20" s="6">
        <f t="shared" si="0"/>
        <v>8301.7057549438814</v>
      </c>
    </row>
    <row r="21" spans="1:12" ht="13.5" thickBot="1" x14ac:dyDescent="0.25">
      <c r="A21" s="8" t="s">
        <v>105</v>
      </c>
      <c r="B21" s="8">
        <v>19816</v>
      </c>
      <c r="C21" s="8">
        <v>73922629.280000001</v>
      </c>
      <c r="D21" s="8">
        <v>6714654.4199999999</v>
      </c>
      <c r="E21" s="8">
        <v>9115442.2400000002</v>
      </c>
      <c r="F21" s="8">
        <v>6323607.2300000004</v>
      </c>
      <c r="G21" s="8">
        <v>13461230.91</v>
      </c>
      <c r="H21" s="8">
        <v>8084694.5299999993</v>
      </c>
      <c r="I21" s="8">
        <v>10054476.379999999</v>
      </c>
      <c r="J21" s="8">
        <v>7120279.3399999999</v>
      </c>
      <c r="K21" s="8">
        <v>134797014.32999998</v>
      </c>
      <c r="L21" s="8">
        <f t="shared" si="0"/>
        <v>6802.43310102947</v>
      </c>
    </row>
    <row r="22" spans="1:12" ht="13.5" thickTop="1" x14ac:dyDescent="0.2">
      <c r="A22" s="6"/>
      <c r="B22" s="6"/>
      <c r="C22" s="6"/>
      <c r="D22" s="6"/>
      <c r="E22" s="6"/>
      <c r="F22" s="6"/>
      <c r="G22" s="6"/>
      <c r="H22" s="6"/>
      <c r="I22" s="6"/>
      <c r="J22" s="6"/>
      <c r="K22" s="6"/>
      <c r="L22" s="6"/>
    </row>
    <row r="23" spans="1:12" ht="13.5" thickBot="1" x14ac:dyDescent="0.25">
      <c r="A23" s="126" t="s">
        <v>209</v>
      </c>
      <c r="B23" s="126">
        <v>159742</v>
      </c>
      <c r="C23" s="126">
        <v>569084623.0999999</v>
      </c>
      <c r="D23" s="126">
        <v>77686242.579999998</v>
      </c>
      <c r="E23" s="126">
        <v>51550395.550000004</v>
      </c>
      <c r="F23" s="126">
        <v>51846125.310000002</v>
      </c>
      <c r="G23" s="126">
        <v>100176770.29000001</v>
      </c>
      <c r="H23" s="126">
        <v>48885864.789999999</v>
      </c>
      <c r="I23" s="126">
        <v>62738246.330000006</v>
      </c>
      <c r="J23" s="126">
        <v>42007519.57</v>
      </c>
      <c r="K23" s="126">
        <v>1003975787.52</v>
      </c>
      <c r="L23" s="126">
        <f t="shared" si="0"/>
        <v>6284.9832074219676</v>
      </c>
    </row>
    <row r="24" spans="1:12" x14ac:dyDescent="0.2">
      <c r="A24" s="6"/>
      <c r="B24" s="6"/>
      <c r="C24" s="6"/>
      <c r="D24" s="6"/>
      <c r="E24" s="6"/>
      <c r="F24" s="6"/>
      <c r="G24" s="6"/>
      <c r="H24" s="6"/>
      <c r="I24" s="6"/>
      <c r="J24" s="6"/>
      <c r="K24" s="6"/>
    </row>
    <row r="25" spans="1:12" x14ac:dyDescent="0.2">
      <c r="A25" s="36" t="s">
        <v>247</v>
      </c>
      <c r="B25" s="6"/>
      <c r="C25" s="6"/>
      <c r="D25" s="6"/>
      <c r="E25" s="6"/>
      <c r="F25" s="6"/>
      <c r="G25" s="6"/>
      <c r="H25" s="6"/>
      <c r="I25" s="6"/>
      <c r="J25" s="6"/>
      <c r="K25" s="6"/>
    </row>
    <row r="26" spans="1:12" x14ac:dyDescent="0.2">
      <c r="A26" s="36" t="s">
        <v>264</v>
      </c>
      <c r="B26" s="6"/>
      <c r="C26" s="6"/>
      <c r="D26" s="6"/>
      <c r="E26" s="6"/>
      <c r="F26" s="6"/>
      <c r="G26" s="6"/>
      <c r="H26" s="6"/>
      <c r="I26" s="6"/>
      <c r="J26" s="6"/>
      <c r="K26" s="6"/>
    </row>
    <row r="27" spans="1:12" ht="33.75" x14ac:dyDescent="0.2">
      <c r="A27" s="155" t="s">
        <v>245</v>
      </c>
      <c r="B27" s="141" t="s">
        <v>201</v>
      </c>
      <c r="C27" s="141" t="s">
        <v>210</v>
      </c>
      <c r="D27" s="141" t="s">
        <v>211</v>
      </c>
      <c r="E27" s="141" t="s">
        <v>212</v>
      </c>
      <c r="F27" s="141" t="s">
        <v>213</v>
      </c>
      <c r="G27" s="141" t="s">
        <v>214</v>
      </c>
      <c r="H27" s="141" t="s">
        <v>215</v>
      </c>
      <c r="I27" s="141" t="s">
        <v>216</v>
      </c>
      <c r="J27" s="141" t="s">
        <v>217</v>
      </c>
      <c r="K27" s="141" t="s">
        <v>218</v>
      </c>
    </row>
    <row r="28" spans="1:12" x14ac:dyDescent="0.2">
      <c r="A28" s="6" t="s">
        <v>102</v>
      </c>
      <c r="B28" s="6">
        <v>35959</v>
      </c>
      <c r="C28" s="6">
        <v>3306.33</v>
      </c>
      <c r="D28" s="6">
        <v>627.65</v>
      </c>
      <c r="E28" s="6">
        <v>154.02000000000001</v>
      </c>
      <c r="F28" s="6">
        <v>316.29000000000002</v>
      </c>
      <c r="G28" s="6">
        <v>569.82000000000005</v>
      </c>
      <c r="H28" s="6">
        <v>215.39</v>
      </c>
      <c r="I28" s="6">
        <v>192.41</v>
      </c>
      <c r="J28" s="6">
        <v>180.41</v>
      </c>
      <c r="K28" s="6">
        <v>5562.3106412859079</v>
      </c>
    </row>
    <row r="29" spans="1:12" x14ac:dyDescent="0.2">
      <c r="A29" s="6" t="s">
        <v>76</v>
      </c>
      <c r="B29" s="6">
        <v>24474</v>
      </c>
      <c r="C29" s="6">
        <v>3431.96</v>
      </c>
      <c r="D29" s="6">
        <v>527.49</v>
      </c>
      <c r="E29" s="6">
        <v>231.61</v>
      </c>
      <c r="F29" s="6">
        <v>351.61</v>
      </c>
      <c r="G29" s="6">
        <v>542.99</v>
      </c>
      <c r="H29" s="6">
        <v>227.44</v>
      </c>
      <c r="I29" s="6">
        <v>247.66</v>
      </c>
      <c r="J29" s="6">
        <v>259.87</v>
      </c>
      <c r="K29" s="6">
        <v>5820.625206341424</v>
      </c>
    </row>
    <row r="30" spans="1:12" x14ac:dyDescent="0.2">
      <c r="A30" s="6" t="s">
        <v>77</v>
      </c>
      <c r="B30" s="6">
        <v>12843</v>
      </c>
      <c r="C30" s="6">
        <v>3753.51</v>
      </c>
      <c r="D30" s="6">
        <v>472.57</v>
      </c>
      <c r="E30" s="6">
        <v>323.89</v>
      </c>
      <c r="F30" s="6">
        <v>358.38</v>
      </c>
      <c r="G30" s="6">
        <v>553.94000000000005</v>
      </c>
      <c r="H30" s="6">
        <v>283.58</v>
      </c>
      <c r="I30" s="6">
        <v>375.48</v>
      </c>
      <c r="J30" s="6">
        <v>248.4</v>
      </c>
      <c r="K30" s="6">
        <v>6369.7548384333886</v>
      </c>
    </row>
    <row r="31" spans="1:12" x14ac:dyDescent="0.2">
      <c r="A31" s="6" t="s">
        <v>78</v>
      </c>
      <c r="B31" s="6">
        <v>14333</v>
      </c>
      <c r="C31" s="6">
        <v>3456.4</v>
      </c>
      <c r="D31" s="6">
        <v>301.16000000000003</v>
      </c>
      <c r="E31" s="6">
        <v>447.58</v>
      </c>
      <c r="F31" s="6">
        <v>256.93</v>
      </c>
      <c r="G31" s="6">
        <v>518.54999999999995</v>
      </c>
      <c r="H31" s="6">
        <v>294.67</v>
      </c>
      <c r="I31" s="6">
        <v>394.97</v>
      </c>
      <c r="J31" s="6">
        <v>273.14</v>
      </c>
      <c r="K31" s="6">
        <v>5943.3916912021223</v>
      </c>
    </row>
    <row r="32" spans="1:12" x14ac:dyDescent="0.2">
      <c r="A32" s="6" t="s">
        <v>79</v>
      </c>
      <c r="B32" s="6">
        <v>5735</v>
      </c>
      <c r="C32" s="6">
        <v>3776.41</v>
      </c>
      <c r="D32" s="6">
        <v>220.76</v>
      </c>
      <c r="E32" s="6">
        <v>634.45000000000005</v>
      </c>
      <c r="F32" s="6">
        <v>220.6</v>
      </c>
      <c r="G32" s="6">
        <v>658.24</v>
      </c>
      <c r="H32" s="6">
        <v>498.72</v>
      </c>
      <c r="I32" s="6">
        <v>483.76</v>
      </c>
      <c r="J32" s="6">
        <v>283.51</v>
      </c>
      <c r="K32" s="6">
        <v>6776.4574768962502</v>
      </c>
    </row>
    <row r="33" spans="1:11" x14ac:dyDescent="0.2">
      <c r="A33" s="6" t="s">
        <v>80</v>
      </c>
      <c r="B33" s="6">
        <v>1522</v>
      </c>
      <c r="C33" s="6">
        <v>3850.45</v>
      </c>
      <c r="D33" s="6">
        <v>106.88</v>
      </c>
      <c r="E33" s="6">
        <v>562.1</v>
      </c>
      <c r="F33" s="6">
        <v>81.42</v>
      </c>
      <c r="G33" s="6">
        <v>751.75</v>
      </c>
      <c r="H33" s="6">
        <v>509.95</v>
      </c>
      <c r="I33" s="6">
        <v>184.02</v>
      </c>
      <c r="J33" s="6">
        <v>342.13</v>
      </c>
      <c r="K33" s="6">
        <v>6388.7010183968468</v>
      </c>
    </row>
    <row r="34" spans="1:11" ht="13.5" thickBot="1" x14ac:dyDescent="0.25">
      <c r="A34" s="8" t="s">
        <v>219</v>
      </c>
      <c r="B34" s="8">
        <v>94866</v>
      </c>
      <c r="C34" s="8">
        <v>3459.1027503004229</v>
      </c>
      <c r="D34" s="8">
        <v>498.53383351253348</v>
      </c>
      <c r="E34" s="8">
        <v>276.97629814685979</v>
      </c>
      <c r="F34" s="8">
        <v>312.57823793561448</v>
      </c>
      <c r="G34" s="8">
        <v>561.26548152130374</v>
      </c>
      <c r="H34" s="8">
        <v>261.56085025193431</v>
      </c>
      <c r="I34" s="8">
        <v>279.52989237450726</v>
      </c>
      <c r="J34" s="8">
        <v>232.95102976830478</v>
      </c>
      <c r="K34" s="8">
        <v>5882.4983738114815</v>
      </c>
    </row>
    <row r="35" spans="1:11" ht="13.5" thickTop="1" x14ac:dyDescent="0.2">
      <c r="A35" s="6"/>
      <c r="B35" s="6"/>
      <c r="C35" s="6"/>
      <c r="D35" s="6"/>
      <c r="E35" s="6"/>
      <c r="F35" s="6"/>
      <c r="G35" s="6"/>
      <c r="H35" s="6"/>
      <c r="I35" s="6"/>
      <c r="J35" s="6"/>
      <c r="K35" s="6"/>
    </row>
    <row r="36" spans="1:11" x14ac:dyDescent="0.2">
      <c r="A36" s="6" t="s">
        <v>81</v>
      </c>
      <c r="B36" s="6">
        <v>22915</v>
      </c>
      <c r="C36" s="6">
        <v>3588.64</v>
      </c>
      <c r="D36" s="6">
        <v>563.21</v>
      </c>
      <c r="E36" s="6">
        <v>219.81</v>
      </c>
      <c r="F36" s="6">
        <v>300.08999999999997</v>
      </c>
      <c r="G36" s="6">
        <v>640.05999999999995</v>
      </c>
      <c r="H36" s="6">
        <v>206.01</v>
      </c>
      <c r="I36" s="6">
        <v>480.27</v>
      </c>
      <c r="J36" s="6">
        <v>319.58999999999997</v>
      </c>
      <c r="K36" s="6">
        <v>6317.6695134191577</v>
      </c>
    </row>
    <row r="37" spans="1:11" x14ac:dyDescent="0.2">
      <c r="A37" s="6" t="s">
        <v>82</v>
      </c>
      <c r="B37" s="6">
        <v>10365</v>
      </c>
      <c r="C37" s="6">
        <v>3296.55</v>
      </c>
      <c r="D37" s="6">
        <v>525.96</v>
      </c>
      <c r="E37" s="6">
        <v>288.22000000000003</v>
      </c>
      <c r="F37" s="6">
        <v>420.06</v>
      </c>
      <c r="G37" s="6">
        <v>725.67</v>
      </c>
      <c r="H37" s="6">
        <v>376.47</v>
      </c>
      <c r="I37" s="6">
        <v>535.17999999999995</v>
      </c>
      <c r="J37" s="6">
        <v>126.03</v>
      </c>
      <c r="K37" s="6">
        <v>6294.1312059816692</v>
      </c>
    </row>
    <row r="38" spans="1:11" x14ac:dyDescent="0.2">
      <c r="A38" s="6" t="s">
        <v>83</v>
      </c>
      <c r="B38" s="6">
        <v>4844</v>
      </c>
      <c r="C38" s="6">
        <v>3629.16</v>
      </c>
      <c r="D38" s="6">
        <v>467.78</v>
      </c>
      <c r="E38" s="6">
        <v>440.83</v>
      </c>
      <c r="F38" s="6">
        <v>374.87</v>
      </c>
      <c r="G38" s="6">
        <v>826</v>
      </c>
      <c r="H38" s="6">
        <v>442.71</v>
      </c>
      <c r="I38" s="6">
        <v>719.33</v>
      </c>
      <c r="J38" s="6">
        <v>462.73</v>
      </c>
      <c r="K38" s="6">
        <v>7363.4163439306367</v>
      </c>
    </row>
    <row r="39" spans="1:11" x14ac:dyDescent="0.2">
      <c r="A39" s="6" t="s">
        <v>84</v>
      </c>
      <c r="B39" s="6">
        <v>5489</v>
      </c>
      <c r="C39" s="6">
        <v>4485.74</v>
      </c>
      <c r="D39" s="6">
        <v>458.74</v>
      </c>
      <c r="E39" s="6">
        <v>700.88</v>
      </c>
      <c r="F39" s="6">
        <v>448.63</v>
      </c>
      <c r="G39" s="6">
        <v>912.09</v>
      </c>
      <c r="H39" s="6">
        <v>713.63</v>
      </c>
      <c r="I39" s="6">
        <v>802.36</v>
      </c>
      <c r="J39" s="6">
        <v>258.89</v>
      </c>
      <c r="K39" s="6">
        <v>8780.9703133539806</v>
      </c>
    </row>
    <row r="40" spans="1:11" x14ac:dyDescent="0.2">
      <c r="A40" s="6" t="s">
        <v>85</v>
      </c>
      <c r="B40" s="6">
        <v>1447</v>
      </c>
      <c r="C40" s="6">
        <v>5809.61</v>
      </c>
      <c r="D40" s="6">
        <v>370.57</v>
      </c>
      <c r="E40" s="6">
        <v>1487.45</v>
      </c>
      <c r="F40" s="6">
        <v>249.23</v>
      </c>
      <c r="G40" s="6">
        <v>1571.82</v>
      </c>
      <c r="H40" s="6">
        <v>900.81</v>
      </c>
      <c r="I40" s="6">
        <v>1192.02</v>
      </c>
      <c r="J40" s="6">
        <v>342.8</v>
      </c>
      <c r="K40" s="6">
        <v>11924.312916378714</v>
      </c>
    </row>
    <row r="41" spans="1:11" ht="13.5" thickBot="1" x14ac:dyDescent="0.25">
      <c r="A41" s="8" t="s">
        <v>220</v>
      </c>
      <c r="B41" s="8">
        <v>45060</v>
      </c>
      <c r="C41" s="8">
        <v>3706.4081737683091</v>
      </c>
      <c r="D41" s="8">
        <v>525.46998468708398</v>
      </c>
      <c r="E41" s="8">
        <v>358.61783865956505</v>
      </c>
      <c r="F41" s="8">
        <v>352.18532978251221</v>
      </c>
      <c r="G41" s="8">
        <v>742.79911695517092</v>
      </c>
      <c r="H41" s="8">
        <v>354.81443941411447</v>
      </c>
      <c r="I41" s="8">
        <v>580.6899063470928</v>
      </c>
      <c r="J41" s="8">
        <v>283.80177185974259</v>
      </c>
      <c r="K41" s="8">
        <v>6904.7865614735902</v>
      </c>
    </row>
    <row r="42" spans="1:11" ht="13.5" thickTop="1" x14ac:dyDescent="0.2">
      <c r="A42" s="6"/>
      <c r="B42" s="6"/>
      <c r="C42" s="6"/>
      <c r="D42" s="6"/>
      <c r="E42" s="6"/>
      <c r="F42" s="6"/>
      <c r="G42" s="6"/>
      <c r="H42" s="6"/>
      <c r="I42" s="6"/>
      <c r="J42" s="6"/>
      <c r="K42" s="6"/>
    </row>
    <row r="43" spans="1:11" x14ac:dyDescent="0.2">
      <c r="A43" s="6" t="s">
        <v>86</v>
      </c>
      <c r="B43" s="6">
        <v>12332</v>
      </c>
      <c r="C43" s="6">
        <v>3345.74</v>
      </c>
      <c r="D43" s="6">
        <v>347.52</v>
      </c>
      <c r="E43" s="6">
        <v>264.69</v>
      </c>
      <c r="F43" s="6">
        <v>345.45</v>
      </c>
      <c r="G43" s="6">
        <v>553.89</v>
      </c>
      <c r="H43" s="6">
        <v>321.23</v>
      </c>
      <c r="I43" s="6">
        <v>384.96</v>
      </c>
      <c r="J43" s="6">
        <v>329.09</v>
      </c>
      <c r="K43" s="6">
        <v>5892.5598816088223</v>
      </c>
    </row>
    <row r="44" spans="1:11" x14ac:dyDescent="0.2">
      <c r="A44" s="7" t="s">
        <v>87</v>
      </c>
      <c r="B44" s="7">
        <v>7484</v>
      </c>
      <c r="C44" s="7">
        <v>4364.38</v>
      </c>
      <c r="D44" s="7">
        <v>324.57</v>
      </c>
      <c r="E44" s="7">
        <v>781.84</v>
      </c>
      <c r="F44" s="7">
        <v>275.72000000000003</v>
      </c>
      <c r="G44" s="7">
        <v>885.99</v>
      </c>
      <c r="H44" s="7">
        <v>550.95000000000005</v>
      </c>
      <c r="I44" s="7">
        <v>709.13</v>
      </c>
      <c r="J44" s="7">
        <v>409.13</v>
      </c>
      <c r="K44" s="6">
        <v>8301.7057549438814</v>
      </c>
    </row>
    <row r="45" spans="1:11" ht="13.5" thickBot="1" x14ac:dyDescent="0.25">
      <c r="A45" s="8" t="s">
        <v>221</v>
      </c>
      <c r="B45" s="8">
        <v>19816</v>
      </c>
      <c r="C45" s="8">
        <v>3730.4516188938233</v>
      </c>
      <c r="D45" s="8">
        <v>338.85014230924503</v>
      </c>
      <c r="E45" s="8">
        <v>460.00415018167138</v>
      </c>
      <c r="F45" s="8">
        <v>319.11623082357693</v>
      </c>
      <c r="G45" s="8">
        <v>679.31120861929753</v>
      </c>
      <c r="H45" s="8">
        <v>407.98821810658052</v>
      </c>
      <c r="I45" s="8">
        <v>507.3918237787646</v>
      </c>
      <c r="J45" s="8">
        <v>359.31970831651188</v>
      </c>
      <c r="K45" s="8">
        <v>6802.43310102947</v>
      </c>
    </row>
    <row r="46" spans="1:11" ht="13.5" thickTop="1" x14ac:dyDescent="0.2">
      <c r="A46" s="6"/>
      <c r="B46" s="6"/>
      <c r="C46" s="6"/>
      <c r="D46" s="6"/>
      <c r="E46" s="6"/>
      <c r="F46" s="6"/>
      <c r="G46" s="6"/>
      <c r="H46" s="6"/>
      <c r="I46" s="6"/>
      <c r="J46" s="6"/>
      <c r="K46" s="6"/>
    </row>
    <row r="47" spans="1:11" ht="13.5" thickBot="1" x14ac:dyDescent="0.25">
      <c r="A47" s="126" t="s">
        <v>222</v>
      </c>
      <c r="B47" s="126">
        <v>159742</v>
      </c>
      <c r="C47" s="126">
        <v>3562.5234634598282</v>
      </c>
      <c r="D47" s="126">
        <v>486.32321230484155</v>
      </c>
      <c r="E47" s="126">
        <v>322.71034261496663</v>
      </c>
      <c r="F47" s="126">
        <v>324.56163883011357</v>
      </c>
      <c r="G47" s="126">
        <v>627.11603892526705</v>
      </c>
      <c r="H47" s="126">
        <v>306.03012851973807</v>
      </c>
      <c r="I47" s="126">
        <v>392.74734465575744</v>
      </c>
      <c r="J47" s="126">
        <v>262.97103811145473</v>
      </c>
      <c r="K47" s="126">
        <v>6284.9832074219676</v>
      </c>
    </row>
    <row r="48" spans="1:11" x14ac:dyDescent="0.2">
      <c r="A48" s="6"/>
      <c r="B48" s="6"/>
      <c r="C48" s="6"/>
      <c r="D48" s="6"/>
      <c r="E48" s="6"/>
      <c r="F48" s="6"/>
      <c r="G48" s="6"/>
      <c r="H48" s="6"/>
      <c r="I48" s="6"/>
      <c r="J48" s="6"/>
      <c r="K48" s="6"/>
    </row>
    <row r="49" spans="1:11" x14ac:dyDescent="0.2">
      <c r="A49" s="36" t="s">
        <v>247</v>
      </c>
      <c r="B49" s="6"/>
      <c r="C49" s="6"/>
      <c r="D49" s="6"/>
      <c r="E49" s="6"/>
      <c r="F49" s="6"/>
      <c r="G49" s="6"/>
      <c r="H49" s="6"/>
      <c r="I49" s="6"/>
      <c r="J49" s="6"/>
      <c r="K49" s="6"/>
    </row>
    <row r="50" spans="1:11" x14ac:dyDescent="0.2">
      <c r="A50" s="22" t="s">
        <v>271</v>
      </c>
      <c r="B50" s="6"/>
      <c r="C50" s="6"/>
      <c r="D50" s="6"/>
      <c r="E50" s="6"/>
      <c r="F50" s="6"/>
      <c r="G50" s="6"/>
      <c r="H50" s="6"/>
      <c r="I50" s="6"/>
      <c r="J50" s="6"/>
      <c r="K50" s="6"/>
    </row>
    <row r="51" spans="1:11" ht="33.75" x14ac:dyDescent="0.2">
      <c r="A51" s="155" t="s">
        <v>245</v>
      </c>
      <c r="B51" s="156"/>
      <c r="C51" s="141" t="s">
        <v>210</v>
      </c>
      <c r="D51" s="141" t="s">
        <v>211</v>
      </c>
      <c r="E51" s="141" t="s">
        <v>212</v>
      </c>
      <c r="F51" s="141" t="s">
        <v>223</v>
      </c>
      <c r="G51" s="141" t="s">
        <v>224</v>
      </c>
      <c r="H51" s="141" t="s">
        <v>215</v>
      </c>
      <c r="I51" s="141" t="s">
        <v>216</v>
      </c>
      <c r="J51" s="141" t="s">
        <v>217</v>
      </c>
      <c r="K51" s="12"/>
    </row>
    <row r="52" spans="1:11" x14ac:dyDescent="0.2">
      <c r="A52" s="6" t="s">
        <v>102</v>
      </c>
      <c r="B52" s="6"/>
      <c r="C52" s="9">
        <v>0.59441663963514901</v>
      </c>
      <c r="D52" s="9">
        <v>0.11283979635033443</v>
      </c>
      <c r="E52" s="9">
        <v>2.7689931385132656E-2</v>
      </c>
      <c r="F52" s="9">
        <v>5.686305932868204E-2</v>
      </c>
      <c r="G52" s="9">
        <v>0.10244303792933573</v>
      </c>
      <c r="H52" s="9">
        <v>3.8723115965742905E-2</v>
      </c>
      <c r="I52" s="9">
        <v>3.459173937029849E-2</v>
      </c>
      <c r="J52" s="9">
        <v>3.2434362558055978E-2</v>
      </c>
      <c r="K52" s="9"/>
    </row>
    <row r="53" spans="1:11" x14ac:dyDescent="0.2">
      <c r="A53" s="6" t="s">
        <v>76</v>
      </c>
      <c r="B53" s="6"/>
      <c r="C53" s="9">
        <v>0.58962050953924439</v>
      </c>
      <c r="D53" s="9">
        <v>9.0624285416163367E-2</v>
      </c>
      <c r="E53" s="9">
        <v>3.979125811908775E-2</v>
      </c>
      <c r="F53" s="9">
        <v>6.0407600134935645E-2</v>
      </c>
      <c r="G53" s="9">
        <v>9.3287229593210383E-2</v>
      </c>
      <c r="H53" s="9">
        <v>3.9074840234037032E-2</v>
      </c>
      <c r="I53" s="9">
        <v>4.2548693863707403E-2</v>
      </c>
      <c r="J53" s="9">
        <v>4.4646406663819929E-2</v>
      </c>
      <c r="K53" s="9"/>
    </row>
    <row r="54" spans="1:11" x14ac:dyDescent="0.2">
      <c r="A54" s="6" t="s">
        <v>77</v>
      </c>
      <c r="B54" s="6"/>
      <c r="C54" s="9">
        <v>0.58927071688102184</v>
      </c>
      <c r="D54" s="9">
        <v>7.4189668517324975E-2</v>
      </c>
      <c r="E54" s="9">
        <v>5.0848110832419295E-2</v>
      </c>
      <c r="F54" s="9">
        <v>5.6262761925723014E-2</v>
      </c>
      <c r="G54" s="9">
        <v>8.6964100511007891E-2</v>
      </c>
      <c r="H54" s="9">
        <v>4.4519766803104335E-2</v>
      </c>
      <c r="I54" s="9">
        <v>5.8947323644931299E-2</v>
      </c>
      <c r="J54" s="9">
        <v>3.8996791289551865E-2</v>
      </c>
      <c r="K54" s="9"/>
    </row>
    <row r="55" spans="1:11" x14ac:dyDescent="0.2">
      <c r="A55" s="6" t="s">
        <v>78</v>
      </c>
      <c r="B55" s="6"/>
      <c r="C55" s="9">
        <v>0.58155345963760663</v>
      </c>
      <c r="D55" s="9">
        <v>5.0671403745070488E-2</v>
      </c>
      <c r="E55" s="9">
        <v>7.5307168575569947E-2</v>
      </c>
      <c r="F55" s="9">
        <v>4.3229525050541104E-2</v>
      </c>
      <c r="G55" s="9">
        <v>8.7248161814338879E-2</v>
      </c>
      <c r="H55" s="9">
        <v>4.9579434657856025E-2</v>
      </c>
      <c r="I55" s="9">
        <v>6.6455320551170441E-2</v>
      </c>
      <c r="J55" s="9">
        <v>4.595692395712761E-2</v>
      </c>
      <c r="K55" s="9"/>
    </row>
    <row r="56" spans="1:11" x14ac:dyDescent="0.2">
      <c r="A56" s="6" t="s">
        <v>79</v>
      </c>
      <c r="B56" s="6"/>
      <c r="C56" s="9">
        <v>0.55728380394554899</v>
      </c>
      <c r="D56" s="9">
        <v>3.2577493587565814E-2</v>
      </c>
      <c r="E56" s="9">
        <v>9.3625615177709426E-2</v>
      </c>
      <c r="F56" s="9">
        <v>3.2553882430771057E-2</v>
      </c>
      <c r="G56" s="9">
        <v>9.7136299053629832E-2</v>
      </c>
      <c r="H56" s="9">
        <v>7.3595975729257218E-2</v>
      </c>
      <c r="I56" s="9">
        <v>7.1388332568947444E-2</v>
      </c>
      <c r="J56" s="9">
        <v>4.1837494143009531E-2</v>
      </c>
      <c r="K56" s="9"/>
    </row>
    <row r="57" spans="1:11" x14ac:dyDescent="0.2">
      <c r="A57" s="6" t="s">
        <v>80</v>
      </c>
      <c r="B57" s="6"/>
      <c r="C57" s="9">
        <v>0.60269685322764022</v>
      </c>
      <c r="D57" s="9">
        <v>1.6729535423903746E-2</v>
      </c>
      <c r="E57" s="9">
        <v>8.7983456790571637E-2</v>
      </c>
      <c r="F57" s="9">
        <v>1.2744374758741048E-2</v>
      </c>
      <c r="G57" s="9">
        <v>0.11766867753480205</v>
      </c>
      <c r="H57" s="9">
        <v>7.9820608059690462E-2</v>
      </c>
      <c r="I57" s="9">
        <v>2.8803977439247452E-2</v>
      </c>
      <c r="J57" s="9">
        <v>5.355235735947033E-2</v>
      </c>
      <c r="K57" s="9"/>
    </row>
    <row r="58" spans="1:11" ht="13.5" thickBot="1" x14ac:dyDescent="0.25">
      <c r="A58" s="8" t="s">
        <v>219</v>
      </c>
      <c r="B58" s="8"/>
      <c r="C58" s="11">
        <v>0.58803292929074735</v>
      </c>
      <c r="D58" s="11">
        <v>8.4748656409660089E-2</v>
      </c>
      <c r="E58" s="11">
        <v>4.708480658149284E-2</v>
      </c>
      <c r="F58" s="11">
        <v>5.3136986714215413E-2</v>
      </c>
      <c r="G58" s="11">
        <v>9.5412772916355221E-2</v>
      </c>
      <c r="H58" s="11">
        <v>4.446424522892977E-2</v>
      </c>
      <c r="I58" s="11">
        <v>4.7518906867693667E-2</v>
      </c>
      <c r="J58" s="11">
        <v>3.9600695990905557E-2</v>
      </c>
      <c r="K58" s="9"/>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c r="C61" s="9">
        <v>0.56803224549455866</v>
      </c>
      <c r="D61" s="9">
        <v>8.914837960480583E-2</v>
      </c>
      <c r="E61" s="9">
        <v>3.4792893096593398E-2</v>
      </c>
      <c r="F61" s="9">
        <v>4.7500110501600079E-2</v>
      </c>
      <c r="G61" s="9">
        <v>0.1013126752895936</v>
      </c>
      <c r="H61" s="9">
        <v>3.260854331845324E-2</v>
      </c>
      <c r="I61" s="9">
        <v>7.6020120865751842E-2</v>
      </c>
      <c r="J61" s="9">
        <v>5.0586691709841605E-2</v>
      </c>
      <c r="K61" s="9"/>
    </row>
    <row r="62" spans="1:11" x14ac:dyDescent="0.2">
      <c r="A62" s="6" t="s">
        <v>82</v>
      </c>
      <c r="B62" s="6"/>
      <c r="C62" s="9">
        <v>0.52374980630640522</v>
      </c>
      <c r="D62" s="9">
        <v>8.3563558303352575E-2</v>
      </c>
      <c r="E62" s="9">
        <v>4.5791863971009733E-2</v>
      </c>
      <c r="F62" s="9">
        <v>6.6738360903692825E-2</v>
      </c>
      <c r="G62" s="9">
        <v>0.11529311611908483</v>
      </c>
      <c r="H62" s="9">
        <v>5.9812861804059515E-2</v>
      </c>
      <c r="I62" s="9">
        <v>8.5028414960811136E-2</v>
      </c>
      <c r="J62" s="9">
        <v>2.0023414809056818E-2</v>
      </c>
      <c r="K62" s="9"/>
    </row>
    <row r="63" spans="1:11" x14ac:dyDescent="0.2">
      <c r="A63" s="6" t="s">
        <v>83</v>
      </c>
      <c r="B63" s="6"/>
      <c r="C63" s="9">
        <v>0.49286361526893263</v>
      </c>
      <c r="D63" s="9">
        <v>6.3527577166755195E-2</v>
      </c>
      <c r="E63" s="9">
        <v>5.9867591266023978E-2</v>
      </c>
      <c r="F63" s="9">
        <v>5.0909792749800169E-2</v>
      </c>
      <c r="G63" s="9">
        <v>0.11217619124319081</v>
      </c>
      <c r="H63" s="9">
        <v>6.0122907536650123E-2</v>
      </c>
      <c r="I63" s="9">
        <v>9.7689709015695458E-2</v>
      </c>
      <c r="J63" s="9">
        <v>6.2841754205764752E-2</v>
      </c>
      <c r="K63" s="9"/>
    </row>
    <row r="64" spans="1:11" x14ac:dyDescent="0.2">
      <c r="A64" s="6" t="s">
        <v>84</v>
      </c>
      <c r="B64" s="6"/>
      <c r="C64" s="9">
        <v>0.51084787215122995</v>
      </c>
      <c r="D64" s="9">
        <v>5.2242518039533108E-2</v>
      </c>
      <c r="E64" s="9">
        <v>7.9818058254235436E-2</v>
      </c>
      <c r="F64" s="9">
        <v>5.1091164642446125E-2</v>
      </c>
      <c r="G64" s="9">
        <v>0.10387120869921471</v>
      </c>
      <c r="H64" s="9">
        <v>8.1270061796555812E-2</v>
      </c>
      <c r="I64" s="9">
        <v>9.1374867624797892E-2</v>
      </c>
      <c r="J64" s="9">
        <v>2.9483074280103598E-2</v>
      </c>
      <c r="K64" s="9"/>
    </row>
    <row r="65" spans="1:11" x14ac:dyDescent="0.2">
      <c r="A65" s="6" t="s">
        <v>85</v>
      </c>
      <c r="B65" s="6"/>
      <c r="C65" s="9">
        <v>0.48720710708792064</v>
      </c>
      <c r="D65" s="9">
        <v>3.1076842967698481E-2</v>
      </c>
      <c r="E65" s="9">
        <v>0.12474093982865074</v>
      </c>
      <c r="F65" s="9">
        <v>2.090099461057153E-2</v>
      </c>
      <c r="G65" s="9">
        <v>0.13181639990686733</v>
      </c>
      <c r="H65" s="9">
        <v>7.5543975264410146E-2</v>
      </c>
      <c r="I65" s="9">
        <v>9.9965508147869336E-2</v>
      </c>
      <c r="J65" s="9">
        <v>2.8747987611860214E-2</v>
      </c>
      <c r="K65" s="9"/>
    </row>
    <row r="66" spans="1:11" ht="13.5" thickBot="1" x14ac:dyDescent="0.25">
      <c r="A66" s="8" t="s">
        <v>220</v>
      </c>
      <c r="B66" s="8"/>
      <c r="C66" s="11">
        <v>0.53678823244860785</v>
      </c>
      <c r="D66" s="11">
        <v>7.6102277747299468E-2</v>
      </c>
      <c r="E66" s="11">
        <v>5.1937570476187224E-2</v>
      </c>
      <c r="F66" s="11">
        <v>5.1005969068991804E-2</v>
      </c>
      <c r="G66" s="11">
        <v>0.1075774189892766</v>
      </c>
      <c r="H66" s="11">
        <v>5.1386735311104458E-2</v>
      </c>
      <c r="I66" s="11">
        <v>8.4099617153577069E-2</v>
      </c>
      <c r="J66" s="11">
        <v>4.1102178804955675E-2</v>
      </c>
      <c r="K66" s="9"/>
    </row>
    <row r="67" spans="1:11" ht="13.5" thickTop="1" x14ac:dyDescent="0.2">
      <c r="A67" s="6"/>
      <c r="B67" s="6"/>
      <c r="C67" s="9"/>
      <c r="D67" s="9"/>
      <c r="E67" s="9"/>
      <c r="F67" s="9"/>
      <c r="G67" s="9"/>
      <c r="H67" s="9"/>
      <c r="I67" s="9"/>
      <c r="J67" s="9"/>
      <c r="K67" s="9"/>
    </row>
    <row r="68" spans="1:11" x14ac:dyDescent="0.2">
      <c r="A68" s="6"/>
      <c r="B68" s="6"/>
      <c r="C68" s="9"/>
      <c r="D68" s="9"/>
      <c r="E68" s="9"/>
      <c r="F68" s="9"/>
      <c r="G68" s="9"/>
      <c r="H68" s="9"/>
      <c r="I68" s="9"/>
      <c r="J68" s="9"/>
      <c r="K68" s="9"/>
    </row>
    <row r="69" spans="1:11" x14ac:dyDescent="0.2">
      <c r="A69" s="6" t="s">
        <v>86</v>
      </c>
      <c r="B69" s="6"/>
      <c r="C69" s="9">
        <v>0.56779058121111969</v>
      </c>
      <c r="D69" s="9">
        <v>5.8976065917401926E-2</v>
      </c>
      <c r="E69" s="9">
        <v>4.4919356836087464E-2</v>
      </c>
      <c r="F69" s="9">
        <v>5.8624775469516846E-2</v>
      </c>
      <c r="G69" s="9">
        <v>9.3998196221770691E-2</v>
      </c>
      <c r="H69" s="9">
        <v>5.4514507523731069E-2</v>
      </c>
      <c r="I69" s="9">
        <v>6.5329840974801573E-2</v>
      </c>
      <c r="J69" s="9">
        <v>5.5848392992512083E-2</v>
      </c>
      <c r="K69" s="9"/>
    </row>
    <row r="70" spans="1:11" x14ac:dyDescent="0.2">
      <c r="A70" s="6" t="s">
        <v>87</v>
      </c>
      <c r="B70" s="6"/>
      <c r="C70" s="9">
        <v>0.52572087337604068</v>
      </c>
      <c r="D70" s="9">
        <v>3.9096784393582024E-2</v>
      </c>
      <c r="E70" s="9">
        <v>9.4178235543267E-2</v>
      </c>
      <c r="F70" s="9">
        <v>3.3212451529711425E-2</v>
      </c>
      <c r="G70" s="9">
        <v>0.10672385003194915</v>
      </c>
      <c r="H70" s="9">
        <v>6.6365879045025777E-2</v>
      </c>
      <c r="I70" s="9">
        <v>8.5419794549776065E-2</v>
      </c>
      <c r="J70" s="9">
        <v>4.9282642878103994E-2</v>
      </c>
      <c r="K70" s="9"/>
    </row>
    <row r="71" spans="1:11" ht="13.5" thickBot="1" x14ac:dyDescent="0.25">
      <c r="A71" s="8" t="s">
        <v>221</v>
      </c>
      <c r="B71" s="8"/>
      <c r="C71" s="11">
        <v>0.54839960400775756</v>
      </c>
      <c r="D71" s="11">
        <v>4.9813079713781232E-2</v>
      </c>
      <c r="E71" s="11">
        <v>6.762347285885914E-2</v>
      </c>
      <c r="F71" s="11">
        <v>4.6912071913692524E-2</v>
      </c>
      <c r="G71" s="11">
        <v>9.9862975281078709E-2</v>
      </c>
      <c r="H71" s="11">
        <v>5.9976807128736952E-2</v>
      </c>
      <c r="I71" s="11">
        <v>7.4589755789289086E-2</v>
      </c>
      <c r="J71" s="11">
        <v>5.2822233306805029E-2</v>
      </c>
      <c r="K71" s="9"/>
    </row>
    <row r="72" spans="1:11" ht="13.5" thickTop="1" x14ac:dyDescent="0.2">
      <c r="A72" s="6"/>
      <c r="B72" s="6"/>
      <c r="C72" s="9"/>
      <c r="D72" s="9"/>
      <c r="E72" s="9"/>
      <c r="F72" s="9"/>
      <c r="G72" s="9"/>
      <c r="H72" s="9"/>
      <c r="I72" s="9"/>
      <c r="J72" s="9"/>
      <c r="K72" s="9"/>
    </row>
    <row r="73" spans="1:11" ht="13.5" thickBot="1" x14ac:dyDescent="0.25">
      <c r="A73" s="126" t="s">
        <v>222</v>
      </c>
      <c r="B73" s="126"/>
      <c r="C73" s="127">
        <v>0.56683102339125213</v>
      </c>
      <c r="D73" s="127">
        <v>7.7378601701041952E-2</v>
      </c>
      <c r="E73" s="127">
        <v>5.134625375512164E-2</v>
      </c>
      <c r="F73" s="127">
        <v>5.1640812412487774E-2</v>
      </c>
      <c r="G73" s="127">
        <v>9.9780065949054988E-2</v>
      </c>
      <c r="H73" s="127">
        <v>4.8692274652117701E-2</v>
      </c>
      <c r="I73" s="127">
        <v>6.2489800162387095E-2</v>
      </c>
      <c r="J73" s="127">
        <v>4.1841167976536663E-2</v>
      </c>
      <c r="K73" s="9"/>
    </row>
  </sheetData>
  <phoneticPr fontId="7"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1"/>
  <dimension ref="A1:L79"/>
  <sheetViews>
    <sheetView zoomScaleNormal="100" workbookViewId="0">
      <selection activeCell="C32" sqref="C32"/>
    </sheetView>
  </sheetViews>
  <sheetFormatPr defaultRowHeight="12.75" x14ac:dyDescent="0.2"/>
  <cols>
    <col min="1" max="1" width="19.28515625" customWidth="1"/>
    <col min="2" max="2" width="8.42578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6" t="s">
        <v>247</v>
      </c>
    </row>
    <row r="2" spans="1:12" x14ac:dyDescent="0.2">
      <c r="A2" s="22" t="s">
        <v>251</v>
      </c>
    </row>
    <row r="3" spans="1:12" x14ac:dyDescent="0.2">
      <c r="B3" s="105"/>
      <c r="C3" s="106"/>
      <c r="D3" s="106" t="s">
        <v>161</v>
      </c>
      <c r="E3" s="106" t="s">
        <v>124</v>
      </c>
      <c r="F3" s="106" t="s">
        <v>125</v>
      </c>
      <c r="G3" s="106" t="s">
        <v>125</v>
      </c>
      <c r="H3" s="106" t="s">
        <v>162</v>
      </c>
      <c r="I3" s="106"/>
      <c r="J3" s="106" t="s">
        <v>163</v>
      </c>
      <c r="K3" s="104"/>
      <c r="L3" s="107"/>
    </row>
    <row r="4" spans="1:12" ht="22.5" x14ac:dyDescent="0.2">
      <c r="A4" s="155" t="s">
        <v>245</v>
      </c>
      <c r="B4" s="157" t="s">
        <v>180</v>
      </c>
      <c r="C4" s="158" t="s">
        <v>94</v>
      </c>
      <c r="D4" s="158" t="s">
        <v>129</v>
      </c>
      <c r="E4" s="158" t="s">
        <v>164</v>
      </c>
      <c r="F4" s="158" t="s">
        <v>164</v>
      </c>
      <c r="G4" s="158" t="s">
        <v>165</v>
      </c>
      <c r="H4" s="158" t="s">
        <v>132</v>
      </c>
      <c r="I4" s="158" t="s">
        <v>93</v>
      </c>
      <c r="J4" s="158" t="s">
        <v>133</v>
      </c>
      <c r="K4" s="158" t="s">
        <v>113</v>
      </c>
      <c r="L4" s="141" t="s">
        <v>451</v>
      </c>
    </row>
    <row r="5" spans="1:12" x14ac:dyDescent="0.2">
      <c r="A5" s="108" t="s">
        <v>102</v>
      </c>
      <c r="B5" s="108">
        <v>39026</v>
      </c>
      <c r="C5" s="108">
        <v>125005156.59</v>
      </c>
      <c r="D5" s="108">
        <v>21775884.16</v>
      </c>
      <c r="E5" s="108">
        <v>6104968.96</v>
      </c>
      <c r="F5" s="108">
        <v>11612682.76</v>
      </c>
      <c r="G5" s="108">
        <v>19436152.940000001</v>
      </c>
      <c r="H5" s="108">
        <v>7541128.3399999999</v>
      </c>
      <c r="I5" s="108">
        <v>7082453.4199999999</v>
      </c>
      <c r="J5" s="108">
        <v>9002755.1400000006</v>
      </c>
      <c r="K5" s="108">
        <v>207561182.31</v>
      </c>
      <c r="L5" s="6">
        <f>K5/B5</f>
        <v>5318.5359070875829</v>
      </c>
    </row>
    <row r="6" spans="1:12" x14ac:dyDescent="0.2">
      <c r="A6" s="108" t="s">
        <v>76</v>
      </c>
      <c r="B6" s="108">
        <v>23422</v>
      </c>
      <c r="C6" s="108">
        <v>75483671.269999996</v>
      </c>
      <c r="D6" s="108">
        <v>12296077.800000001</v>
      </c>
      <c r="E6" s="108">
        <v>5242353.51</v>
      </c>
      <c r="F6" s="108">
        <v>7484180.8600000003</v>
      </c>
      <c r="G6" s="108">
        <v>12020541.82</v>
      </c>
      <c r="H6" s="108">
        <v>5211558.63</v>
      </c>
      <c r="I6" s="108">
        <v>6436990.8399999999</v>
      </c>
      <c r="J6" s="108">
        <v>6443223.7999999998</v>
      </c>
      <c r="K6" s="108">
        <v>130618598.52999999</v>
      </c>
      <c r="L6" s="6">
        <f t="shared" ref="L6:L24" si="0">K6/B6</f>
        <v>5576.7482934847576</v>
      </c>
    </row>
    <row r="7" spans="1:12" x14ac:dyDescent="0.2">
      <c r="A7" s="108" t="s">
        <v>77</v>
      </c>
      <c r="B7" s="108">
        <v>12312</v>
      </c>
      <c r="C7" s="108">
        <v>42949219.5</v>
      </c>
      <c r="D7" s="108">
        <v>5791652.9400000004</v>
      </c>
      <c r="E7" s="108">
        <v>3697880.44</v>
      </c>
      <c r="F7" s="108">
        <v>3794315.45</v>
      </c>
      <c r="G7" s="108">
        <v>6312725.6200000001</v>
      </c>
      <c r="H7" s="108">
        <v>3743478.09</v>
      </c>
      <c r="I7" s="108">
        <v>4154745.91</v>
      </c>
      <c r="J7" s="108">
        <v>4023509.99</v>
      </c>
      <c r="K7" s="108">
        <v>74467527.939999983</v>
      </c>
      <c r="L7" s="6">
        <f t="shared" si="0"/>
        <v>6048.3697157244951</v>
      </c>
    </row>
    <row r="8" spans="1:12" x14ac:dyDescent="0.2">
      <c r="A8" s="108" t="s">
        <v>78</v>
      </c>
      <c r="B8" s="108">
        <v>15008</v>
      </c>
      <c r="C8" s="108">
        <v>50475659.219999999</v>
      </c>
      <c r="D8" s="108">
        <v>4344935.46</v>
      </c>
      <c r="E8" s="108">
        <v>6818053.6399999997</v>
      </c>
      <c r="F8" s="108">
        <v>3914537.03</v>
      </c>
      <c r="G8" s="108">
        <v>7834805.3399999999</v>
      </c>
      <c r="H8" s="108">
        <v>4244891.88</v>
      </c>
      <c r="I8" s="108">
        <v>5866898.6399999997</v>
      </c>
      <c r="J8" s="108">
        <v>4641780.34</v>
      </c>
      <c r="K8" s="108">
        <v>88141561.549999997</v>
      </c>
      <c r="L8" s="6">
        <f t="shared" si="0"/>
        <v>5872.9718516791045</v>
      </c>
    </row>
    <row r="9" spans="1:12" x14ac:dyDescent="0.2">
      <c r="A9" s="108" t="s">
        <v>79</v>
      </c>
      <c r="B9" s="108">
        <v>5864</v>
      </c>
      <c r="C9" s="108">
        <v>21499723.719999999</v>
      </c>
      <c r="D9" s="108">
        <v>1269551.56</v>
      </c>
      <c r="E9" s="108">
        <v>3555577.48</v>
      </c>
      <c r="F9" s="108">
        <v>1247188.1100000001</v>
      </c>
      <c r="G9" s="108">
        <v>3883447.61</v>
      </c>
      <c r="H9" s="108">
        <v>2809502.76</v>
      </c>
      <c r="I9" s="108">
        <v>3109741.18</v>
      </c>
      <c r="J9" s="108">
        <v>1434310.47</v>
      </c>
      <c r="K9" s="108">
        <v>38809042.889999993</v>
      </c>
      <c r="L9" s="6">
        <f t="shared" si="0"/>
        <v>6618.1860317189621</v>
      </c>
    </row>
    <row r="10" spans="1:12" x14ac:dyDescent="0.2">
      <c r="A10" s="109" t="s">
        <v>80</v>
      </c>
      <c r="B10" s="109">
        <v>1573</v>
      </c>
      <c r="C10" s="109">
        <v>5597081.9699999997</v>
      </c>
      <c r="D10" s="109">
        <v>148292.85999999999</v>
      </c>
      <c r="E10" s="109">
        <v>792396.94</v>
      </c>
      <c r="F10" s="109">
        <v>89131.17</v>
      </c>
      <c r="G10" s="109">
        <v>1018459.89</v>
      </c>
      <c r="H10" s="109">
        <v>804252.12</v>
      </c>
      <c r="I10" s="109">
        <v>190912.3</v>
      </c>
      <c r="J10" s="109">
        <v>186777.07</v>
      </c>
      <c r="K10" s="109">
        <v>8827304.3200000003</v>
      </c>
      <c r="L10" s="6">
        <f t="shared" si="0"/>
        <v>5611.7637126509853</v>
      </c>
    </row>
    <row r="11" spans="1:12" ht="13.5" thickBot="1" x14ac:dyDescent="0.25">
      <c r="A11" s="104" t="s">
        <v>134</v>
      </c>
      <c r="B11" s="179">
        <v>97205</v>
      </c>
      <c r="C11" s="179">
        <v>321010512.2700001</v>
      </c>
      <c r="D11" s="179">
        <v>45626394.780000001</v>
      </c>
      <c r="E11" s="179">
        <v>26211230.969999999</v>
      </c>
      <c r="F11" s="179">
        <v>28142035.380000003</v>
      </c>
      <c r="G11" s="179">
        <v>50506133.219999999</v>
      </c>
      <c r="H11" s="179">
        <v>24354811.819999997</v>
      </c>
      <c r="I11" s="179">
        <v>26841742.290000003</v>
      </c>
      <c r="J11" s="179">
        <v>25732356.809999999</v>
      </c>
      <c r="K11" s="179">
        <v>548425217.54000008</v>
      </c>
      <c r="L11" s="8">
        <f t="shared" si="0"/>
        <v>5641.9445248701204</v>
      </c>
    </row>
    <row r="12" spans="1:12" ht="13.5" thickTop="1" x14ac:dyDescent="0.2">
      <c r="A12" s="104"/>
      <c r="B12" s="108"/>
      <c r="C12" s="108"/>
      <c r="D12" s="108"/>
      <c r="E12" s="108"/>
      <c r="F12" s="108"/>
      <c r="G12" s="108"/>
      <c r="H12" s="108"/>
      <c r="I12" s="108"/>
      <c r="J12" s="108"/>
      <c r="K12" s="108"/>
      <c r="L12" s="6"/>
    </row>
    <row r="13" spans="1:12" x14ac:dyDescent="0.2">
      <c r="A13" s="108" t="s">
        <v>81</v>
      </c>
      <c r="B13" s="108">
        <v>22638</v>
      </c>
      <c r="C13" s="108">
        <v>78444324.280000001</v>
      </c>
      <c r="D13" s="108">
        <v>12141657.1</v>
      </c>
      <c r="E13" s="108">
        <v>4906250.58</v>
      </c>
      <c r="F13" s="108">
        <v>6617786</v>
      </c>
      <c r="G13" s="108">
        <v>13681120.16</v>
      </c>
      <c r="H13" s="108">
        <v>4587388.3600000003</v>
      </c>
      <c r="I13" s="108">
        <v>10611395.220000001</v>
      </c>
      <c r="J13" s="108">
        <v>9003569.4600000009</v>
      </c>
      <c r="K13" s="108">
        <v>139993491.16</v>
      </c>
      <c r="L13" s="6">
        <f t="shared" si="0"/>
        <v>6184.0043802456048</v>
      </c>
    </row>
    <row r="14" spans="1:12" x14ac:dyDescent="0.2">
      <c r="A14" s="108" t="s">
        <v>82</v>
      </c>
      <c r="B14" s="108">
        <v>10487</v>
      </c>
      <c r="C14" s="108">
        <v>32628145.460000001</v>
      </c>
      <c r="D14" s="108">
        <v>5412421.7300000004</v>
      </c>
      <c r="E14" s="108">
        <v>2983428.97</v>
      </c>
      <c r="F14" s="108">
        <v>4196350.83</v>
      </c>
      <c r="G14" s="108">
        <v>7492166.9100000001</v>
      </c>
      <c r="H14" s="108">
        <v>3749219.31</v>
      </c>
      <c r="I14" s="108">
        <v>5356905.88</v>
      </c>
      <c r="J14" s="108">
        <v>2087127.59</v>
      </c>
      <c r="K14" s="108">
        <v>63905766.68</v>
      </c>
      <c r="L14" s="6">
        <f t="shared" si="0"/>
        <v>6093.808208257843</v>
      </c>
    </row>
    <row r="15" spans="1:12" x14ac:dyDescent="0.2">
      <c r="A15" s="108" t="s">
        <v>83</v>
      </c>
      <c r="B15" s="108">
        <v>5470</v>
      </c>
      <c r="C15" s="108">
        <v>18305029.25</v>
      </c>
      <c r="D15" s="108">
        <v>2325826.3199999998</v>
      </c>
      <c r="E15" s="108">
        <v>2234697.0099999998</v>
      </c>
      <c r="F15" s="108">
        <v>2030890.87</v>
      </c>
      <c r="G15" s="108">
        <v>4399007.91</v>
      </c>
      <c r="H15" s="108">
        <v>2370745.38</v>
      </c>
      <c r="I15" s="108">
        <v>3695232.56</v>
      </c>
      <c r="J15" s="108">
        <v>1624860.64</v>
      </c>
      <c r="K15" s="108">
        <v>36986289.939999998</v>
      </c>
      <c r="L15" s="6">
        <f t="shared" si="0"/>
        <v>6761.6617806215718</v>
      </c>
    </row>
    <row r="16" spans="1:12" x14ac:dyDescent="0.2">
      <c r="A16" s="108" t="s">
        <v>84</v>
      </c>
      <c r="B16" s="108">
        <v>5258</v>
      </c>
      <c r="C16" s="108">
        <v>22049438.48</v>
      </c>
      <c r="D16" s="108">
        <v>2328119.7400000002</v>
      </c>
      <c r="E16" s="108">
        <v>3743244.68</v>
      </c>
      <c r="F16" s="108">
        <v>2500779.77</v>
      </c>
      <c r="G16" s="108">
        <v>4839478.37</v>
      </c>
      <c r="H16" s="108">
        <v>3479664.28</v>
      </c>
      <c r="I16" s="108">
        <v>4191143.29</v>
      </c>
      <c r="J16" s="108">
        <v>2100492.71</v>
      </c>
      <c r="K16" s="108">
        <v>45232361.32</v>
      </c>
      <c r="L16" s="6">
        <f t="shared" si="0"/>
        <v>8602.5791783948262</v>
      </c>
    </row>
    <row r="17" spans="1:12" x14ac:dyDescent="0.2">
      <c r="A17" s="109" t="s">
        <v>85</v>
      </c>
      <c r="B17" s="109">
        <v>1479</v>
      </c>
      <c r="C17" s="109">
        <v>8474777.9700000007</v>
      </c>
      <c r="D17" s="109">
        <v>524464.63</v>
      </c>
      <c r="E17" s="109">
        <v>2084515.32</v>
      </c>
      <c r="F17" s="109">
        <v>379071.11</v>
      </c>
      <c r="G17" s="109">
        <v>2375818.16</v>
      </c>
      <c r="H17" s="109">
        <v>1247242.24</v>
      </c>
      <c r="I17" s="109">
        <v>1704554.78</v>
      </c>
      <c r="J17" s="109">
        <v>670459.5</v>
      </c>
      <c r="K17" s="109">
        <v>17460903.710000001</v>
      </c>
      <c r="L17" s="6">
        <f t="shared" si="0"/>
        <v>11805.884861392833</v>
      </c>
    </row>
    <row r="18" spans="1:12" ht="13.5" thickBot="1" x14ac:dyDescent="0.25">
      <c r="A18" s="108" t="s">
        <v>135</v>
      </c>
      <c r="B18" s="179">
        <v>45332</v>
      </c>
      <c r="C18" s="179">
        <v>159901715.44</v>
      </c>
      <c r="D18" s="179">
        <v>22732489.52</v>
      </c>
      <c r="E18" s="179">
        <v>15952136.560000001</v>
      </c>
      <c r="F18" s="179">
        <v>15724878.579999998</v>
      </c>
      <c r="G18" s="179">
        <v>32787591.510000002</v>
      </c>
      <c r="H18" s="179">
        <v>15434259.57</v>
      </c>
      <c r="I18" s="179">
        <v>25559231.73</v>
      </c>
      <c r="J18" s="179">
        <v>15486509.900000002</v>
      </c>
      <c r="K18" s="179">
        <v>303578812.81</v>
      </c>
      <c r="L18" s="8">
        <f t="shared" si="0"/>
        <v>6696.7884234095118</v>
      </c>
    </row>
    <row r="19" spans="1:12" ht="13.5" thickTop="1" x14ac:dyDescent="0.2">
      <c r="A19" s="107"/>
      <c r="B19" s="107"/>
      <c r="C19" s="107"/>
      <c r="D19" s="107"/>
      <c r="E19" s="107"/>
      <c r="F19" s="107"/>
      <c r="G19" s="107"/>
      <c r="H19" s="107"/>
      <c r="I19" s="107"/>
      <c r="J19" s="107"/>
      <c r="K19" s="107"/>
      <c r="L19" s="6"/>
    </row>
    <row r="20" spans="1:12" x14ac:dyDescent="0.2">
      <c r="A20" s="108" t="s">
        <v>86</v>
      </c>
      <c r="B20" s="108">
        <v>12615</v>
      </c>
      <c r="C20" s="108">
        <v>40670692.100000001</v>
      </c>
      <c r="D20" s="108">
        <v>4151811.01</v>
      </c>
      <c r="E20" s="108">
        <v>3402433.57</v>
      </c>
      <c r="F20" s="108">
        <v>4128197.97</v>
      </c>
      <c r="G20" s="108">
        <v>6918404.4000000004</v>
      </c>
      <c r="H20" s="108">
        <v>3841168.39</v>
      </c>
      <c r="I20" s="108">
        <v>4601011.05</v>
      </c>
      <c r="J20" s="108">
        <v>4111575.52</v>
      </c>
      <c r="K20" s="108">
        <v>71825294.00999999</v>
      </c>
      <c r="L20" s="6">
        <f t="shared" si="0"/>
        <v>5693.6420142687266</v>
      </c>
    </row>
    <row r="21" spans="1:12" x14ac:dyDescent="0.2">
      <c r="A21" s="109" t="s">
        <v>87</v>
      </c>
      <c r="B21" s="109">
        <v>6601</v>
      </c>
      <c r="C21" s="109">
        <v>27704504.579999998</v>
      </c>
      <c r="D21" s="109">
        <v>1888534.9</v>
      </c>
      <c r="E21" s="109">
        <v>5226123.16</v>
      </c>
      <c r="F21" s="109">
        <v>1673731.01</v>
      </c>
      <c r="G21" s="109">
        <v>5707104.8600000003</v>
      </c>
      <c r="H21" s="109">
        <v>3567724.63</v>
      </c>
      <c r="I21" s="109">
        <v>4578860.67</v>
      </c>
      <c r="J21" s="109">
        <v>2484741.2799999998</v>
      </c>
      <c r="K21" s="109">
        <v>52831325.090000004</v>
      </c>
      <c r="L21" s="6">
        <f t="shared" si="0"/>
        <v>8003.5335691561886</v>
      </c>
    </row>
    <row r="22" spans="1:12" ht="13.5" thickBot="1" x14ac:dyDescent="0.25">
      <c r="A22" s="108" t="s">
        <v>136</v>
      </c>
      <c r="B22" s="179">
        <v>19216</v>
      </c>
      <c r="C22" s="179">
        <v>68375196.680000007</v>
      </c>
      <c r="D22" s="179">
        <v>6040345.9100000001</v>
      </c>
      <c r="E22" s="179">
        <v>8628556.7300000004</v>
      </c>
      <c r="F22" s="179">
        <v>5801928.9800000004</v>
      </c>
      <c r="G22" s="179">
        <v>12625509.260000002</v>
      </c>
      <c r="H22" s="179">
        <v>7408893.0199999996</v>
      </c>
      <c r="I22" s="179">
        <v>9179871.7199999988</v>
      </c>
      <c r="J22" s="179">
        <v>6596316.7999999998</v>
      </c>
      <c r="K22" s="179">
        <v>124656619.10000001</v>
      </c>
      <c r="L22" s="8">
        <f t="shared" si="0"/>
        <v>6487.1263062031649</v>
      </c>
    </row>
    <row r="23" spans="1:12" ht="13.5" thickTop="1" x14ac:dyDescent="0.2">
      <c r="A23" s="107"/>
      <c r="B23" s="107"/>
      <c r="C23" s="107"/>
      <c r="D23" s="107"/>
      <c r="E23" s="107"/>
      <c r="F23" s="107"/>
      <c r="G23" s="107"/>
      <c r="H23" s="107"/>
      <c r="I23" s="107"/>
      <c r="J23" s="107"/>
      <c r="K23" s="107"/>
      <c r="L23" s="6"/>
    </row>
    <row r="24" spans="1:12" ht="13.5" thickBot="1" x14ac:dyDescent="0.25">
      <c r="A24" s="108" t="s">
        <v>181</v>
      </c>
      <c r="B24" s="180">
        <v>161753</v>
      </c>
      <c r="C24" s="180">
        <v>549287424.3900001</v>
      </c>
      <c r="D24" s="180">
        <v>74399230.210000008</v>
      </c>
      <c r="E24" s="180">
        <v>50791924.259999998</v>
      </c>
      <c r="F24" s="180">
        <v>49668842.939999998</v>
      </c>
      <c r="G24" s="180">
        <v>95919233.99000001</v>
      </c>
      <c r="H24" s="180">
        <v>47197964.409999996</v>
      </c>
      <c r="I24" s="180">
        <v>61580845.74000001</v>
      </c>
      <c r="J24" s="180">
        <v>47815183.510000005</v>
      </c>
      <c r="K24" s="180">
        <v>976660649.45000005</v>
      </c>
      <c r="L24" s="126">
        <f t="shared" si="0"/>
        <v>6037.975490099102</v>
      </c>
    </row>
    <row r="25" spans="1:12" x14ac:dyDescent="0.2">
      <c r="A25" s="107"/>
      <c r="B25" s="107"/>
      <c r="C25" s="107"/>
      <c r="D25" s="107"/>
      <c r="E25" s="107"/>
      <c r="F25" s="107"/>
      <c r="G25" s="107"/>
      <c r="H25" s="107"/>
      <c r="I25" s="107"/>
      <c r="J25" s="107"/>
      <c r="K25" s="107"/>
      <c r="L25" s="107"/>
    </row>
    <row r="26" spans="1:12" x14ac:dyDescent="0.2">
      <c r="A26" s="107"/>
      <c r="B26" s="107"/>
      <c r="C26" s="107"/>
      <c r="D26" s="107"/>
      <c r="E26" s="107"/>
      <c r="F26" s="107"/>
      <c r="G26" s="107"/>
      <c r="H26" s="107"/>
      <c r="I26" s="107"/>
      <c r="J26" s="107"/>
      <c r="K26" s="107"/>
      <c r="L26" s="107"/>
    </row>
    <row r="27" spans="1:12" x14ac:dyDescent="0.2">
      <c r="A27" s="107"/>
      <c r="B27" s="107"/>
      <c r="C27" s="107"/>
      <c r="D27" s="107"/>
      <c r="E27" s="107"/>
      <c r="F27" s="107"/>
      <c r="G27" s="107"/>
      <c r="H27" s="107"/>
      <c r="I27" s="107"/>
      <c r="J27" s="107"/>
      <c r="K27" s="107"/>
      <c r="L27" s="107"/>
    </row>
    <row r="28" spans="1:12" x14ac:dyDescent="0.2">
      <c r="A28" s="104" t="s">
        <v>193</v>
      </c>
      <c r="B28" s="104"/>
      <c r="C28" s="104"/>
      <c r="D28" s="104"/>
      <c r="E28" s="104"/>
      <c r="F28" s="104"/>
      <c r="G28" s="104"/>
      <c r="H28" s="104"/>
      <c r="I28" s="104"/>
      <c r="J28" s="104"/>
      <c r="K28" s="104"/>
      <c r="L28" s="107"/>
    </row>
    <row r="29" spans="1:12" x14ac:dyDescent="0.2">
      <c r="A29" s="104"/>
      <c r="B29" s="104"/>
      <c r="C29" s="104"/>
      <c r="D29" s="104"/>
      <c r="E29" s="104"/>
      <c r="F29" s="104"/>
      <c r="G29" s="104"/>
      <c r="H29" s="104"/>
      <c r="I29" s="104"/>
      <c r="J29" s="104"/>
      <c r="K29" s="104"/>
      <c r="L29" s="107"/>
    </row>
    <row r="30" spans="1:12" x14ac:dyDescent="0.2">
      <c r="A30" s="36" t="s">
        <v>247</v>
      </c>
      <c r="B30" s="104"/>
      <c r="C30" s="104"/>
      <c r="D30" s="104"/>
      <c r="E30" s="104"/>
      <c r="F30" s="104"/>
      <c r="G30" s="104"/>
      <c r="H30" s="104"/>
      <c r="I30" s="104"/>
      <c r="J30" s="104"/>
      <c r="K30" s="104"/>
      <c r="L30" s="107"/>
    </row>
    <row r="31" spans="1:12" x14ac:dyDescent="0.2">
      <c r="A31" s="36" t="s">
        <v>263</v>
      </c>
      <c r="B31" s="105"/>
      <c r="C31" s="105"/>
      <c r="D31" s="105" t="s">
        <v>123</v>
      </c>
      <c r="E31" s="106" t="s">
        <v>124</v>
      </c>
      <c r="F31" s="106" t="s">
        <v>125</v>
      </c>
      <c r="G31" s="106" t="s">
        <v>125</v>
      </c>
      <c r="H31" s="106" t="s">
        <v>182</v>
      </c>
      <c r="I31" s="106"/>
      <c r="J31" s="105" t="s">
        <v>183</v>
      </c>
      <c r="K31" s="104"/>
      <c r="L31" s="107"/>
    </row>
    <row r="32" spans="1:12" x14ac:dyDescent="0.2">
      <c r="A32" s="155" t="s">
        <v>245</v>
      </c>
      <c r="B32" s="157" t="s">
        <v>180</v>
      </c>
      <c r="C32" s="157" t="s">
        <v>94</v>
      </c>
      <c r="D32" s="157" t="s">
        <v>129</v>
      </c>
      <c r="E32" s="158" t="s">
        <v>164</v>
      </c>
      <c r="F32" s="158" t="s">
        <v>164</v>
      </c>
      <c r="G32" s="158" t="s">
        <v>165</v>
      </c>
      <c r="H32" s="158" t="s">
        <v>132</v>
      </c>
      <c r="I32" s="157" t="s">
        <v>93</v>
      </c>
      <c r="J32" s="157" t="s">
        <v>133</v>
      </c>
      <c r="K32" s="157" t="s">
        <v>113</v>
      </c>
      <c r="L32" s="107"/>
    </row>
    <row r="33" spans="1:12" x14ac:dyDescent="0.2">
      <c r="A33" s="110"/>
      <c r="B33" s="111"/>
      <c r="C33" s="111"/>
      <c r="D33" s="111"/>
      <c r="E33" s="112"/>
      <c r="F33" s="112"/>
      <c r="G33" s="112"/>
      <c r="H33" s="112"/>
      <c r="I33" s="111"/>
      <c r="J33" s="111"/>
      <c r="K33" s="111"/>
      <c r="L33" s="107"/>
    </row>
    <row r="34" spans="1:12" x14ac:dyDescent="0.2">
      <c r="A34" s="104" t="s">
        <v>102</v>
      </c>
      <c r="B34" s="108">
        <v>39026</v>
      </c>
      <c r="C34" s="104">
        <v>3203.1250087121407</v>
      </c>
      <c r="D34" s="104">
        <v>557.98401475939113</v>
      </c>
      <c r="E34" s="104">
        <v>156.43337672321016</v>
      </c>
      <c r="F34" s="104">
        <v>297.56272126274791</v>
      </c>
      <c r="G34" s="104">
        <v>498.03087531389332</v>
      </c>
      <c r="H34" s="104">
        <v>193.23344283298314</v>
      </c>
      <c r="I34" s="104">
        <v>181.48038282170862</v>
      </c>
      <c r="J34" s="104">
        <v>230.68608466150772</v>
      </c>
      <c r="K34" s="104">
        <v>5318.5359070875829</v>
      </c>
      <c r="L34" s="107"/>
    </row>
    <row r="35" spans="1:12" x14ac:dyDescent="0.2">
      <c r="A35" s="104" t="s">
        <v>76</v>
      </c>
      <c r="B35" s="108">
        <v>23422</v>
      </c>
      <c r="C35" s="104">
        <v>3222.7679647340105</v>
      </c>
      <c r="D35" s="104">
        <v>524.97983946716761</v>
      </c>
      <c r="E35" s="104">
        <v>223.82177055759541</v>
      </c>
      <c r="F35" s="104">
        <v>319.53637007941251</v>
      </c>
      <c r="G35" s="104">
        <v>513.21585774058576</v>
      </c>
      <c r="H35" s="104">
        <v>222.50698616685168</v>
      </c>
      <c r="I35" s="104">
        <v>274.82669456066947</v>
      </c>
      <c r="J35" s="104">
        <v>275.09281017846467</v>
      </c>
      <c r="K35" s="104">
        <v>5576.7482934847576</v>
      </c>
      <c r="L35" s="107"/>
    </row>
    <row r="36" spans="1:12" x14ac:dyDescent="0.2">
      <c r="A36" s="104" t="s">
        <v>77</v>
      </c>
      <c r="B36" s="108">
        <v>12312</v>
      </c>
      <c r="C36" s="104">
        <v>3488.4031432748538</v>
      </c>
      <c r="D36" s="104">
        <v>470.40715886939574</v>
      </c>
      <c r="E36" s="104">
        <v>300.34766406757632</v>
      </c>
      <c r="F36" s="104">
        <v>308.18026721897337</v>
      </c>
      <c r="G36" s="104">
        <v>512.72950129954518</v>
      </c>
      <c r="H36" s="104">
        <v>304.05117690058478</v>
      </c>
      <c r="I36" s="104">
        <v>337.4549959389214</v>
      </c>
      <c r="J36" s="104">
        <v>326.7958081546459</v>
      </c>
      <c r="K36" s="104">
        <v>6048.3697157244951</v>
      </c>
      <c r="L36" s="107"/>
    </row>
    <row r="37" spans="1:12" x14ac:dyDescent="0.2">
      <c r="A37" s="104" t="s">
        <v>78</v>
      </c>
      <c r="B37" s="108">
        <v>15008</v>
      </c>
      <c r="C37" s="104">
        <v>3363.2502145522385</v>
      </c>
      <c r="D37" s="104">
        <v>289.50795975479741</v>
      </c>
      <c r="E37" s="104">
        <v>454.29461886993602</v>
      </c>
      <c r="F37" s="104">
        <v>260.8300259861407</v>
      </c>
      <c r="G37" s="104">
        <v>522.04193363539446</v>
      </c>
      <c r="H37" s="104">
        <v>282.84194296375267</v>
      </c>
      <c r="I37" s="104">
        <v>390.91808635394455</v>
      </c>
      <c r="J37" s="104">
        <v>309.28706956289977</v>
      </c>
      <c r="K37" s="104">
        <v>5872.9718516791045</v>
      </c>
      <c r="L37" s="107"/>
    </row>
    <row r="38" spans="1:12" x14ac:dyDescent="0.2">
      <c r="A38" s="104" t="s">
        <v>79</v>
      </c>
      <c r="B38" s="108">
        <v>5864</v>
      </c>
      <c r="C38" s="104">
        <v>3666.3921759890859</v>
      </c>
      <c r="D38" s="104">
        <v>216.4992428376535</v>
      </c>
      <c r="E38" s="104">
        <v>606.33995225102319</v>
      </c>
      <c r="F38" s="104">
        <v>212.6855576398363</v>
      </c>
      <c r="G38" s="104">
        <v>662.25232094133696</v>
      </c>
      <c r="H38" s="104">
        <v>479.11029331514322</v>
      </c>
      <c r="I38" s="104">
        <v>530.31056957708051</v>
      </c>
      <c r="J38" s="104">
        <v>244.59591916780354</v>
      </c>
      <c r="K38" s="104">
        <v>6618.1860317189621</v>
      </c>
      <c r="L38" s="107"/>
    </row>
    <row r="39" spans="1:12" x14ac:dyDescent="0.2">
      <c r="A39" s="114" t="s">
        <v>80</v>
      </c>
      <c r="B39" s="109">
        <v>1573</v>
      </c>
      <c r="C39" s="114">
        <v>3558.221214240305</v>
      </c>
      <c r="D39" s="114">
        <v>94.273909726636987</v>
      </c>
      <c r="E39" s="114">
        <v>503.74884933248563</v>
      </c>
      <c r="F39" s="114">
        <v>56.66317228226319</v>
      </c>
      <c r="G39" s="114">
        <v>647.46337571519393</v>
      </c>
      <c r="H39" s="114">
        <v>511.28551811824536</v>
      </c>
      <c r="I39" s="114">
        <v>121.36827717736809</v>
      </c>
      <c r="J39" s="114">
        <v>118.73939605848697</v>
      </c>
      <c r="K39" s="114">
        <v>5611.7637126509853</v>
      </c>
      <c r="L39" s="107"/>
    </row>
    <row r="40" spans="1:12" x14ac:dyDescent="0.2">
      <c r="A40" s="104" t="s">
        <v>134</v>
      </c>
      <c r="B40" s="104">
        <v>97205</v>
      </c>
      <c r="C40" s="104">
        <v>3302.4074098040232</v>
      </c>
      <c r="D40" s="104">
        <v>469.38320847693024</v>
      </c>
      <c r="E40" s="104">
        <v>269.64899922843472</v>
      </c>
      <c r="F40" s="104">
        <v>289.51222035903504</v>
      </c>
      <c r="G40" s="104">
        <v>519.58369651766884</v>
      </c>
      <c r="H40" s="104">
        <v>250.55101918625581</v>
      </c>
      <c r="I40" s="104">
        <v>276.13540754076439</v>
      </c>
      <c r="J40" s="104">
        <v>264.72256375700834</v>
      </c>
      <c r="K40" s="104">
        <v>5641.9445248701204</v>
      </c>
      <c r="L40" s="107"/>
    </row>
    <row r="41" spans="1:12" x14ac:dyDescent="0.2">
      <c r="A41" s="104"/>
      <c r="B41" s="104"/>
      <c r="C41" s="104"/>
      <c r="D41" s="104"/>
      <c r="E41" s="104"/>
      <c r="F41" s="104"/>
      <c r="G41" s="104"/>
      <c r="H41" s="104"/>
      <c r="I41" s="104"/>
      <c r="J41" s="104"/>
      <c r="K41" s="104"/>
      <c r="L41" s="107"/>
    </row>
    <row r="42" spans="1:12" x14ac:dyDescent="0.2">
      <c r="A42" s="104" t="s">
        <v>81</v>
      </c>
      <c r="B42" s="108">
        <v>22638</v>
      </c>
      <c r="C42" s="108">
        <v>3465.16</v>
      </c>
      <c r="D42" s="108">
        <v>536.34</v>
      </c>
      <c r="E42" s="108">
        <v>216.73</v>
      </c>
      <c r="F42" s="108">
        <v>292.33</v>
      </c>
      <c r="G42" s="108">
        <v>604.34</v>
      </c>
      <c r="H42" s="108">
        <v>202.64</v>
      </c>
      <c r="I42" s="108">
        <v>468.74</v>
      </c>
      <c r="J42" s="108">
        <v>397.72</v>
      </c>
      <c r="K42" s="104">
        <v>6184.0043802456048</v>
      </c>
      <c r="L42" s="107"/>
    </row>
    <row r="43" spans="1:12" x14ac:dyDescent="0.2">
      <c r="A43" s="104" t="s">
        <v>82</v>
      </c>
      <c r="B43" s="108">
        <v>10487</v>
      </c>
      <c r="C43" s="108">
        <v>3111.29</v>
      </c>
      <c r="D43" s="108">
        <v>516.11</v>
      </c>
      <c r="E43" s="108">
        <v>284.49</v>
      </c>
      <c r="F43" s="108">
        <v>400.15</v>
      </c>
      <c r="G43" s="108">
        <v>714.42</v>
      </c>
      <c r="H43" s="108">
        <v>357.51</v>
      </c>
      <c r="I43" s="108">
        <v>510.81</v>
      </c>
      <c r="J43" s="108">
        <v>199.02</v>
      </c>
      <c r="K43" s="104">
        <v>6093.808208257843</v>
      </c>
      <c r="L43" s="107"/>
    </row>
    <row r="44" spans="1:12" x14ac:dyDescent="0.2">
      <c r="A44" s="104" t="s">
        <v>83</v>
      </c>
      <c r="B44" s="108">
        <v>5470</v>
      </c>
      <c r="C44" s="108">
        <v>3346.44</v>
      </c>
      <c r="D44" s="108">
        <v>425.2</v>
      </c>
      <c r="E44" s="108">
        <v>408.54</v>
      </c>
      <c r="F44" s="108">
        <v>371.28</v>
      </c>
      <c r="G44" s="108">
        <v>804.21</v>
      </c>
      <c r="H44" s="108">
        <v>433.41</v>
      </c>
      <c r="I44" s="108">
        <v>675.55</v>
      </c>
      <c r="J44" s="108">
        <v>297.05</v>
      </c>
      <c r="K44" s="104">
        <v>6761.6617806215718</v>
      </c>
      <c r="L44" s="107"/>
    </row>
    <row r="45" spans="1:12" x14ac:dyDescent="0.2">
      <c r="A45" s="104" t="s">
        <v>84</v>
      </c>
      <c r="B45" s="108">
        <v>5258</v>
      </c>
      <c r="C45" s="108">
        <v>4193.5</v>
      </c>
      <c r="D45" s="108">
        <v>442.78</v>
      </c>
      <c r="E45" s="108">
        <v>711.91</v>
      </c>
      <c r="F45" s="108">
        <v>475.61</v>
      </c>
      <c r="G45" s="108">
        <v>920.4</v>
      </c>
      <c r="H45" s="108">
        <v>661.78</v>
      </c>
      <c r="I45" s="108">
        <v>797.1</v>
      </c>
      <c r="J45" s="108">
        <v>399.49</v>
      </c>
      <c r="K45" s="104">
        <v>8602.5791783948262</v>
      </c>
      <c r="L45" s="107"/>
    </row>
    <row r="46" spans="1:12" x14ac:dyDescent="0.2">
      <c r="A46" s="114" t="s">
        <v>85</v>
      </c>
      <c r="B46" s="109">
        <v>1479</v>
      </c>
      <c r="C46" s="109">
        <v>5730.07</v>
      </c>
      <c r="D46" s="109">
        <v>354.61</v>
      </c>
      <c r="E46" s="109">
        <v>1409.41</v>
      </c>
      <c r="F46" s="109">
        <v>256.3</v>
      </c>
      <c r="G46" s="109">
        <v>1606.37</v>
      </c>
      <c r="H46" s="109">
        <v>843.3</v>
      </c>
      <c r="I46" s="109">
        <v>1152.5</v>
      </c>
      <c r="J46" s="109">
        <v>453.32</v>
      </c>
      <c r="K46" s="114">
        <v>11805.884861392833</v>
      </c>
      <c r="L46" s="107"/>
    </row>
    <row r="47" spans="1:12" x14ac:dyDescent="0.2">
      <c r="A47" s="104" t="s">
        <v>135</v>
      </c>
      <c r="B47" s="104">
        <v>45332</v>
      </c>
      <c r="C47" s="104">
        <v>3527.3474684549547</v>
      </c>
      <c r="D47" s="104">
        <v>501.46672372716841</v>
      </c>
      <c r="E47" s="104">
        <v>351.8957151680932</v>
      </c>
      <c r="F47" s="104">
        <v>346.88252404482483</v>
      </c>
      <c r="G47" s="104">
        <v>723.27696792552729</v>
      </c>
      <c r="H47" s="104">
        <v>340.47162203300098</v>
      </c>
      <c r="I47" s="104">
        <v>563.82316531368576</v>
      </c>
      <c r="J47" s="104">
        <v>341.62423674225715</v>
      </c>
      <c r="K47" s="104">
        <v>6696.7884234095118</v>
      </c>
      <c r="L47" s="107"/>
    </row>
    <row r="48" spans="1:12" x14ac:dyDescent="0.2">
      <c r="A48" s="104"/>
      <c r="B48" s="104"/>
      <c r="C48" s="104"/>
      <c r="D48" s="104"/>
      <c r="E48" s="104"/>
      <c r="F48" s="104"/>
      <c r="G48" s="104"/>
      <c r="H48" s="104"/>
      <c r="I48" s="104"/>
      <c r="J48" s="104"/>
      <c r="K48" s="104"/>
      <c r="L48" s="107"/>
    </row>
    <row r="49" spans="1:12" x14ac:dyDescent="0.2">
      <c r="A49" s="104" t="s">
        <v>86</v>
      </c>
      <c r="B49" s="108">
        <v>12615</v>
      </c>
      <c r="C49" s="108">
        <v>3223.99</v>
      </c>
      <c r="D49" s="108">
        <v>329.12</v>
      </c>
      <c r="E49" s="108">
        <v>269.70999999999998</v>
      </c>
      <c r="F49" s="108">
        <v>327.25</v>
      </c>
      <c r="G49" s="108">
        <v>548.42999999999995</v>
      </c>
      <c r="H49" s="108">
        <v>304.49</v>
      </c>
      <c r="I49" s="108">
        <v>364.73</v>
      </c>
      <c r="J49" s="108">
        <v>325.93</v>
      </c>
      <c r="K49" s="104">
        <v>5693.6420142687266</v>
      </c>
      <c r="L49" s="107"/>
    </row>
    <row r="50" spans="1:12" x14ac:dyDescent="0.2">
      <c r="A50" s="114" t="s">
        <v>87</v>
      </c>
      <c r="B50" s="109">
        <v>6601</v>
      </c>
      <c r="C50" s="109">
        <v>4197.0200000000004</v>
      </c>
      <c r="D50" s="109">
        <v>286.10000000000002</v>
      </c>
      <c r="E50" s="109">
        <v>791.72</v>
      </c>
      <c r="F50" s="109">
        <v>253.56</v>
      </c>
      <c r="G50" s="109">
        <v>864.58</v>
      </c>
      <c r="H50" s="109">
        <v>540.48</v>
      </c>
      <c r="I50" s="109">
        <v>693.66</v>
      </c>
      <c r="J50" s="109">
        <v>376.42</v>
      </c>
      <c r="K50" s="114">
        <v>8003.5335691561886</v>
      </c>
      <c r="L50" s="107"/>
    </row>
    <row r="51" spans="1:12" x14ac:dyDescent="0.2">
      <c r="A51" s="104" t="s">
        <v>136</v>
      </c>
      <c r="B51" s="104">
        <v>19216</v>
      </c>
      <c r="C51" s="104">
        <v>3558.2429579517075</v>
      </c>
      <c r="D51" s="104">
        <v>314.33939997918401</v>
      </c>
      <c r="E51" s="104">
        <v>449.02980485012495</v>
      </c>
      <c r="F51" s="104">
        <v>301.93219088259787</v>
      </c>
      <c r="G51" s="104">
        <v>657.03108139050801</v>
      </c>
      <c r="H51" s="104">
        <v>385.55854600333055</v>
      </c>
      <c r="I51" s="104">
        <v>477.72021856786006</v>
      </c>
      <c r="J51" s="104">
        <v>343.27210657785179</v>
      </c>
      <c r="K51" s="104">
        <v>6487.1263062031649</v>
      </c>
      <c r="L51" s="107"/>
    </row>
    <row r="52" spans="1:12" ht="13.5" thickBot="1" x14ac:dyDescent="0.25">
      <c r="A52" s="115"/>
      <c r="B52" s="115"/>
      <c r="C52" s="115"/>
      <c r="D52" s="115"/>
      <c r="E52" s="115"/>
      <c r="F52" s="115"/>
      <c r="G52" s="115"/>
      <c r="H52" s="115"/>
      <c r="I52" s="115"/>
      <c r="J52" s="115"/>
      <c r="K52" s="115"/>
      <c r="L52" s="107"/>
    </row>
    <row r="53" spans="1:12" ht="13.5" thickBot="1" x14ac:dyDescent="0.25">
      <c r="A53" s="116" t="s">
        <v>137</v>
      </c>
      <c r="B53" s="116">
        <v>161753</v>
      </c>
      <c r="C53" s="116">
        <v>3395.8407225213759</v>
      </c>
      <c r="D53" s="116">
        <v>459.95579809957161</v>
      </c>
      <c r="E53" s="116">
        <v>314.00916372493862</v>
      </c>
      <c r="F53" s="116">
        <v>307.06597676704604</v>
      </c>
      <c r="G53" s="116">
        <v>592.99817616983921</v>
      </c>
      <c r="H53" s="116">
        <v>291.79034954529436</v>
      </c>
      <c r="I53" s="116">
        <v>380.70914134513743</v>
      </c>
      <c r="J53" s="116">
        <v>295.60616192589941</v>
      </c>
      <c r="K53" s="116">
        <v>6037.975490099102</v>
      </c>
      <c r="L53" s="107"/>
    </row>
    <row r="54" spans="1:12" ht="13.5" thickTop="1" x14ac:dyDescent="0.2">
      <c r="A54" s="104"/>
      <c r="B54" s="104"/>
      <c r="C54" s="104"/>
      <c r="D54" s="104"/>
      <c r="E54" s="104"/>
      <c r="F54" s="104"/>
      <c r="G54" s="104"/>
      <c r="H54" s="104"/>
      <c r="I54" s="104"/>
      <c r="J54" s="104"/>
      <c r="K54" s="104"/>
      <c r="L54" s="107"/>
    </row>
    <row r="55" spans="1:12" x14ac:dyDescent="0.2">
      <c r="A55" s="36" t="s">
        <v>247</v>
      </c>
      <c r="B55" s="104"/>
      <c r="C55" s="104"/>
      <c r="D55" s="104"/>
      <c r="E55" s="104"/>
      <c r="F55" s="104"/>
      <c r="G55" s="104"/>
      <c r="H55" s="104"/>
      <c r="I55" s="104"/>
      <c r="J55" s="104"/>
      <c r="K55" s="104"/>
      <c r="L55" s="107"/>
    </row>
    <row r="56" spans="1:12" x14ac:dyDescent="0.2">
      <c r="A56" s="22" t="s">
        <v>270</v>
      </c>
      <c r="B56" s="105"/>
      <c r="C56" s="106"/>
      <c r="D56" s="106" t="s">
        <v>161</v>
      </c>
      <c r="E56" s="106" t="s">
        <v>124</v>
      </c>
      <c r="F56" s="106" t="s">
        <v>125</v>
      </c>
      <c r="G56" s="106" t="s">
        <v>125</v>
      </c>
      <c r="H56" s="106" t="s">
        <v>162</v>
      </c>
      <c r="I56" s="106"/>
      <c r="J56" s="106" t="s">
        <v>163</v>
      </c>
      <c r="K56" s="106"/>
      <c r="L56" s="107"/>
    </row>
    <row r="57" spans="1:12" x14ac:dyDescent="0.2">
      <c r="A57" s="155" t="s">
        <v>245</v>
      </c>
      <c r="B57" s="159"/>
      <c r="C57" s="158" t="s">
        <v>94</v>
      </c>
      <c r="D57" s="158" t="s">
        <v>129</v>
      </c>
      <c r="E57" s="158" t="s">
        <v>164</v>
      </c>
      <c r="F57" s="158" t="s">
        <v>164</v>
      </c>
      <c r="G57" s="158" t="s">
        <v>165</v>
      </c>
      <c r="H57" s="158" t="s">
        <v>132</v>
      </c>
      <c r="I57" s="158" t="s">
        <v>93</v>
      </c>
      <c r="J57" s="158" t="s">
        <v>133</v>
      </c>
      <c r="K57" s="106"/>
      <c r="L57" s="107"/>
    </row>
    <row r="58" spans="1:12" x14ac:dyDescent="0.2">
      <c r="A58" s="104"/>
      <c r="B58" s="113"/>
      <c r="C58" s="106"/>
      <c r="D58" s="106"/>
      <c r="E58" s="106"/>
      <c r="F58" s="106"/>
      <c r="G58" s="106"/>
      <c r="H58" s="106"/>
      <c r="I58" s="106"/>
      <c r="J58" s="106"/>
      <c r="K58" s="106"/>
      <c r="L58" s="107"/>
    </row>
    <row r="59" spans="1:12" x14ac:dyDescent="0.2">
      <c r="A59" s="104" t="s">
        <v>102</v>
      </c>
      <c r="B59" s="104"/>
      <c r="C59" s="117">
        <v>0.60225691142624327</v>
      </c>
      <c r="D59" s="117">
        <v>0.10491308595205889</v>
      </c>
      <c r="E59" s="117">
        <v>2.9412864640952042E-2</v>
      </c>
      <c r="F59" s="117">
        <v>5.594823960222025E-2</v>
      </c>
      <c r="G59" s="117">
        <v>9.3640596587908298E-2</v>
      </c>
      <c r="H59" s="117">
        <v>3.6332074504841938E-2</v>
      </c>
      <c r="I59" s="117">
        <v>3.4122244540995647E-2</v>
      </c>
      <c r="J59" s="117">
        <v>4.3373982744779632E-2</v>
      </c>
      <c r="K59" s="104"/>
      <c r="L59" s="107"/>
    </row>
    <row r="60" spans="1:12" x14ac:dyDescent="0.2">
      <c r="A60" s="104" t="s">
        <v>76</v>
      </c>
      <c r="B60" s="104"/>
      <c r="C60" s="117">
        <v>0.57789374652234682</v>
      </c>
      <c r="D60" s="117">
        <v>9.4137266349369711E-2</v>
      </c>
      <c r="E60" s="117">
        <v>4.0134816702967119E-2</v>
      </c>
      <c r="F60" s="117">
        <v>5.7297972449773769E-2</v>
      </c>
      <c r="G60" s="117">
        <v>9.202779661763992E-2</v>
      </c>
      <c r="H60" s="117">
        <v>3.9899054871600302E-2</v>
      </c>
      <c r="I60" s="117">
        <v>4.9280813853791093E-2</v>
      </c>
      <c r="J60" s="117">
        <v>4.9328532632511315E-2</v>
      </c>
      <c r="K60" s="104"/>
      <c r="L60" s="107"/>
    </row>
    <row r="61" spans="1:12" x14ac:dyDescent="0.2">
      <c r="A61" s="104" t="s">
        <v>77</v>
      </c>
      <c r="B61" s="104"/>
      <c r="C61" s="117">
        <v>0.57675097707829204</v>
      </c>
      <c r="D61" s="117">
        <v>7.7774207096903414E-2</v>
      </c>
      <c r="E61" s="117">
        <v>4.9657623158639801E-2</v>
      </c>
      <c r="F61" s="117">
        <v>5.095261726771913E-2</v>
      </c>
      <c r="G61" s="117">
        <v>8.4771521153304469E-2</v>
      </c>
      <c r="H61" s="117">
        <v>5.026993903995574E-2</v>
      </c>
      <c r="I61" s="117">
        <v>5.579271965825916E-2</v>
      </c>
      <c r="J61" s="117">
        <v>5.4030395546926506E-2</v>
      </c>
      <c r="K61" s="104"/>
      <c r="L61" s="107"/>
    </row>
    <row r="62" spans="1:12" x14ac:dyDescent="0.2">
      <c r="A62" s="104" t="s">
        <v>78</v>
      </c>
      <c r="B62" s="104"/>
      <c r="C62" s="117">
        <v>0.57266581544923845</v>
      </c>
      <c r="D62" s="117">
        <v>4.9294968044504762E-2</v>
      </c>
      <c r="E62" s="117">
        <v>7.7353447342004791E-2</v>
      </c>
      <c r="F62" s="117">
        <v>4.4411931910003692E-2</v>
      </c>
      <c r="G62" s="117">
        <v>8.8888887401382788E-2</v>
      </c>
      <c r="H62" s="117">
        <v>4.8159935056199379E-2</v>
      </c>
      <c r="I62" s="117">
        <v>6.6562227135854496E-2</v>
      </c>
      <c r="J62" s="117">
        <v>5.2662787660811526E-2</v>
      </c>
      <c r="K62" s="104"/>
      <c r="L62" s="107"/>
    </row>
    <row r="63" spans="1:12" x14ac:dyDescent="0.2">
      <c r="A63" s="104" t="s">
        <v>79</v>
      </c>
      <c r="B63" s="104"/>
      <c r="C63" s="117">
        <v>0.55398747608743215</v>
      </c>
      <c r="D63" s="117">
        <v>3.2712776854569844E-2</v>
      </c>
      <c r="E63" s="117">
        <v>9.1617242148380143E-2</v>
      </c>
      <c r="F63" s="117">
        <v>3.2136533578914044E-2</v>
      </c>
      <c r="G63" s="117">
        <v>0.10006553423662648</v>
      </c>
      <c r="H63" s="117">
        <v>7.2392992735307318E-2</v>
      </c>
      <c r="I63" s="117">
        <v>8.0129293289046652E-2</v>
      </c>
      <c r="J63" s="117">
        <v>3.6958151069723541E-2</v>
      </c>
      <c r="K63" s="104"/>
      <c r="L63" s="107"/>
    </row>
    <row r="64" spans="1:12" x14ac:dyDescent="0.2">
      <c r="A64" s="114" t="s">
        <v>80</v>
      </c>
      <c r="B64" s="114"/>
      <c r="C64" s="118">
        <v>0.6340646891847499</v>
      </c>
      <c r="D64" s="118">
        <v>1.6799336991703485E-2</v>
      </c>
      <c r="E64" s="118">
        <v>8.976658233076526E-2</v>
      </c>
      <c r="F64" s="118">
        <v>1.0097212780809623E-2</v>
      </c>
      <c r="G64" s="118">
        <v>0.11537609366117334</v>
      </c>
      <c r="H64" s="118">
        <v>9.1109594825886778E-2</v>
      </c>
      <c r="I64" s="118">
        <v>2.1627474603707782E-2</v>
      </c>
      <c r="J64" s="118">
        <v>2.1159015621203824E-2</v>
      </c>
      <c r="K64" s="104"/>
      <c r="L64" s="107"/>
    </row>
    <row r="65" spans="1:12" x14ac:dyDescent="0.2">
      <c r="A65" s="104" t="s">
        <v>108</v>
      </c>
      <c r="B65" s="104"/>
      <c r="C65" s="117">
        <v>0.58533142168391772</v>
      </c>
      <c r="D65" s="117">
        <v>8.3195289568667924E-2</v>
      </c>
      <c r="E65" s="117">
        <v>4.7793628249941385E-2</v>
      </c>
      <c r="F65" s="117">
        <v>5.1314262145408053E-2</v>
      </c>
      <c r="G65" s="117">
        <v>9.2093017616054956E-2</v>
      </c>
      <c r="H65" s="117">
        <v>4.4408628635359292E-2</v>
      </c>
      <c r="I65" s="117">
        <v>4.8943304267445122E-2</v>
      </c>
      <c r="J65" s="117">
        <v>4.6920447833205585E-2</v>
      </c>
      <c r="K65" s="104"/>
      <c r="L65" s="107"/>
    </row>
    <row r="66" spans="1:12" x14ac:dyDescent="0.2">
      <c r="A66" s="104"/>
      <c r="B66" s="104"/>
      <c r="C66" s="117"/>
      <c r="D66" s="117"/>
      <c r="E66" s="117"/>
      <c r="F66" s="117"/>
      <c r="G66" s="117"/>
      <c r="H66" s="117"/>
      <c r="I66" s="117"/>
      <c r="J66" s="117"/>
      <c r="K66" s="104"/>
      <c r="L66" s="107"/>
    </row>
    <row r="67" spans="1:12" x14ac:dyDescent="0.2">
      <c r="A67" s="104" t="s">
        <v>81</v>
      </c>
      <c r="B67" s="104"/>
      <c r="C67" s="117">
        <v>0.56034242327984529</v>
      </c>
      <c r="D67" s="117">
        <v>8.6730210236154237E-2</v>
      </c>
      <c r="E67" s="117">
        <v>3.5046870389084737E-2</v>
      </c>
      <c r="F67" s="117">
        <v>4.7271958754400135E-2</v>
      </c>
      <c r="G67" s="117">
        <v>9.7726321464215712E-2</v>
      </c>
      <c r="H67" s="117">
        <v>3.2768411459623177E-2</v>
      </c>
      <c r="I67" s="117">
        <v>7.579878201531666E-2</v>
      </c>
      <c r="J67" s="117">
        <v>6.4314314082714819E-2</v>
      </c>
      <c r="K67" s="104"/>
      <c r="L67" s="107"/>
    </row>
    <row r="68" spans="1:12" x14ac:dyDescent="0.2">
      <c r="A68" s="104" t="s">
        <v>82</v>
      </c>
      <c r="B68" s="104"/>
      <c r="C68" s="117">
        <v>0.51056578967874766</v>
      </c>
      <c r="D68" s="117">
        <v>8.4694165349774031E-2</v>
      </c>
      <c r="E68" s="117">
        <v>4.6685092519728771E-2</v>
      </c>
      <c r="F68" s="117">
        <v>6.5665013785262988E-2</v>
      </c>
      <c r="G68" s="117">
        <v>0.11723703398342517</v>
      </c>
      <c r="H68" s="117">
        <v>5.8667747290689416E-2</v>
      </c>
      <c r="I68" s="117">
        <v>8.3824430067850023E-2</v>
      </c>
      <c r="J68" s="117">
        <v>3.2659380341229637E-2</v>
      </c>
      <c r="K68" s="104"/>
      <c r="L68" s="107"/>
    </row>
    <row r="69" spans="1:12" x14ac:dyDescent="0.2">
      <c r="A69" s="104" t="s">
        <v>83</v>
      </c>
      <c r="B69" s="104"/>
      <c r="C69" s="117">
        <v>0.49491384049859644</v>
      </c>
      <c r="D69" s="117">
        <v>6.2883949803374084E-2</v>
      </c>
      <c r="E69" s="117">
        <v>6.0420058449366071E-2</v>
      </c>
      <c r="F69" s="117">
        <v>5.4909578746464557E-2</v>
      </c>
      <c r="G69" s="117">
        <v>0.1189367386438652</v>
      </c>
      <c r="H69" s="117">
        <v>6.4098148363782609E-2</v>
      </c>
      <c r="I69" s="117">
        <v>9.9908871800727578E-2</v>
      </c>
      <c r="J69" s="117">
        <v>4.3931508205767342E-2</v>
      </c>
      <c r="K69" s="104"/>
      <c r="L69" s="107"/>
    </row>
    <row r="70" spans="1:12" x14ac:dyDescent="0.2">
      <c r="A70" s="104" t="s">
        <v>84</v>
      </c>
      <c r="B70" s="104"/>
      <c r="C70" s="117">
        <v>0.48747008461507402</v>
      </c>
      <c r="D70" s="117">
        <v>5.1470610245823889E-2</v>
      </c>
      <c r="E70" s="117">
        <v>8.2755413840066142E-2</v>
      </c>
      <c r="F70" s="117">
        <v>5.5286907581680068E-2</v>
      </c>
      <c r="G70" s="117">
        <v>0.10699116868480127</v>
      </c>
      <c r="H70" s="117">
        <v>7.6928091712546484E-2</v>
      </c>
      <c r="I70" s="117">
        <v>9.2658257886413617E-2</v>
      </c>
      <c r="J70" s="117">
        <v>4.6438398498360782E-2</v>
      </c>
      <c r="K70" s="104"/>
      <c r="L70" s="107"/>
    </row>
    <row r="71" spans="1:12" x14ac:dyDescent="0.2">
      <c r="A71" s="114" t="s">
        <v>85</v>
      </c>
      <c r="B71" s="114"/>
      <c r="C71" s="118">
        <v>0.48535709667457982</v>
      </c>
      <c r="D71" s="118">
        <v>3.0036715092795162E-2</v>
      </c>
      <c r="E71" s="118">
        <v>0.11938198758900322</v>
      </c>
      <c r="F71" s="118">
        <v>2.1709512078856772E-2</v>
      </c>
      <c r="G71" s="118">
        <v>0.13606519281355112</v>
      </c>
      <c r="H71" s="118">
        <v>7.1430478096371097E-2</v>
      </c>
      <c r="I71" s="118">
        <v>9.7620806363177631E-2</v>
      </c>
      <c r="J71" s="118">
        <v>3.8397799514581943E-2</v>
      </c>
      <c r="K71" s="104"/>
      <c r="L71" s="107"/>
    </row>
    <row r="72" spans="1:12" x14ac:dyDescent="0.2">
      <c r="A72" s="104" t="s">
        <v>109</v>
      </c>
      <c r="B72" s="104"/>
      <c r="C72" s="117">
        <v>0.526722250343858</v>
      </c>
      <c r="D72" s="117">
        <v>7.4881673426358375E-2</v>
      </c>
      <c r="E72" s="117">
        <v>5.2546936369976253E-2</v>
      </c>
      <c r="F72" s="117">
        <v>5.1798340056892191E-2</v>
      </c>
      <c r="G72" s="117">
        <v>0.10800355665966939</v>
      </c>
      <c r="H72" s="117">
        <v>5.0841030133614087E-2</v>
      </c>
      <c r="I72" s="117">
        <v>8.4193068328509105E-2</v>
      </c>
      <c r="J72" s="117">
        <v>5.1013144681122724E-2</v>
      </c>
      <c r="K72" s="104"/>
      <c r="L72" s="107"/>
    </row>
    <row r="73" spans="1:12" x14ac:dyDescent="0.2">
      <c r="A73" s="104"/>
      <c r="B73" s="104"/>
      <c r="C73" s="117"/>
      <c r="D73" s="117"/>
      <c r="E73" s="117"/>
      <c r="F73" s="117"/>
      <c r="G73" s="117"/>
      <c r="H73" s="117"/>
      <c r="I73" s="117"/>
      <c r="J73" s="117"/>
      <c r="K73" s="104"/>
      <c r="L73" s="107"/>
    </row>
    <row r="74" spans="1:12" x14ac:dyDescent="0.2">
      <c r="A74" s="104" t="s">
        <v>86</v>
      </c>
      <c r="B74" s="104"/>
      <c r="C74" s="117">
        <v>0.56624388957374217</v>
      </c>
      <c r="D74" s="117">
        <v>5.7804828469229137E-2</v>
      </c>
      <c r="E74" s="117">
        <v>4.7370382494031929E-2</v>
      </c>
      <c r="F74" s="117">
        <v>5.7476391943835789E-2</v>
      </c>
      <c r="G74" s="117">
        <v>9.6323231883140889E-2</v>
      </c>
      <c r="H74" s="117">
        <v>5.347895059733708E-2</v>
      </c>
      <c r="I74" s="117">
        <v>6.4059173212147366E-2</v>
      </c>
      <c r="J74" s="117">
        <v>5.7244554396499309E-2</v>
      </c>
      <c r="K74" s="104"/>
      <c r="L74" s="107"/>
    </row>
    <row r="75" spans="1:12" x14ac:dyDescent="0.2">
      <c r="A75" s="114" t="s">
        <v>87</v>
      </c>
      <c r="B75" s="114"/>
      <c r="C75" s="118">
        <v>0.52439587636320639</v>
      </c>
      <c r="D75" s="118">
        <v>3.5746710815653331E-2</v>
      </c>
      <c r="E75" s="118">
        <v>9.8921306840157472E-2</v>
      </c>
      <c r="F75" s="118">
        <v>3.1681006621520652E-2</v>
      </c>
      <c r="G75" s="118">
        <v>0.10802478586856887</v>
      </c>
      <c r="H75" s="118">
        <v>6.7530172183307619E-2</v>
      </c>
      <c r="I75" s="118">
        <v>8.6669218540321863E-2</v>
      </c>
      <c r="J75" s="118">
        <v>4.7031726267837207E-2</v>
      </c>
      <c r="K75" s="104"/>
      <c r="L75" s="107"/>
    </row>
    <row r="76" spans="1:12" x14ac:dyDescent="0.2">
      <c r="A76" s="104" t="s">
        <v>110</v>
      </c>
      <c r="B76" s="104"/>
      <c r="C76" s="117">
        <v>0.54850835177191171</v>
      </c>
      <c r="D76" s="117">
        <v>4.8455877863608762E-2</v>
      </c>
      <c r="E76" s="117">
        <v>6.9218600602974314E-2</v>
      </c>
      <c r="F76" s="117">
        <v>4.6543288450215957E-2</v>
      </c>
      <c r="G76" s="117">
        <v>0.10128230134231196</v>
      </c>
      <c r="H76" s="117">
        <v>5.9434413298635649E-2</v>
      </c>
      <c r="I76" s="117">
        <v>7.3641269804019555E-2</v>
      </c>
      <c r="J76" s="117">
        <v>5.2915896866322108E-2</v>
      </c>
      <c r="K76" s="104"/>
      <c r="L76" s="107"/>
    </row>
    <row r="77" spans="1:12" ht="13.5" thickBot="1" x14ac:dyDescent="0.25">
      <c r="A77" s="115"/>
      <c r="B77" s="115"/>
      <c r="C77" s="119"/>
      <c r="D77" s="119"/>
      <c r="E77" s="119"/>
      <c r="F77" s="119"/>
      <c r="G77" s="119"/>
      <c r="H77" s="119"/>
      <c r="I77" s="119"/>
      <c r="J77" s="119"/>
      <c r="K77" s="104"/>
      <c r="L77" s="107"/>
    </row>
    <row r="78" spans="1:12" ht="13.5" thickBot="1" x14ac:dyDescent="0.25">
      <c r="A78" s="116" t="s">
        <v>111</v>
      </c>
      <c r="B78" s="116"/>
      <c r="C78" s="120">
        <v>0.56241379715598006</v>
      </c>
      <c r="D78" s="120">
        <v>7.6177155547218406E-2</v>
      </c>
      <c r="E78" s="120">
        <v>5.2005703607085153E-2</v>
      </c>
      <c r="F78" s="120">
        <v>5.0855783908126818E-2</v>
      </c>
      <c r="G78" s="120">
        <v>9.8211424862889973E-2</v>
      </c>
      <c r="H78" s="120">
        <v>4.8325858563646663E-2</v>
      </c>
      <c r="I78" s="120">
        <v>6.3052448949058051E-2</v>
      </c>
      <c r="J78" s="120">
        <v>4.8957827405994921E-2</v>
      </c>
      <c r="K78" s="104"/>
      <c r="L78" s="107"/>
    </row>
    <row r="79" spans="1:12" ht="13.5" thickTop="1" x14ac:dyDescent="0.2">
      <c r="A79" s="108"/>
      <c r="B79" s="108"/>
      <c r="C79" s="108"/>
      <c r="D79" s="108"/>
      <c r="E79" s="108"/>
      <c r="F79" s="108"/>
      <c r="G79" s="108"/>
      <c r="H79" s="108"/>
      <c r="I79" s="108"/>
      <c r="J79" s="108"/>
      <c r="K79" s="108"/>
      <c r="L79" s="107"/>
    </row>
  </sheetData>
  <phoneticPr fontId="7" type="noConversion"/>
  <pageMargins left="0.25" right="0.25" top="1" bottom="1" header="0.5" footer="0.5"/>
  <pageSetup orientation="landscape" r:id="rId1"/>
  <headerFooter alignWithMargins="0">
    <oddFooter>&amp;L&amp;Z&amp;F</oddFooter>
  </headerFooter>
  <rowBreaks count="2" manualBreakCount="2">
    <brk id="28" max="11" man="1"/>
    <brk id="53" max="11"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52"/>
  <dimension ref="A1:L88"/>
  <sheetViews>
    <sheetView workbookViewId="0">
      <selection activeCell="C32" sqref="C32"/>
    </sheetView>
  </sheetViews>
  <sheetFormatPr defaultRowHeight="12.75" x14ac:dyDescent="0.2"/>
  <cols>
    <col min="1" max="1" width="22.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6" t="s">
        <v>247</v>
      </c>
    </row>
    <row r="2" spans="1:12" x14ac:dyDescent="0.2">
      <c r="A2" s="22" t="s">
        <v>257</v>
      </c>
    </row>
    <row r="3" spans="1:12" x14ac:dyDescent="0.2">
      <c r="B3" s="23"/>
      <c r="C3" s="38"/>
      <c r="D3" s="38" t="s">
        <v>161</v>
      </c>
      <c r="E3" s="38" t="s">
        <v>124</v>
      </c>
      <c r="F3" s="38" t="s">
        <v>125</v>
      </c>
      <c r="G3" s="38" t="s">
        <v>125</v>
      </c>
      <c r="H3" s="38" t="s">
        <v>162</v>
      </c>
      <c r="I3" s="38"/>
      <c r="J3" s="38" t="s">
        <v>163</v>
      </c>
      <c r="K3" s="6"/>
    </row>
    <row r="4" spans="1:12" ht="22.5" x14ac:dyDescent="0.2">
      <c r="A4" s="155" t="s">
        <v>245</v>
      </c>
      <c r="B4" s="144" t="s">
        <v>160</v>
      </c>
      <c r="C4" s="175" t="s">
        <v>94</v>
      </c>
      <c r="D4" s="175" t="s">
        <v>129</v>
      </c>
      <c r="E4" s="175" t="s">
        <v>164</v>
      </c>
      <c r="F4" s="175" t="s">
        <v>164</v>
      </c>
      <c r="G4" s="175" t="s">
        <v>165</v>
      </c>
      <c r="H4" s="175" t="s">
        <v>132</v>
      </c>
      <c r="I4" s="175" t="s">
        <v>93</v>
      </c>
      <c r="J4" s="175" t="s">
        <v>133</v>
      </c>
      <c r="K4" s="175" t="s">
        <v>113</v>
      </c>
      <c r="L4" s="141" t="s">
        <v>451</v>
      </c>
    </row>
    <row r="5" spans="1:12" x14ac:dyDescent="0.2">
      <c r="A5" s="1" t="s">
        <v>102</v>
      </c>
      <c r="B5" s="6">
        <v>39846</v>
      </c>
      <c r="C5" s="6">
        <v>122879819.90000001</v>
      </c>
      <c r="D5" s="6">
        <v>21243798.690000001</v>
      </c>
      <c r="E5" s="6">
        <v>5540270.2699999996</v>
      </c>
      <c r="F5" s="6">
        <v>11374664.26</v>
      </c>
      <c r="G5" s="6">
        <v>18600117.350000001</v>
      </c>
      <c r="H5" s="6">
        <v>7159794.7199999997</v>
      </c>
      <c r="I5" s="6">
        <v>6768928.9100000001</v>
      </c>
      <c r="J5" s="6">
        <v>9009010.0600000005</v>
      </c>
      <c r="K5" s="6">
        <v>202576404.16</v>
      </c>
      <c r="L5" s="6">
        <f>K5/B5</f>
        <v>5083.9834402449433</v>
      </c>
    </row>
    <row r="6" spans="1:12" x14ac:dyDescent="0.2">
      <c r="A6" s="1" t="s">
        <v>76</v>
      </c>
      <c r="B6" s="6">
        <v>23909</v>
      </c>
      <c r="C6" s="6">
        <v>73800698.319999993</v>
      </c>
      <c r="D6" s="6">
        <v>11142832.35</v>
      </c>
      <c r="E6" s="6">
        <v>5219526.09</v>
      </c>
      <c r="F6" s="6">
        <v>7473162.9400000004</v>
      </c>
      <c r="G6" s="6">
        <v>11883936.77</v>
      </c>
      <c r="H6" s="6">
        <v>5366461.29</v>
      </c>
      <c r="I6" s="6">
        <v>5891944.9299999997</v>
      </c>
      <c r="J6" s="6">
        <v>6762310.5599999996</v>
      </c>
      <c r="K6" s="6">
        <v>127540873.25</v>
      </c>
      <c r="L6" s="6">
        <f t="shared" ref="L6:L24" si="0">K6/B6</f>
        <v>5334.4294303400393</v>
      </c>
    </row>
    <row r="7" spans="1:12" x14ac:dyDescent="0.2">
      <c r="A7" s="1" t="s">
        <v>77</v>
      </c>
      <c r="B7" s="6">
        <v>12684</v>
      </c>
      <c r="C7" s="6">
        <v>42324537.600000001</v>
      </c>
      <c r="D7" s="6">
        <v>5624463.7199999997</v>
      </c>
      <c r="E7" s="6">
        <v>3688127.24</v>
      </c>
      <c r="F7" s="6">
        <v>3740033.67</v>
      </c>
      <c r="G7" s="6">
        <v>6239800.7599999998</v>
      </c>
      <c r="H7" s="6">
        <v>3308139.68</v>
      </c>
      <c r="I7" s="6">
        <v>4220075.8899999997</v>
      </c>
      <c r="J7" s="6">
        <v>3003947.93</v>
      </c>
      <c r="K7" s="6">
        <v>72149126.49000001</v>
      </c>
      <c r="L7" s="6">
        <f t="shared" si="0"/>
        <v>5688.1998178807953</v>
      </c>
    </row>
    <row r="8" spans="1:12" x14ac:dyDescent="0.2">
      <c r="A8" s="1" t="s">
        <v>78</v>
      </c>
      <c r="B8" s="6">
        <v>14732</v>
      </c>
      <c r="C8" s="6">
        <v>47556464.07</v>
      </c>
      <c r="D8" s="6">
        <v>4616067.4000000004</v>
      </c>
      <c r="E8" s="6">
        <v>6167910.96</v>
      </c>
      <c r="F8" s="6">
        <v>3814103.71</v>
      </c>
      <c r="G8" s="6">
        <v>7032840.5800000001</v>
      </c>
      <c r="H8" s="6">
        <v>4281535.18</v>
      </c>
      <c r="I8" s="6">
        <v>5668442.7800000003</v>
      </c>
      <c r="J8" s="6">
        <v>3936986.84</v>
      </c>
      <c r="K8" s="6">
        <v>83074351.520000011</v>
      </c>
      <c r="L8" s="6">
        <f t="shared" si="0"/>
        <v>5639.0409666033129</v>
      </c>
    </row>
    <row r="9" spans="1:12" x14ac:dyDescent="0.2">
      <c r="A9" s="1" t="s">
        <v>79</v>
      </c>
      <c r="B9" s="6">
        <v>6597</v>
      </c>
      <c r="C9" s="6">
        <v>23062699.68</v>
      </c>
      <c r="D9" s="6">
        <v>1390588</v>
      </c>
      <c r="E9" s="6">
        <v>3861684.9</v>
      </c>
      <c r="F9" s="6">
        <v>1430979.69</v>
      </c>
      <c r="G9" s="6">
        <v>3765688.11</v>
      </c>
      <c r="H9" s="6">
        <v>2853465.56</v>
      </c>
      <c r="I9" s="6">
        <v>3226321.13</v>
      </c>
      <c r="J9" s="6">
        <v>1837292.03</v>
      </c>
      <c r="K9" s="6">
        <v>41428719.100000001</v>
      </c>
      <c r="L9" s="6">
        <f t="shared" si="0"/>
        <v>6279.9331665908749</v>
      </c>
    </row>
    <row r="10" spans="1:12" x14ac:dyDescent="0.2">
      <c r="A10" s="14" t="s">
        <v>80</v>
      </c>
      <c r="B10" s="7">
        <v>1590</v>
      </c>
      <c r="C10" s="7">
        <v>5429587.29</v>
      </c>
      <c r="D10" s="7">
        <v>197131.61</v>
      </c>
      <c r="E10" s="7">
        <v>792707.15</v>
      </c>
      <c r="F10" s="7">
        <v>80017.899999999994</v>
      </c>
      <c r="G10" s="7">
        <v>1058933.75</v>
      </c>
      <c r="H10" s="7">
        <v>764474.52</v>
      </c>
      <c r="I10" s="7">
        <v>178034.54</v>
      </c>
      <c r="J10" s="7">
        <v>234892.06</v>
      </c>
      <c r="K10" s="7">
        <v>8735778.8200000003</v>
      </c>
      <c r="L10" s="6">
        <f t="shared" si="0"/>
        <v>5494.2005157232707</v>
      </c>
    </row>
    <row r="11" spans="1:12" ht="13.5" thickBot="1" x14ac:dyDescent="0.25">
      <c r="A11" s="1" t="s">
        <v>108</v>
      </c>
      <c r="B11" s="8">
        <v>99358</v>
      </c>
      <c r="C11" s="8">
        <v>315053806.86000001</v>
      </c>
      <c r="D11" s="8">
        <v>44214881.769999996</v>
      </c>
      <c r="E11" s="8">
        <v>25270226.609999996</v>
      </c>
      <c r="F11" s="8">
        <v>27912962.169999998</v>
      </c>
      <c r="G11" s="8">
        <v>48581317.32</v>
      </c>
      <c r="H11" s="8">
        <v>23733870.949999996</v>
      </c>
      <c r="I11" s="8">
        <v>25953748.18</v>
      </c>
      <c r="J11" s="8">
        <v>24784439.48</v>
      </c>
      <c r="K11" s="8">
        <v>535505253.34000003</v>
      </c>
      <c r="L11" s="8">
        <f t="shared" si="0"/>
        <v>5389.6541128042036</v>
      </c>
    </row>
    <row r="12" spans="1:12" ht="13.5" thickTop="1" x14ac:dyDescent="0.2">
      <c r="L12" s="6"/>
    </row>
    <row r="13" spans="1:12" x14ac:dyDescent="0.2">
      <c r="A13" s="1" t="s">
        <v>81</v>
      </c>
      <c r="B13" s="6">
        <v>22340</v>
      </c>
      <c r="C13" s="6">
        <v>76759142.019999996</v>
      </c>
      <c r="D13" s="6">
        <v>11464010.49</v>
      </c>
      <c r="E13" s="6">
        <v>5452901.4299999997</v>
      </c>
      <c r="F13" s="6">
        <v>6231563.6900000004</v>
      </c>
      <c r="G13" s="6">
        <v>12971808.85</v>
      </c>
      <c r="H13" s="6">
        <v>4211036.91</v>
      </c>
      <c r="I13" s="6">
        <v>9966201.9800000004</v>
      </c>
      <c r="J13" s="6">
        <v>8542191.6099999994</v>
      </c>
      <c r="K13" s="6">
        <v>135598856.97999999</v>
      </c>
      <c r="L13" s="6">
        <f t="shared" si="0"/>
        <v>6069.7787367949859</v>
      </c>
    </row>
    <row r="14" spans="1:12" x14ac:dyDescent="0.2">
      <c r="A14" s="1" t="s">
        <v>82</v>
      </c>
      <c r="B14" s="6">
        <v>10792</v>
      </c>
      <c r="C14" s="6">
        <v>33009568.629999999</v>
      </c>
      <c r="D14" s="6">
        <v>5008552.5</v>
      </c>
      <c r="E14" s="6">
        <v>2854678.09</v>
      </c>
      <c r="F14" s="6">
        <v>4276852.5599999996</v>
      </c>
      <c r="G14" s="6">
        <v>7156156.2000000002</v>
      </c>
      <c r="H14" s="6">
        <v>3970102.82</v>
      </c>
      <c r="I14" s="6">
        <v>5679104.54</v>
      </c>
      <c r="J14" s="6">
        <v>2628509.2999999998</v>
      </c>
      <c r="K14" s="6">
        <v>64583524.640000001</v>
      </c>
      <c r="L14" s="6">
        <f t="shared" si="0"/>
        <v>5984.3888658265387</v>
      </c>
    </row>
    <row r="15" spans="1:12" x14ac:dyDescent="0.2">
      <c r="A15" s="1" t="s">
        <v>83</v>
      </c>
      <c r="B15" s="6">
        <v>5193</v>
      </c>
      <c r="C15" s="6">
        <v>17782263.809999999</v>
      </c>
      <c r="D15" s="6">
        <v>2263932.5299999998</v>
      </c>
      <c r="E15" s="6">
        <v>2322837.7799999998</v>
      </c>
      <c r="F15" s="6">
        <v>1999665.22</v>
      </c>
      <c r="G15" s="6">
        <v>4272842.38</v>
      </c>
      <c r="H15" s="6">
        <v>2157532.91</v>
      </c>
      <c r="I15" s="6">
        <v>3661605.16</v>
      </c>
      <c r="J15" s="6">
        <v>1980175.28</v>
      </c>
      <c r="K15" s="6">
        <v>36440855.07</v>
      </c>
      <c r="L15" s="6">
        <f t="shared" si="0"/>
        <v>7017.3031138070482</v>
      </c>
    </row>
    <row r="16" spans="1:12" x14ac:dyDescent="0.2">
      <c r="A16" s="1" t="s">
        <v>84</v>
      </c>
      <c r="B16" s="6">
        <v>4967</v>
      </c>
      <c r="C16" s="6">
        <v>19759081.969999999</v>
      </c>
      <c r="D16" s="6">
        <v>2049730.57</v>
      </c>
      <c r="E16" s="6">
        <v>3811324.47</v>
      </c>
      <c r="F16" s="6">
        <v>2279695.16</v>
      </c>
      <c r="G16" s="6">
        <v>4391208.45</v>
      </c>
      <c r="H16" s="6">
        <v>3735537.47</v>
      </c>
      <c r="I16" s="6">
        <v>3829427.52</v>
      </c>
      <c r="J16" s="6">
        <v>1521064.09</v>
      </c>
      <c r="K16" s="6">
        <v>41377069.700000003</v>
      </c>
      <c r="L16" s="6">
        <f t="shared" si="0"/>
        <v>8330.3945439903364</v>
      </c>
    </row>
    <row r="17" spans="1:12" x14ac:dyDescent="0.2">
      <c r="A17" s="14" t="s">
        <v>85</v>
      </c>
      <c r="B17" s="7">
        <v>1524</v>
      </c>
      <c r="C17" s="7">
        <v>8355804.3499999996</v>
      </c>
      <c r="D17" s="7">
        <v>548388.87</v>
      </c>
      <c r="E17" s="7">
        <v>2179402.4300000002</v>
      </c>
      <c r="F17" s="7">
        <v>415910.48</v>
      </c>
      <c r="G17" s="7">
        <v>2121698.23</v>
      </c>
      <c r="H17" s="7">
        <v>1302237.75</v>
      </c>
      <c r="I17" s="7">
        <v>1721518.02</v>
      </c>
      <c r="J17" s="7">
        <v>469215.54</v>
      </c>
      <c r="K17" s="7">
        <v>17114175.669999998</v>
      </c>
      <c r="L17" s="6">
        <f t="shared" si="0"/>
        <v>11229.774061679789</v>
      </c>
    </row>
    <row r="18" spans="1:12" ht="13.5" thickBot="1" x14ac:dyDescent="0.25">
      <c r="A18" s="1" t="s">
        <v>109</v>
      </c>
      <c r="B18" s="8">
        <v>44816</v>
      </c>
      <c r="C18" s="8">
        <v>155665860.78</v>
      </c>
      <c r="D18" s="8">
        <v>21334614.960000001</v>
      </c>
      <c r="E18" s="8">
        <v>16621144.199999999</v>
      </c>
      <c r="F18" s="8">
        <v>15203687.110000001</v>
      </c>
      <c r="G18" s="8">
        <v>30913714.109999999</v>
      </c>
      <c r="H18" s="8">
        <v>15376447.860000001</v>
      </c>
      <c r="I18" s="8">
        <v>24857857.219999999</v>
      </c>
      <c r="J18" s="8">
        <v>15141155.819999998</v>
      </c>
      <c r="K18" s="8">
        <v>295114482.06</v>
      </c>
      <c r="L18" s="8">
        <f t="shared" si="0"/>
        <v>6585.0250370403428</v>
      </c>
    </row>
    <row r="19" spans="1:12" ht="13.5" thickTop="1" x14ac:dyDescent="0.2">
      <c r="L19" s="6"/>
    </row>
    <row r="20" spans="1:12" x14ac:dyDescent="0.2">
      <c r="A20" s="1" t="s">
        <v>86</v>
      </c>
      <c r="B20" s="6">
        <v>12916</v>
      </c>
      <c r="C20" s="6">
        <v>39551678.159999996</v>
      </c>
      <c r="D20" s="6">
        <v>3860032.11</v>
      </c>
      <c r="E20" s="6">
        <v>3422421.71</v>
      </c>
      <c r="F20" s="6">
        <v>4015990.8</v>
      </c>
      <c r="G20" s="6">
        <v>6953210.7400000002</v>
      </c>
      <c r="H20" s="6">
        <v>3896678.19</v>
      </c>
      <c r="I20" s="6">
        <v>4626643.5599999996</v>
      </c>
      <c r="J20" s="6">
        <v>3476886.79</v>
      </c>
      <c r="K20" s="6">
        <v>69803542.060000002</v>
      </c>
      <c r="L20" s="6">
        <f t="shared" si="0"/>
        <v>5404.4241297615363</v>
      </c>
    </row>
    <row r="21" spans="1:12" x14ac:dyDescent="0.2">
      <c r="A21" s="14" t="s">
        <v>87</v>
      </c>
      <c r="B21" s="7">
        <v>6812</v>
      </c>
      <c r="C21" s="7">
        <v>27502383.800000001</v>
      </c>
      <c r="D21" s="7">
        <v>1878073.11</v>
      </c>
      <c r="E21" s="7">
        <v>5264867.47</v>
      </c>
      <c r="F21" s="7">
        <v>1629984.6</v>
      </c>
      <c r="G21" s="7">
        <v>5692654.8899999997</v>
      </c>
      <c r="H21" s="7">
        <v>3604112.66</v>
      </c>
      <c r="I21" s="7">
        <v>4565285.75</v>
      </c>
      <c r="J21" s="7">
        <v>1912088.19</v>
      </c>
      <c r="K21" s="7">
        <v>52049450.469999999</v>
      </c>
      <c r="L21" s="6">
        <f t="shared" si="0"/>
        <v>7640.8471036406336</v>
      </c>
    </row>
    <row r="22" spans="1:12" ht="13.5" thickBot="1" x14ac:dyDescent="0.25">
      <c r="A22" s="1" t="s">
        <v>110</v>
      </c>
      <c r="B22" s="8">
        <v>19728</v>
      </c>
      <c r="C22" s="8">
        <v>67054061.959999993</v>
      </c>
      <c r="D22" s="8">
        <v>5738105.2199999997</v>
      </c>
      <c r="E22" s="8">
        <v>8687289.1799999997</v>
      </c>
      <c r="F22" s="8">
        <v>5645975.4000000004</v>
      </c>
      <c r="G22" s="8">
        <v>12645865.629999999</v>
      </c>
      <c r="H22" s="8">
        <v>7500790.8499999996</v>
      </c>
      <c r="I22" s="8">
        <v>9191929.3099999987</v>
      </c>
      <c r="J22" s="8">
        <v>5388974.9800000004</v>
      </c>
      <c r="K22" s="8">
        <v>121852992.52999999</v>
      </c>
      <c r="L22" s="8">
        <f t="shared" si="0"/>
        <v>6176.6520949918886</v>
      </c>
    </row>
    <row r="23" spans="1:12" ht="13.5" thickTop="1" x14ac:dyDescent="0.2">
      <c r="L23" s="6"/>
    </row>
    <row r="24" spans="1:12" ht="13.5" thickBot="1" x14ac:dyDescent="0.25">
      <c r="A24" s="15" t="s">
        <v>112</v>
      </c>
      <c r="B24" s="8">
        <v>163902</v>
      </c>
      <c r="C24" s="8">
        <v>537773729.60000002</v>
      </c>
      <c r="D24" s="8">
        <v>71287601.949999988</v>
      </c>
      <c r="E24" s="8">
        <v>50578659.989999995</v>
      </c>
      <c r="F24" s="8">
        <v>48762624.68</v>
      </c>
      <c r="G24" s="8">
        <v>92140897.060000002</v>
      </c>
      <c r="H24" s="8">
        <v>46611109.659999996</v>
      </c>
      <c r="I24" s="8">
        <v>60003534.710000001</v>
      </c>
      <c r="J24" s="8">
        <v>45314570.280000001</v>
      </c>
      <c r="K24" s="8">
        <v>952472727.92999995</v>
      </c>
      <c r="L24" s="126">
        <f t="shared" si="0"/>
        <v>5811.2331022806311</v>
      </c>
    </row>
    <row r="25" spans="1:12" ht="13.5" thickTop="1" x14ac:dyDescent="0.2">
      <c r="A25" s="1"/>
      <c r="B25" s="6"/>
      <c r="C25" s="6"/>
      <c r="D25" s="6"/>
      <c r="E25" s="6"/>
      <c r="F25" s="6"/>
      <c r="G25" s="6"/>
      <c r="H25" s="6"/>
      <c r="I25" s="6"/>
      <c r="J25" s="6"/>
      <c r="K25" s="6"/>
    </row>
    <row r="26" spans="1:12" x14ac:dyDescent="0.2">
      <c r="A26" s="36" t="s">
        <v>247</v>
      </c>
      <c r="B26" s="6"/>
      <c r="C26" s="6"/>
      <c r="D26" s="6"/>
      <c r="E26" s="6"/>
      <c r="F26" s="6"/>
      <c r="G26" s="6"/>
      <c r="H26" s="6"/>
      <c r="I26" s="6"/>
      <c r="J26" s="6"/>
      <c r="K26" s="6"/>
    </row>
    <row r="27" spans="1:12" x14ac:dyDescent="0.2">
      <c r="A27" s="36" t="s">
        <v>262</v>
      </c>
      <c r="B27" s="23"/>
      <c r="C27" s="38"/>
      <c r="D27" s="38" t="s">
        <v>161</v>
      </c>
      <c r="E27" s="38" t="s">
        <v>124</v>
      </c>
      <c r="F27" s="38" t="s">
        <v>125</v>
      </c>
      <c r="G27" s="38" t="s">
        <v>125</v>
      </c>
      <c r="H27" s="38" t="s">
        <v>162</v>
      </c>
      <c r="I27" s="38"/>
      <c r="J27" s="38" t="s">
        <v>163</v>
      </c>
      <c r="K27" s="6"/>
    </row>
    <row r="28" spans="1:12" x14ac:dyDescent="0.2">
      <c r="A28" s="155" t="s">
        <v>245</v>
      </c>
      <c r="B28" s="165" t="s">
        <v>160</v>
      </c>
      <c r="C28" s="175" t="s">
        <v>94</v>
      </c>
      <c r="D28" s="175" t="s">
        <v>129</v>
      </c>
      <c r="E28" s="175" t="s">
        <v>164</v>
      </c>
      <c r="F28" s="175" t="s">
        <v>164</v>
      </c>
      <c r="G28" s="175" t="s">
        <v>165</v>
      </c>
      <c r="H28" s="175" t="s">
        <v>132</v>
      </c>
      <c r="I28" s="175" t="s">
        <v>93</v>
      </c>
      <c r="J28" s="175" t="s">
        <v>133</v>
      </c>
      <c r="K28" s="175" t="s">
        <v>113</v>
      </c>
    </row>
    <row r="29" spans="1:12" x14ac:dyDescent="0.2">
      <c r="A29" s="1"/>
      <c r="B29" s="60"/>
      <c r="C29" s="38"/>
      <c r="D29" s="38"/>
      <c r="E29" s="38"/>
      <c r="F29" s="38"/>
      <c r="G29" s="38"/>
      <c r="H29" s="38"/>
      <c r="I29" s="38"/>
      <c r="J29" s="38"/>
      <c r="K29" s="38"/>
    </row>
    <row r="30" spans="1:12" x14ac:dyDescent="0.2">
      <c r="A30" s="1" t="s">
        <v>102</v>
      </c>
      <c r="B30" s="6">
        <v>39846</v>
      </c>
      <c r="C30" s="6">
        <v>3083.87</v>
      </c>
      <c r="D30" s="6">
        <v>533.15</v>
      </c>
      <c r="E30" s="6">
        <v>139.04</v>
      </c>
      <c r="F30" s="6">
        <v>285.47000000000003</v>
      </c>
      <c r="G30" s="6">
        <v>466.8</v>
      </c>
      <c r="H30" s="6">
        <v>179.69</v>
      </c>
      <c r="I30" s="6">
        <v>169.88</v>
      </c>
      <c r="J30" s="6">
        <v>226.1</v>
      </c>
      <c r="K30" s="6">
        <v>5083.9834402449433</v>
      </c>
    </row>
    <row r="31" spans="1:12" x14ac:dyDescent="0.2">
      <c r="A31" s="1" t="s">
        <v>76</v>
      </c>
      <c r="B31" s="6">
        <v>23909</v>
      </c>
      <c r="C31" s="6">
        <v>3086.73</v>
      </c>
      <c r="D31" s="6">
        <v>466.05</v>
      </c>
      <c r="E31" s="6">
        <v>218.31</v>
      </c>
      <c r="F31" s="6">
        <v>312.57</v>
      </c>
      <c r="G31" s="6">
        <v>497.05</v>
      </c>
      <c r="H31" s="6">
        <v>224.45</v>
      </c>
      <c r="I31" s="6">
        <v>246.43</v>
      </c>
      <c r="J31" s="6">
        <v>282.83999999999997</v>
      </c>
      <c r="K31" s="6">
        <v>5334.4294303400393</v>
      </c>
    </row>
    <row r="32" spans="1:12" x14ac:dyDescent="0.2">
      <c r="A32" s="1" t="s">
        <v>77</v>
      </c>
      <c r="B32" s="6">
        <v>12684</v>
      </c>
      <c r="C32" s="6">
        <v>3336.84</v>
      </c>
      <c r="D32" s="6">
        <v>443.43</v>
      </c>
      <c r="E32" s="6">
        <v>290.77</v>
      </c>
      <c r="F32" s="6">
        <v>294.86</v>
      </c>
      <c r="G32" s="6">
        <v>491.94</v>
      </c>
      <c r="H32" s="6">
        <v>260.81</v>
      </c>
      <c r="I32" s="6">
        <v>332.71</v>
      </c>
      <c r="J32" s="6">
        <v>236.83</v>
      </c>
      <c r="K32" s="6">
        <v>5688.1998178807953</v>
      </c>
    </row>
    <row r="33" spans="1:11" x14ac:dyDescent="0.2">
      <c r="A33" s="1" t="s">
        <v>78</v>
      </c>
      <c r="B33" s="6">
        <v>14732</v>
      </c>
      <c r="C33" s="6">
        <v>3228.11</v>
      </c>
      <c r="D33" s="6">
        <v>313.33999999999997</v>
      </c>
      <c r="E33" s="6">
        <v>418.67</v>
      </c>
      <c r="F33" s="6">
        <v>258.89999999999998</v>
      </c>
      <c r="G33" s="6">
        <v>477.39</v>
      </c>
      <c r="H33" s="6">
        <v>290.63</v>
      </c>
      <c r="I33" s="6">
        <v>384.77</v>
      </c>
      <c r="J33" s="6">
        <v>267.24</v>
      </c>
      <c r="K33" s="6">
        <v>5639.0409666033129</v>
      </c>
    </row>
    <row r="34" spans="1:11" x14ac:dyDescent="0.2">
      <c r="A34" s="1" t="s">
        <v>79</v>
      </c>
      <c r="B34" s="6">
        <v>6597</v>
      </c>
      <c r="C34" s="6">
        <v>3495.94</v>
      </c>
      <c r="D34" s="6">
        <v>210.79</v>
      </c>
      <c r="E34" s="6">
        <v>585.37</v>
      </c>
      <c r="F34" s="6">
        <v>216.91</v>
      </c>
      <c r="G34" s="6">
        <v>570.82000000000005</v>
      </c>
      <c r="H34" s="6">
        <v>432.54</v>
      </c>
      <c r="I34" s="6">
        <v>489.06</v>
      </c>
      <c r="J34" s="6">
        <v>278.5</v>
      </c>
      <c r="K34" s="6">
        <v>6279.9331665908749</v>
      </c>
    </row>
    <row r="35" spans="1:11" x14ac:dyDescent="0.2">
      <c r="A35" s="14" t="s">
        <v>80</v>
      </c>
      <c r="B35" s="7">
        <v>1590</v>
      </c>
      <c r="C35" s="7">
        <v>3414.83</v>
      </c>
      <c r="D35" s="7">
        <v>123.98</v>
      </c>
      <c r="E35" s="7">
        <v>498.56</v>
      </c>
      <c r="F35" s="7">
        <v>50.33</v>
      </c>
      <c r="G35" s="7">
        <v>666</v>
      </c>
      <c r="H35" s="7">
        <v>480.8</v>
      </c>
      <c r="I35" s="7">
        <v>111.97</v>
      </c>
      <c r="J35" s="7">
        <v>147.72999999999999</v>
      </c>
      <c r="K35" s="7">
        <v>5494.2005157232707</v>
      </c>
    </row>
    <row r="36" spans="1:11" x14ac:dyDescent="0.2">
      <c r="A36" s="1" t="s">
        <v>134</v>
      </c>
      <c r="B36" s="6">
        <v>99358</v>
      </c>
      <c r="C36" s="6">
        <v>3170.8952158859884</v>
      </c>
      <c r="D36" s="6">
        <v>445.00575464481972</v>
      </c>
      <c r="E36" s="6">
        <v>254.33509742547147</v>
      </c>
      <c r="F36" s="6">
        <v>280.93321292699125</v>
      </c>
      <c r="G36" s="6">
        <v>488.95224662332174</v>
      </c>
      <c r="H36" s="6">
        <v>238.87226946999735</v>
      </c>
      <c r="I36" s="6">
        <v>261.21447875359809</v>
      </c>
      <c r="J36" s="6">
        <v>249.44583707401517</v>
      </c>
      <c r="K36" s="6">
        <v>5389.6541128042036</v>
      </c>
    </row>
    <row r="39" spans="1:11" x14ac:dyDescent="0.2">
      <c r="A39" s="1" t="s">
        <v>81</v>
      </c>
      <c r="B39" s="6">
        <v>22340</v>
      </c>
      <c r="C39" s="6">
        <v>3435.95</v>
      </c>
      <c r="D39" s="6">
        <v>513.16</v>
      </c>
      <c r="E39" s="6">
        <v>244.09</v>
      </c>
      <c r="F39" s="6">
        <v>278.94</v>
      </c>
      <c r="G39" s="6">
        <v>580.65</v>
      </c>
      <c r="H39" s="6">
        <v>188.5</v>
      </c>
      <c r="I39" s="6">
        <v>446.11</v>
      </c>
      <c r="J39" s="6">
        <v>382.37</v>
      </c>
      <c r="K39" s="6">
        <v>6069.7787367949859</v>
      </c>
    </row>
    <row r="40" spans="1:11" x14ac:dyDescent="0.2">
      <c r="A40" s="1" t="s">
        <v>82</v>
      </c>
      <c r="B40" s="6">
        <v>10792</v>
      </c>
      <c r="C40" s="6">
        <v>3058.71</v>
      </c>
      <c r="D40" s="6">
        <v>464.1</v>
      </c>
      <c r="E40" s="6">
        <v>264.52</v>
      </c>
      <c r="F40" s="6">
        <v>396.3</v>
      </c>
      <c r="G40" s="6">
        <v>663.1</v>
      </c>
      <c r="H40" s="6">
        <v>367.87</v>
      </c>
      <c r="I40" s="6">
        <v>526.23</v>
      </c>
      <c r="J40" s="6">
        <v>243.56</v>
      </c>
      <c r="K40" s="6">
        <v>5984.3888658265387</v>
      </c>
    </row>
    <row r="41" spans="1:11" x14ac:dyDescent="0.2">
      <c r="A41" s="1" t="s">
        <v>83</v>
      </c>
      <c r="B41" s="6">
        <v>5193</v>
      </c>
      <c r="C41" s="6">
        <v>3424.28</v>
      </c>
      <c r="D41" s="6">
        <v>435.96</v>
      </c>
      <c r="E41" s="6">
        <v>447.3</v>
      </c>
      <c r="F41" s="6">
        <v>385.07</v>
      </c>
      <c r="G41" s="6">
        <v>822.81</v>
      </c>
      <c r="H41" s="6">
        <v>415.47</v>
      </c>
      <c r="I41" s="6">
        <v>705.1</v>
      </c>
      <c r="J41" s="6">
        <v>381.32</v>
      </c>
      <c r="K41" s="6">
        <v>7017.3031138070482</v>
      </c>
    </row>
    <row r="42" spans="1:11" x14ac:dyDescent="0.2">
      <c r="A42" s="1" t="s">
        <v>84</v>
      </c>
      <c r="B42" s="6">
        <v>4967</v>
      </c>
      <c r="C42" s="6">
        <v>3978.07</v>
      </c>
      <c r="D42" s="6">
        <v>412.67</v>
      </c>
      <c r="E42" s="6">
        <v>767.33</v>
      </c>
      <c r="F42" s="6">
        <v>458.97</v>
      </c>
      <c r="G42" s="6">
        <v>884.08</v>
      </c>
      <c r="H42" s="6">
        <v>752.07</v>
      </c>
      <c r="I42" s="6">
        <v>770.97</v>
      </c>
      <c r="J42" s="6">
        <v>306.23</v>
      </c>
      <c r="K42" s="6">
        <v>8330.3945439903364</v>
      </c>
    </row>
    <row r="43" spans="1:11" x14ac:dyDescent="0.2">
      <c r="A43" s="14" t="s">
        <v>85</v>
      </c>
      <c r="B43" s="7">
        <v>1524</v>
      </c>
      <c r="C43" s="7">
        <v>5482.81</v>
      </c>
      <c r="D43" s="7">
        <v>359.84</v>
      </c>
      <c r="E43" s="7">
        <v>1430.05</v>
      </c>
      <c r="F43" s="7">
        <v>272.91000000000003</v>
      </c>
      <c r="G43" s="7">
        <v>1392.19</v>
      </c>
      <c r="H43" s="7">
        <v>854.49</v>
      </c>
      <c r="I43" s="7">
        <v>1129.6099999999999</v>
      </c>
      <c r="J43" s="7">
        <v>307.88</v>
      </c>
      <c r="K43" s="7">
        <v>11229.774061679789</v>
      </c>
    </row>
    <row r="44" spans="1:11" x14ac:dyDescent="0.2">
      <c r="A44" s="1" t="s">
        <v>135</v>
      </c>
      <c r="B44" s="6">
        <v>44816</v>
      </c>
      <c r="C44" s="6">
        <v>3473.4438767404499</v>
      </c>
      <c r="D44" s="6">
        <v>476.04906640485541</v>
      </c>
      <c r="E44" s="6">
        <v>370.87522759728665</v>
      </c>
      <c r="F44" s="6">
        <v>339.24685625669406</v>
      </c>
      <c r="G44" s="6">
        <v>689.79190713138166</v>
      </c>
      <c r="H44" s="6">
        <v>343.10174625133885</v>
      </c>
      <c r="I44" s="6">
        <v>554.66478980721172</v>
      </c>
      <c r="J44" s="6">
        <v>337.85156685112457</v>
      </c>
      <c r="K44" s="6">
        <v>6585.0250370403428</v>
      </c>
    </row>
    <row r="47" spans="1:11" x14ac:dyDescent="0.2">
      <c r="A47" s="1" t="s">
        <v>86</v>
      </c>
      <c r="B47" s="6">
        <v>12916</v>
      </c>
      <c r="C47" s="6">
        <v>3062.22</v>
      </c>
      <c r="D47" s="6">
        <v>298.86</v>
      </c>
      <c r="E47" s="6">
        <v>264.98</v>
      </c>
      <c r="F47" s="6">
        <v>310.93</v>
      </c>
      <c r="G47" s="6">
        <v>538.34</v>
      </c>
      <c r="H47" s="6">
        <v>301.69</v>
      </c>
      <c r="I47" s="6">
        <v>358.21</v>
      </c>
      <c r="J47" s="6">
        <v>269.19</v>
      </c>
      <c r="K47" s="6">
        <v>5404.4241297615363</v>
      </c>
    </row>
    <row r="48" spans="1:11" x14ac:dyDescent="0.2">
      <c r="A48" s="14" t="s">
        <v>87</v>
      </c>
      <c r="B48" s="7">
        <v>6812</v>
      </c>
      <c r="C48" s="7">
        <v>4037.34</v>
      </c>
      <c r="D48" s="7">
        <v>275.7</v>
      </c>
      <c r="E48" s="7">
        <v>772.88</v>
      </c>
      <c r="F48" s="7">
        <v>239.28</v>
      </c>
      <c r="G48" s="7">
        <v>835.68</v>
      </c>
      <c r="H48" s="7">
        <v>529.08000000000004</v>
      </c>
      <c r="I48" s="7">
        <v>670.18</v>
      </c>
      <c r="J48" s="7">
        <v>280.69</v>
      </c>
      <c r="K48" s="7">
        <v>7640.8471036406336</v>
      </c>
    </row>
    <row r="49" spans="1:11" x14ac:dyDescent="0.2">
      <c r="A49" s="1" t="s">
        <v>136</v>
      </c>
      <c r="B49" s="6">
        <v>19728</v>
      </c>
      <c r="C49" s="6">
        <v>3398.9285259529597</v>
      </c>
      <c r="D49" s="6">
        <v>290.86097019464717</v>
      </c>
      <c r="E49" s="6">
        <v>440.35326338199513</v>
      </c>
      <c r="F49" s="6">
        <v>286.1909671532847</v>
      </c>
      <c r="G49" s="6">
        <v>641.01103152879148</v>
      </c>
      <c r="H49" s="6">
        <v>380.21040399432275</v>
      </c>
      <c r="I49" s="6">
        <v>465.93315642741277</v>
      </c>
      <c r="J49" s="6">
        <v>273.16377635847527</v>
      </c>
      <c r="K49" s="6">
        <v>6176.6520949918886</v>
      </c>
    </row>
    <row r="50" spans="1:11" ht="13.5" thickBot="1" x14ac:dyDescent="0.25">
      <c r="A50" s="24"/>
      <c r="B50" s="25"/>
      <c r="C50" s="25"/>
      <c r="D50" s="25"/>
      <c r="E50" s="25"/>
      <c r="F50" s="25"/>
      <c r="G50" s="25"/>
      <c r="H50" s="25"/>
      <c r="I50" s="25"/>
      <c r="J50" s="25"/>
      <c r="K50" s="25"/>
    </row>
    <row r="51" spans="1:11" ht="13.5" thickBot="1" x14ac:dyDescent="0.25">
      <c r="A51" s="31" t="s">
        <v>137</v>
      </c>
      <c r="B51" s="39">
        <v>163902</v>
      </c>
      <c r="C51" s="39">
        <v>3281.0687459579508</v>
      </c>
      <c r="D51" s="39">
        <v>434.94040310673444</v>
      </c>
      <c r="E51" s="39">
        <v>308.59086521213891</v>
      </c>
      <c r="F51" s="39">
        <v>297.5108581957511</v>
      </c>
      <c r="G51" s="39">
        <v>562.17066942441215</v>
      </c>
      <c r="H51" s="39">
        <v>284.38402008517284</v>
      </c>
      <c r="I51" s="39">
        <v>366.09397511927858</v>
      </c>
      <c r="J51" s="39">
        <v>276.47356517919246</v>
      </c>
      <c r="K51" s="27">
        <v>5811.2331022806311</v>
      </c>
    </row>
    <row r="52" spans="1:11" ht="13.5" thickTop="1" x14ac:dyDescent="0.2">
      <c r="A52" s="1"/>
      <c r="B52" s="6"/>
      <c r="C52" s="9"/>
      <c r="D52" s="9"/>
      <c r="E52" s="9"/>
      <c r="F52" s="9"/>
      <c r="G52" s="9"/>
      <c r="H52" s="9"/>
      <c r="I52" s="9"/>
      <c r="J52" s="9"/>
      <c r="K52" s="9"/>
    </row>
    <row r="53" spans="1:11" x14ac:dyDescent="0.2">
      <c r="A53" s="1"/>
      <c r="B53" s="6"/>
      <c r="C53" s="9"/>
      <c r="D53" s="9"/>
      <c r="E53" s="9"/>
      <c r="F53" s="9"/>
      <c r="G53" s="9"/>
      <c r="H53" s="9"/>
      <c r="I53" s="9"/>
      <c r="J53" s="9"/>
      <c r="K53" s="9"/>
    </row>
    <row r="54" spans="1:11" x14ac:dyDescent="0.2">
      <c r="A54" s="1"/>
      <c r="B54" s="6"/>
      <c r="C54" s="9"/>
      <c r="D54" s="9"/>
      <c r="E54" s="9"/>
      <c r="F54" s="9"/>
      <c r="G54" s="9"/>
      <c r="H54" s="9"/>
      <c r="I54" s="9"/>
      <c r="J54" s="9"/>
      <c r="K54" s="9"/>
    </row>
    <row r="55" spans="1:11" x14ac:dyDescent="0.2">
      <c r="A55" s="1"/>
      <c r="B55" s="6"/>
      <c r="C55" s="9"/>
      <c r="D55" s="9"/>
      <c r="E55" s="9"/>
      <c r="F55" s="9"/>
      <c r="G55" s="9"/>
      <c r="H55" s="9"/>
      <c r="I55" s="9"/>
      <c r="J55" s="9"/>
      <c r="K55" s="9"/>
    </row>
    <row r="56" spans="1:11" x14ac:dyDescent="0.2">
      <c r="A56" s="1"/>
      <c r="B56" s="6"/>
      <c r="C56" s="9"/>
      <c r="D56" s="9"/>
      <c r="E56" s="9"/>
      <c r="F56" s="9"/>
      <c r="G56" s="9"/>
      <c r="H56" s="9"/>
      <c r="I56" s="9"/>
      <c r="J56" s="9"/>
      <c r="K56" s="9"/>
    </row>
    <row r="57" spans="1:11" x14ac:dyDescent="0.2">
      <c r="A57" s="36" t="s">
        <v>247</v>
      </c>
      <c r="B57" s="6"/>
      <c r="C57" s="9"/>
      <c r="D57" s="9"/>
      <c r="E57" s="9"/>
      <c r="F57" s="9"/>
      <c r="G57" s="9"/>
      <c r="H57" s="9"/>
      <c r="I57" s="9"/>
      <c r="J57" s="9"/>
      <c r="K57" s="9"/>
    </row>
    <row r="58" spans="1:11" x14ac:dyDescent="0.2">
      <c r="A58" s="22" t="s">
        <v>269</v>
      </c>
      <c r="B58" s="23"/>
      <c r="C58" s="61"/>
      <c r="D58" s="61" t="s">
        <v>161</v>
      </c>
      <c r="E58" s="61" t="s">
        <v>124</v>
      </c>
      <c r="F58" s="61" t="s">
        <v>125</v>
      </c>
      <c r="G58" s="61" t="s">
        <v>125</v>
      </c>
      <c r="H58" s="61" t="s">
        <v>162</v>
      </c>
      <c r="I58" s="61"/>
      <c r="J58" s="61" t="s">
        <v>163</v>
      </c>
      <c r="K58" s="61"/>
    </row>
    <row r="59" spans="1:11" x14ac:dyDescent="0.2">
      <c r="A59" s="155" t="s">
        <v>245</v>
      </c>
      <c r="B59" s="173"/>
      <c r="C59" s="174" t="s">
        <v>94</v>
      </c>
      <c r="D59" s="174" t="s">
        <v>129</v>
      </c>
      <c r="E59" s="174" t="s">
        <v>164</v>
      </c>
      <c r="F59" s="174" t="s">
        <v>164</v>
      </c>
      <c r="G59" s="174" t="s">
        <v>165</v>
      </c>
      <c r="H59" s="174" t="s">
        <v>132</v>
      </c>
      <c r="I59" s="174" t="s">
        <v>93</v>
      </c>
      <c r="J59" s="174" t="s">
        <v>133</v>
      </c>
      <c r="K59" s="61"/>
    </row>
    <row r="60" spans="1:11" x14ac:dyDescent="0.2">
      <c r="A60" s="1"/>
      <c r="B60" s="60"/>
      <c r="C60" s="61"/>
      <c r="D60" s="61"/>
      <c r="E60" s="61"/>
      <c r="F60" s="61"/>
      <c r="G60" s="61"/>
      <c r="H60" s="61"/>
      <c r="I60" s="61"/>
      <c r="J60" s="61"/>
      <c r="K60" s="61"/>
    </row>
    <row r="61" spans="1:11" x14ac:dyDescent="0.2">
      <c r="A61" s="1" t="s">
        <v>102</v>
      </c>
      <c r="B61" s="6"/>
      <c r="C61" s="9">
        <v>0.60658537468631502</v>
      </c>
      <c r="D61" s="9">
        <v>0.10486855558567931</v>
      </c>
      <c r="E61" s="9">
        <v>2.7348633533963898E-2</v>
      </c>
      <c r="F61" s="9">
        <v>5.6150851660965728E-2</v>
      </c>
      <c r="G61" s="9">
        <v>9.1817765633302267E-2</v>
      </c>
      <c r="H61" s="9">
        <v>3.5344332276452624E-2</v>
      </c>
      <c r="I61" s="9">
        <v>3.341474298582988E-2</v>
      </c>
      <c r="J61" s="9">
        <v>4.447300087765562E-2</v>
      </c>
      <c r="K61" s="9"/>
    </row>
    <row r="62" spans="1:11" x14ac:dyDescent="0.2">
      <c r="A62" s="1" t="s">
        <v>76</v>
      </c>
      <c r="B62" s="6"/>
      <c r="C62" s="9">
        <v>0.57864295334829063</v>
      </c>
      <c r="D62" s="9">
        <v>8.7366419611683191E-2</v>
      </c>
      <c r="E62" s="9">
        <v>4.0924714226856687E-2</v>
      </c>
      <c r="F62" s="9">
        <v>5.8594832696113749E-2</v>
      </c>
      <c r="G62" s="9">
        <v>9.3177725282667379E-2</v>
      </c>
      <c r="H62" s="9">
        <v>4.2075727672658068E-2</v>
      </c>
      <c r="I62" s="9">
        <v>4.6196130854859109E-2</v>
      </c>
      <c r="J62" s="9">
        <v>5.3021603096166658E-2</v>
      </c>
      <c r="K62" s="9"/>
    </row>
    <row r="63" spans="1:11" x14ac:dyDescent="0.2">
      <c r="A63" s="1" t="s">
        <v>77</v>
      </c>
      <c r="B63" s="6"/>
      <c r="C63" s="9">
        <v>0.58662496164615729</v>
      </c>
      <c r="D63" s="9">
        <v>7.795612218229088E-2</v>
      </c>
      <c r="E63" s="9">
        <v>5.1118105782073195E-2</v>
      </c>
      <c r="F63" s="9">
        <v>5.1837138187922085E-2</v>
      </c>
      <c r="G63" s="9">
        <v>8.6484303602273577E-2</v>
      </c>
      <c r="H63" s="9">
        <v>4.5851061557321979E-2</v>
      </c>
      <c r="I63" s="9">
        <v>5.8491264486548039E-2</v>
      </c>
      <c r="J63" s="9">
        <v>4.1635316546990389E-2</v>
      </c>
      <c r="K63" s="9"/>
    </row>
    <row r="64" spans="1:11" x14ac:dyDescent="0.2">
      <c r="A64" s="1" t="s">
        <v>78</v>
      </c>
      <c r="B64" s="6"/>
      <c r="C64" s="9">
        <v>0.57245727050365058</v>
      </c>
      <c r="D64" s="9">
        <v>5.5566186139757896E-2</v>
      </c>
      <c r="E64" s="9">
        <v>7.4244894207992726E-2</v>
      </c>
      <c r="F64" s="9">
        <v>4.5912062269685708E-2</v>
      </c>
      <c r="G64" s="9">
        <v>8.4658012386733331E-2</v>
      </c>
      <c r="H64" s="9">
        <v>5.1538905590725215E-2</v>
      </c>
      <c r="I64" s="9">
        <v>6.8233233679053568E-2</v>
      </c>
      <c r="J64" s="9">
        <v>4.7391037160876053E-2</v>
      </c>
      <c r="K64" s="9"/>
    </row>
    <row r="65" spans="1:11" x14ac:dyDescent="0.2">
      <c r="A65" s="1" t="s">
        <v>79</v>
      </c>
      <c r="B65" s="6"/>
      <c r="C65" s="9">
        <v>0.55668426832921314</v>
      </c>
      <c r="D65" s="9">
        <v>3.3565643838599876E-2</v>
      </c>
      <c r="E65" s="9">
        <v>9.3212775434324255E-2</v>
      </c>
      <c r="F65" s="9">
        <v>3.454017650282603E-2</v>
      </c>
      <c r="G65" s="9">
        <v>9.0895871796335612E-2</v>
      </c>
      <c r="H65" s="9">
        <v>6.8876529180454435E-2</v>
      </c>
      <c r="I65" s="9">
        <v>7.7876624961837157E-2</v>
      </c>
      <c r="J65" s="9">
        <v>4.4347605716827485E-2</v>
      </c>
      <c r="K65" s="9"/>
    </row>
    <row r="66" spans="1:11" x14ac:dyDescent="0.2">
      <c r="A66" s="14" t="s">
        <v>80</v>
      </c>
      <c r="B66" s="7"/>
      <c r="C66" s="10">
        <v>0.62153355892772011</v>
      </c>
      <c r="D66" s="10">
        <v>2.2565612530011377E-2</v>
      </c>
      <c r="E66" s="10">
        <v>9.074295679111527E-2</v>
      </c>
      <c r="F66" s="10">
        <v>9.1605684677808722E-3</v>
      </c>
      <c r="G66" s="10">
        <v>0.12121872838351005</v>
      </c>
      <c r="H66" s="10">
        <v>8.7510457367555014E-2</v>
      </c>
      <c r="I66" s="10">
        <v>2.0379671196849278E-2</v>
      </c>
      <c r="J66" s="10">
        <v>2.6888352468612521E-2</v>
      </c>
      <c r="K66" s="9"/>
    </row>
    <row r="67" spans="1:11" x14ac:dyDescent="0.2">
      <c r="A67" s="1" t="s">
        <v>108</v>
      </c>
      <c r="B67" s="6"/>
      <c r="C67" s="9">
        <v>0.58833000217080555</v>
      </c>
      <c r="D67" s="9">
        <v>8.2566662967781063E-2</v>
      </c>
      <c r="E67" s="9">
        <v>4.7189502721751195E-2</v>
      </c>
      <c r="F67" s="9">
        <v>5.212453471913496E-2</v>
      </c>
      <c r="G67" s="9">
        <v>9.072052424694893E-2</v>
      </c>
      <c r="H67" s="9">
        <v>4.4320519363665357E-2</v>
      </c>
      <c r="I67" s="9">
        <v>4.8465907697681512E-2</v>
      </c>
      <c r="J67" s="9">
        <v>4.6282346112231317E-2</v>
      </c>
      <c r="K67" s="9"/>
    </row>
    <row r="68" spans="1:11" x14ac:dyDescent="0.2">
      <c r="A68" s="1"/>
      <c r="B68" s="6"/>
      <c r="C68" s="9"/>
      <c r="D68" s="9"/>
      <c r="E68" s="9"/>
      <c r="F68" s="9"/>
      <c r="G68" s="9"/>
      <c r="H68" s="9"/>
      <c r="I68" s="9"/>
      <c r="J68" s="9"/>
      <c r="K68" s="9"/>
    </row>
    <row r="69" spans="1:11" x14ac:dyDescent="0.2">
      <c r="A69" s="1"/>
      <c r="B69" s="6"/>
      <c r="C69" s="9"/>
      <c r="D69" s="9"/>
      <c r="E69" s="9"/>
      <c r="F69" s="9"/>
      <c r="G69" s="9"/>
      <c r="H69" s="9"/>
      <c r="I69" s="9"/>
      <c r="J69" s="9"/>
      <c r="K69" s="9"/>
    </row>
    <row r="70" spans="1:11" x14ac:dyDescent="0.2">
      <c r="A70" s="1" t="s">
        <v>81</v>
      </c>
      <c r="B70" s="6"/>
      <c r="C70" s="9">
        <v>0.56607500025845725</v>
      </c>
      <c r="D70" s="9">
        <v>8.4543444209790569E-2</v>
      </c>
      <c r="E70" s="9">
        <v>4.0213986470433748E-2</v>
      </c>
      <c r="F70" s="9">
        <v>4.5955546667470148E-2</v>
      </c>
      <c r="G70" s="9">
        <v>9.566246566453912E-2</v>
      </c>
      <c r="H70" s="9">
        <v>3.105549776589275E-2</v>
      </c>
      <c r="I70" s="9">
        <v>7.3496913041604328E-2</v>
      </c>
      <c r="J70" s="9">
        <v>6.2995706529148071E-2</v>
      </c>
      <c r="K70" s="9"/>
    </row>
    <row r="71" spans="1:11" x14ac:dyDescent="0.2">
      <c r="A71" s="1" t="s">
        <v>82</v>
      </c>
      <c r="B71" s="6"/>
      <c r="C71" s="9">
        <v>0.51111484707595845</v>
      </c>
      <c r="D71" s="9">
        <v>7.7551778536687807E-2</v>
      </c>
      <c r="E71" s="9">
        <v>4.4201673041423521E-2</v>
      </c>
      <c r="F71" s="9">
        <v>6.6222300870694625E-2</v>
      </c>
      <c r="G71" s="9">
        <v>0.11080496519646128</v>
      </c>
      <c r="H71" s="9">
        <v>6.1471606917240552E-2</v>
      </c>
      <c r="I71" s="9">
        <v>8.7933791035038192E-2</v>
      </c>
      <c r="J71" s="9">
        <v>4.0699226848514715E-2</v>
      </c>
      <c r="K71" s="9"/>
    </row>
    <row r="72" spans="1:11" x14ac:dyDescent="0.2">
      <c r="A72" s="1" t="s">
        <v>83</v>
      </c>
      <c r="B72" s="6"/>
      <c r="C72" s="9">
        <v>0.48797664066448593</v>
      </c>
      <c r="D72" s="9">
        <v>6.2126431326903542E-2</v>
      </c>
      <c r="E72" s="9">
        <v>6.3742436766042659E-2</v>
      </c>
      <c r="F72" s="9">
        <v>5.4874357535211367E-2</v>
      </c>
      <c r="G72" s="9">
        <v>0.117254447564202</v>
      </c>
      <c r="H72" s="9">
        <v>5.9206506155125738E-2</v>
      </c>
      <c r="I72" s="9">
        <v>0.10048019710202701</v>
      </c>
      <c r="J72" s="9">
        <v>5.4339964202162722E-2</v>
      </c>
      <c r="K72" s="9"/>
    </row>
    <row r="73" spans="1:11" x14ac:dyDescent="0.2">
      <c r="A73" s="1" t="s">
        <v>84</v>
      </c>
      <c r="B73" s="6"/>
      <c r="C73" s="9">
        <v>0.47753680560902551</v>
      </c>
      <c r="D73" s="9">
        <v>4.9537869763648344E-2</v>
      </c>
      <c r="E73" s="9">
        <v>9.2112083761214242E-2</v>
      </c>
      <c r="F73" s="9">
        <v>5.5095829804496767E-2</v>
      </c>
      <c r="G73" s="9">
        <v>0.10612702619683095</v>
      </c>
      <c r="H73" s="9">
        <v>9.0280237752070683E-2</v>
      </c>
      <c r="I73" s="9">
        <v>9.2549037855138405E-2</v>
      </c>
      <c r="J73" s="9">
        <v>3.6760563786371755E-2</v>
      </c>
      <c r="K73" s="9"/>
    </row>
    <row r="74" spans="1:11" x14ac:dyDescent="0.2">
      <c r="A74" s="14" t="s">
        <v>85</v>
      </c>
      <c r="B74" s="7"/>
      <c r="C74" s="10">
        <v>0.48823867424985951</v>
      </c>
      <c r="D74" s="10">
        <v>3.2043387340080984E-2</v>
      </c>
      <c r="E74" s="10">
        <v>0.12734450329502783</v>
      </c>
      <c r="F74" s="10">
        <v>2.4302358934475052E-2</v>
      </c>
      <c r="G74" s="10">
        <v>0.12397310866214804</v>
      </c>
      <c r="H74" s="10">
        <v>7.6091468564433648E-2</v>
      </c>
      <c r="I74" s="10">
        <v>0.10059062575930658</v>
      </c>
      <c r="J74" s="10">
        <v>2.7416401996065289E-2</v>
      </c>
      <c r="K74" s="9"/>
    </row>
    <row r="75" spans="1:11" x14ac:dyDescent="0.2">
      <c r="A75" s="1" t="s">
        <v>109</v>
      </c>
      <c r="B75" s="6"/>
      <c r="C75" s="9">
        <v>0.52747618379619687</v>
      </c>
      <c r="D75" s="9">
        <v>7.2292673714543218E-2</v>
      </c>
      <c r="E75" s="9">
        <v>5.6321004933335458E-2</v>
      </c>
      <c r="F75" s="9">
        <v>5.1517929597602485E-2</v>
      </c>
      <c r="G75" s="9">
        <v>0.10475159976634052</v>
      </c>
      <c r="H75" s="9">
        <v>5.2103332078680578E-2</v>
      </c>
      <c r="I75" s="9">
        <v>8.4231234761790258E-2</v>
      </c>
      <c r="J75" s="9">
        <v>5.1306041351510616E-2</v>
      </c>
      <c r="K75" s="9"/>
    </row>
    <row r="76" spans="1:11" x14ac:dyDescent="0.2">
      <c r="A76" s="1"/>
      <c r="B76" s="6"/>
      <c r="C76" s="9"/>
      <c r="D76" s="9"/>
      <c r="E76" s="9"/>
      <c r="F76" s="9"/>
      <c r="G76" s="9"/>
      <c r="H76" s="9"/>
      <c r="I76" s="9"/>
      <c r="J76" s="9"/>
      <c r="K76" s="9"/>
    </row>
    <row r="77" spans="1:11" x14ac:dyDescent="0.2">
      <c r="A77" s="1"/>
      <c r="B77" s="6"/>
      <c r="C77" s="9"/>
      <c r="D77" s="9"/>
      <c r="E77" s="9"/>
      <c r="F77" s="9"/>
      <c r="G77" s="9"/>
      <c r="H77" s="9"/>
      <c r="I77" s="9"/>
      <c r="J77" s="9"/>
      <c r="K77" s="9"/>
    </row>
    <row r="78" spans="1:11" x14ac:dyDescent="0.2">
      <c r="A78" s="1" t="s">
        <v>86</v>
      </c>
      <c r="B78" s="6"/>
      <c r="C78" s="9">
        <v>0.56661356075603131</v>
      </c>
      <c r="D78" s="9">
        <v>5.529913878413293E-2</v>
      </c>
      <c r="E78" s="9">
        <v>4.9030200746234168E-2</v>
      </c>
      <c r="F78" s="9">
        <v>5.7532494218531925E-2</v>
      </c>
      <c r="G78" s="9">
        <v>9.9610982978819915E-2</v>
      </c>
      <c r="H78" s="9">
        <v>5.5822783844559534E-2</v>
      </c>
      <c r="I78" s="9">
        <v>6.6280882365871152E-2</v>
      </c>
      <c r="J78" s="9">
        <v>4.9809192161215092E-2</v>
      </c>
      <c r="K78" s="9"/>
    </row>
    <row r="79" spans="1:11" x14ac:dyDescent="0.2">
      <c r="A79" s="14" t="s">
        <v>87</v>
      </c>
      <c r="B79" s="7"/>
      <c r="C79" s="10">
        <v>0.52838905755309895</v>
      </c>
      <c r="D79" s="10">
        <v>3.6082386711891831E-2</v>
      </c>
      <c r="E79" s="10">
        <v>0.10115108829121132</v>
      </c>
      <c r="F79" s="10">
        <v>3.1315899500984685E-2</v>
      </c>
      <c r="G79" s="10">
        <v>0.10937007227926647</v>
      </c>
      <c r="H79" s="10">
        <v>6.9243631343952602E-2</v>
      </c>
      <c r="I79" s="10">
        <v>8.7710170208834481E-2</v>
      </c>
      <c r="J79" s="10">
        <v>3.6735455662535069E-2</v>
      </c>
      <c r="K79" s="9"/>
    </row>
    <row r="80" spans="1:11" x14ac:dyDescent="0.2">
      <c r="A80" s="1" t="s">
        <v>110</v>
      </c>
      <c r="B80" s="6"/>
      <c r="C80" s="9">
        <v>0.55028654256063025</v>
      </c>
      <c r="D80" s="9">
        <v>4.7090392290425602E-2</v>
      </c>
      <c r="E80" s="9">
        <v>7.1293195182393285E-2</v>
      </c>
      <c r="F80" s="9">
        <v>4.6334318778506585E-2</v>
      </c>
      <c r="G80" s="9">
        <v>0.1037796886841873</v>
      </c>
      <c r="H80" s="9">
        <v>6.1556065996108536E-2</v>
      </c>
      <c r="I80" s="9">
        <v>7.5434579973380322E-2</v>
      </c>
      <c r="J80" s="9">
        <v>4.42252165343682E-2</v>
      </c>
      <c r="K80" s="9"/>
    </row>
    <row r="81" spans="1:11" ht="13.5" thickBot="1" x14ac:dyDescent="0.25">
      <c r="A81" s="24"/>
      <c r="B81" s="25"/>
      <c r="C81" s="62"/>
      <c r="D81" s="62"/>
      <c r="E81" s="62"/>
      <c r="F81" s="62"/>
      <c r="G81" s="62"/>
      <c r="H81" s="62"/>
      <c r="I81" s="62"/>
      <c r="J81" s="62"/>
      <c r="K81" s="9"/>
    </row>
    <row r="82" spans="1:11" ht="13.5" thickBot="1" x14ac:dyDescent="0.25">
      <c r="A82" s="31" t="s">
        <v>111</v>
      </c>
      <c r="B82" s="39"/>
      <c r="C82" s="63">
        <v>0.56460800800957167</v>
      </c>
      <c r="D82" s="63">
        <v>7.4844769681677567E-2</v>
      </c>
      <c r="E82" s="63">
        <v>5.3102475805183541E-2</v>
      </c>
      <c r="F82" s="63">
        <v>5.1195822463048733E-2</v>
      </c>
      <c r="G82" s="63">
        <v>9.6738619761060185E-2</v>
      </c>
      <c r="H82" s="63">
        <v>4.89369493668333E-2</v>
      </c>
      <c r="I82" s="63">
        <v>6.2997640720280898E-2</v>
      </c>
      <c r="J82" s="63">
        <v>4.7575714192344104E-2</v>
      </c>
      <c r="K82" s="9"/>
    </row>
    <row r="83" spans="1:11" ht="13.5" thickTop="1" x14ac:dyDescent="0.2">
      <c r="A83" s="1"/>
      <c r="B83" s="6"/>
      <c r="C83" s="9"/>
      <c r="D83" s="9"/>
      <c r="E83" s="9"/>
      <c r="F83" s="9"/>
      <c r="G83" s="9"/>
      <c r="H83" s="9"/>
      <c r="I83" s="9"/>
      <c r="J83" s="9"/>
      <c r="K83" s="9"/>
    </row>
    <row r="84" spans="1:11" x14ac:dyDescent="0.2">
      <c r="A84" s="1"/>
      <c r="B84" s="6"/>
      <c r="C84" s="9"/>
      <c r="D84" s="9"/>
      <c r="E84" s="9"/>
      <c r="F84" s="9"/>
      <c r="G84" s="9"/>
      <c r="H84" s="9"/>
      <c r="I84" s="9"/>
      <c r="J84" s="9"/>
      <c r="K84" s="9"/>
    </row>
    <row r="85" spans="1:11" x14ac:dyDescent="0.2">
      <c r="A85" s="1"/>
      <c r="B85" s="6"/>
      <c r="C85" s="9"/>
      <c r="D85" s="9"/>
      <c r="E85" s="9"/>
      <c r="F85" s="9"/>
      <c r="G85" s="9"/>
      <c r="H85" s="9"/>
      <c r="I85" s="9"/>
      <c r="J85" s="9"/>
      <c r="K85" s="9"/>
    </row>
    <row r="86" spans="1:11" x14ac:dyDescent="0.2">
      <c r="A86" s="1"/>
      <c r="B86" s="6"/>
      <c r="C86" s="9"/>
      <c r="D86" s="9"/>
      <c r="E86" s="9"/>
      <c r="F86" s="9"/>
      <c r="G86" s="9"/>
      <c r="H86" s="9"/>
      <c r="I86" s="9"/>
      <c r="J86" s="9"/>
      <c r="K86" s="9"/>
    </row>
    <row r="87" spans="1:11" x14ac:dyDescent="0.2">
      <c r="A87" s="1"/>
      <c r="B87" s="6"/>
      <c r="C87" s="9"/>
      <c r="D87" s="9"/>
      <c r="E87" s="9"/>
      <c r="F87" s="9"/>
      <c r="G87" s="9"/>
      <c r="H87" s="9"/>
      <c r="I87" s="9"/>
      <c r="J87" s="9"/>
      <c r="K87" s="9"/>
    </row>
    <row r="88" spans="1:11" x14ac:dyDescent="0.2">
      <c r="A88" s="1"/>
      <c r="B88" s="6"/>
      <c r="C88" s="9"/>
      <c r="D88" s="9"/>
      <c r="E88" s="9"/>
      <c r="F88" s="9"/>
      <c r="G88" s="9"/>
      <c r="H88" s="9"/>
      <c r="I88" s="9"/>
      <c r="J88" s="9"/>
      <c r="K88" s="9"/>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51" max="11"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53"/>
  <dimension ref="A1:L73"/>
  <sheetViews>
    <sheetView workbookViewId="0"/>
  </sheetViews>
  <sheetFormatPr defaultRowHeight="12.75" x14ac:dyDescent="0.2"/>
  <cols>
    <col min="1" max="1" width="21.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6" t="s">
        <v>247</v>
      </c>
    </row>
    <row r="2" spans="1:12" x14ac:dyDescent="0.2">
      <c r="A2" s="22" t="s">
        <v>256</v>
      </c>
    </row>
    <row r="3" spans="1:12" x14ac:dyDescent="0.2">
      <c r="B3" s="38"/>
      <c r="C3" s="23"/>
      <c r="D3" s="23" t="s">
        <v>123</v>
      </c>
      <c r="E3" s="23" t="s">
        <v>124</v>
      </c>
      <c r="F3" s="23" t="s">
        <v>125</v>
      </c>
      <c r="G3" s="23" t="s">
        <v>125</v>
      </c>
      <c r="H3" s="23" t="s">
        <v>126</v>
      </c>
      <c r="I3" s="23"/>
      <c r="J3" s="23" t="s">
        <v>127</v>
      </c>
    </row>
    <row r="4" spans="1:12" ht="22.5" x14ac:dyDescent="0.2">
      <c r="A4" s="155" t="s">
        <v>245</v>
      </c>
      <c r="B4" s="144" t="s">
        <v>128</v>
      </c>
      <c r="C4" s="144" t="s">
        <v>94</v>
      </c>
      <c r="D4" s="144" t="s">
        <v>129</v>
      </c>
      <c r="E4" s="144" t="s">
        <v>130</v>
      </c>
      <c r="F4" s="144" t="s">
        <v>130</v>
      </c>
      <c r="G4" s="144" t="s">
        <v>131</v>
      </c>
      <c r="H4" s="144" t="s">
        <v>132</v>
      </c>
      <c r="I4" s="144" t="s">
        <v>93</v>
      </c>
      <c r="J4" s="144" t="s">
        <v>133</v>
      </c>
      <c r="K4" s="165" t="s">
        <v>113</v>
      </c>
      <c r="L4" s="141" t="s">
        <v>451</v>
      </c>
    </row>
    <row r="5" spans="1:12" x14ac:dyDescent="0.2">
      <c r="A5" s="1" t="s">
        <v>102</v>
      </c>
      <c r="B5" s="6">
        <v>40796</v>
      </c>
      <c r="C5" s="6">
        <v>121559898.26000001</v>
      </c>
      <c r="D5" s="6">
        <v>20091899.039999999</v>
      </c>
      <c r="E5" s="6">
        <v>5451686.6699999999</v>
      </c>
      <c r="F5" s="6">
        <v>11609228.26</v>
      </c>
      <c r="G5" s="6">
        <v>18369001.850000001</v>
      </c>
      <c r="H5" s="6">
        <v>6923141.7199999997</v>
      </c>
      <c r="I5" s="6">
        <v>6815953.7699999996</v>
      </c>
      <c r="J5" s="6">
        <v>9820808.3200000003</v>
      </c>
      <c r="K5" s="6">
        <f>SUM(C5:J5)</f>
        <v>200641617.88999999</v>
      </c>
      <c r="L5" s="6">
        <f>K5/B5</f>
        <v>4918.1688864104317</v>
      </c>
    </row>
    <row r="6" spans="1:12" x14ac:dyDescent="0.2">
      <c r="A6" s="1" t="s">
        <v>76</v>
      </c>
      <c r="B6" s="6">
        <v>24993</v>
      </c>
      <c r="C6" s="6">
        <v>73572687.090000004</v>
      </c>
      <c r="D6" s="6">
        <v>10346562.390000001</v>
      </c>
      <c r="E6" s="6">
        <v>5223995.68</v>
      </c>
      <c r="F6" s="6">
        <v>7582888.8899999997</v>
      </c>
      <c r="G6" s="6">
        <v>11839381.470000001</v>
      </c>
      <c r="H6" s="6">
        <v>5457280.9100000001</v>
      </c>
      <c r="I6" s="6">
        <v>6195989.2400000002</v>
      </c>
      <c r="J6" s="6">
        <v>7258473.0899999999</v>
      </c>
      <c r="K6" s="6">
        <f t="shared" ref="K6:K24" si="0">SUM(C6:J6)</f>
        <v>127477258.75999999</v>
      </c>
      <c r="L6" s="6">
        <f t="shared" ref="L6:L24" si="1">K6/B6</f>
        <v>5100.5184955787618</v>
      </c>
    </row>
    <row r="7" spans="1:12" x14ac:dyDescent="0.2">
      <c r="A7" s="1" t="s">
        <v>77</v>
      </c>
      <c r="B7" s="6">
        <v>12810</v>
      </c>
      <c r="C7" s="6">
        <v>41734892.509999998</v>
      </c>
      <c r="D7" s="6">
        <v>4886901.9000000004</v>
      </c>
      <c r="E7" s="6">
        <v>3783038.94</v>
      </c>
      <c r="F7" s="6">
        <v>3732338.89</v>
      </c>
      <c r="G7" s="6">
        <v>6195188.25</v>
      </c>
      <c r="H7" s="6">
        <v>3490764.68</v>
      </c>
      <c r="I7" s="6">
        <v>4225824.8499999996</v>
      </c>
      <c r="J7" s="6">
        <v>2053903.19</v>
      </c>
      <c r="K7" s="6">
        <f t="shared" si="0"/>
        <v>70102853.209999993</v>
      </c>
      <c r="L7" s="6">
        <f t="shared" si="1"/>
        <v>5472.5100085870408</v>
      </c>
    </row>
    <row r="8" spans="1:12" x14ac:dyDescent="0.2">
      <c r="A8" s="1" t="s">
        <v>78</v>
      </c>
      <c r="B8" s="6">
        <v>15459</v>
      </c>
      <c r="C8" s="6">
        <v>46832355.670000002</v>
      </c>
      <c r="D8" s="6">
        <v>3942527.9</v>
      </c>
      <c r="E8" s="6">
        <v>5959315.0999999996</v>
      </c>
      <c r="F8" s="6">
        <v>3525056.89</v>
      </c>
      <c r="G8" s="6">
        <v>7372634.2999999998</v>
      </c>
      <c r="H8" s="6">
        <v>4061213.96</v>
      </c>
      <c r="I8" s="6">
        <v>5813105.21</v>
      </c>
      <c r="J8" s="6">
        <v>3910212.16</v>
      </c>
      <c r="K8" s="6">
        <f t="shared" si="0"/>
        <v>81416421.189999983</v>
      </c>
      <c r="L8" s="6">
        <f t="shared" si="1"/>
        <v>5266.6033501520142</v>
      </c>
    </row>
    <row r="9" spans="1:12" x14ac:dyDescent="0.2">
      <c r="A9" s="1" t="s">
        <v>79</v>
      </c>
      <c r="B9" s="6">
        <v>6391</v>
      </c>
      <c r="C9" s="6">
        <v>21734625.91</v>
      </c>
      <c r="D9" s="6">
        <v>1235387.56</v>
      </c>
      <c r="E9" s="6">
        <v>3671361.17</v>
      </c>
      <c r="F9" s="6">
        <v>1251925.74</v>
      </c>
      <c r="G9" s="6">
        <v>3802546.12</v>
      </c>
      <c r="H9" s="6">
        <v>2988706.11</v>
      </c>
      <c r="I9" s="6">
        <v>2748287.39</v>
      </c>
      <c r="J9" s="6">
        <v>1477203.69</v>
      </c>
      <c r="K9" s="6">
        <f t="shared" si="0"/>
        <v>38910043.689999998</v>
      </c>
      <c r="L9" s="6">
        <f t="shared" si="1"/>
        <v>6088.2559364731651</v>
      </c>
    </row>
    <row r="10" spans="1:12" x14ac:dyDescent="0.2">
      <c r="A10" s="14" t="s">
        <v>80</v>
      </c>
      <c r="B10" s="7">
        <v>1696</v>
      </c>
      <c r="C10" s="7">
        <v>5548196.4199999999</v>
      </c>
      <c r="D10" s="7">
        <v>180389.05</v>
      </c>
      <c r="E10" s="7">
        <v>744146.66</v>
      </c>
      <c r="F10" s="7">
        <v>82008.78</v>
      </c>
      <c r="G10" s="7">
        <v>1109266.06</v>
      </c>
      <c r="H10" s="7">
        <v>840361.63</v>
      </c>
      <c r="I10" s="7">
        <v>166767.72</v>
      </c>
      <c r="J10" s="7">
        <v>164227.01999999999</v>
      </c>
      <c r="K10" s="7">
        <f t="shared" si="0"/>
        <v>8835363.3400000017</v>
      </c>
      <c r="L10" s="6">
        <f t="shared" si="1"/>
        <v>5209.5302712264165</v>
      </c>
    </row>
    <row r="11" spans="1:12" ht="13.5" thickBot="1" x14ac:dyDescent="0.25">
      <c r="A11" s="1" t="s">
        <v>134</v>
      </c>
      <c r="B11" s="8">
        <v>102145</v>
      </c>
      <c r="C11" s="8">
        <f>SUM(C5:C10)</f>
        <v>310982655.86000007</v>
      </c>
      <c r="D11" s="8">
        <f t="shared" ref="D11:J11" si="2">SUM(D5:D10)</f>
        <v>40683667.839999996</v>
      </c>
      <c r="E11" s="8">
        <f t="shared" si="2"/>
        <v>24833544.220000003</v>
      </c>
      <c r="F11" s="8">
        <f t="shared" si="2"/>
        <v>27783447.449999999</v>
      </c>
      <c r="G11" s="8">
        <f t="shared" si="2"/>
        <v>48688018.049999997</v>
      </c>
      <c r="H11" s="8">
        <f t="shared" si="2"/>
        <v>23761469.009999998</v>
      </c>
      <c r="I11" s="8">
        <f t="shared" si="2"/>
        <v>25965928.18</v>
      </c>
      <c r="J11" s="8">
        <f t="shared" si="2"/>
        <v>24684827.470000003</v>
      </c>
      <c r="K11" s="8">
        <f t="shared" si="0"/>
        <v>527383558.0800001</v>
      </c>
      <c r="L11" s="8">
        <f t="shared" si="1"/>
        <v>5163.0873569925116</v>
      </c>
    </row>
    <row r="12" spans="1:12" ht="13.5" thickTop="1" x14ac:dyDescent="0.2">
      <c r="A12" s="1"/>
      <c r="B12" s="6"/>
      <c r="K12" s="6"/>
      <c r="L12" s="6"/>
    </row>
    <row r="13" spans="1:12" x14ac:dyDescent="0.2">
      <c r="A13" s="1" t="s">
        <v>81</v>
      </c>
      <c r="B13" s="6">
        <v>21977</v>
      </c>
      <c r="C13" s="6">
        <v>72069171.890000001</v>
      </c>
      <c r="D13" s="6">
        <v>11251329.470000001</v>
      </c>
      <c r="E13" s="6">
        <v>5813530.8300000001</v>
      </c>
      <c r="F13" s="6">
        <v>6040306.0099999998</v>
      </c>
      <c r="G13" s="6">
        <v>13403232.76</v>
      </c>
      <c r="H13" s="6">
        <v>4191501.18</v>
      </c>
      <c r="I13" s="6">
        <v>9398269.3900000006</v>
      </c>
      <c r="J13" s="6">
        <v>7602305.5700000003</v>
      </c>
      <c r="K13" s="6">
        <f t="shared" si="0"/>
        <v>129769647.10000002</v>
      </c>
      <c r="L13" s="6">
        <f t="shared" si="1"/>
        <v>5904.7935159484923</v>
      </c>
    </row>
    <row r="14" spans="1:12" x14ac:dyDescent="0.2">
      <c r="A14" s="1" t="s">
        <v>82</v>
      </c>
      <c r="B14" s="6">
        <v>10144</v>
      </c>
      <c r="C14" s="6">
        <v>30399860</v>
      </c>
      <c r="D14" s="6">
        <v>4426266.41</v>
      </c>
      <c r="E14" s="6">
        <v>2581334.08</v>
      </c>
      <c r="F14" s="6">
        <v>3940320.6</v>
      </c>
      <c r="G14" s="6">
        <v>6945464.5099999998</v>
      </c>
      <c r="H14" s="6">
        <v>3764892.49</v>
      </c>
      <c r="I14" s="6">
        <v>5021746.2</v>
      </c>
      <c r="J14" s="6">
        <v>2469804.5699999998</v>
      </c>
      <c r="K14" s="6">
        <f t="shared" si="0"/>
        <v>59549688.859999999</v>
      </c>
      <c r="L14" s="6">
        <f t="shared" si="1"/>
        <v>5870.4346273659303</v>
      </c>
    </row>
    <row r="15" spans="1:12" x14ac:dyDescent="0.2">
      <c r="A15" s="1" t="s">
        <v>83</v>
      </c>
      <c r="B15" s="6">
        <v>5772</v>
      </c>
      <c r="C15" s="6">
        <v>18887629.91</v>
      </c>
      <c r="D15" s="6">
        <v>2402685.7799999998</v>
      </c>
      <c r="E15" s="6">
        <v>2448960.61</v>
      </c>
      <c r="F15" s="6">
        <v>2258303.2000000002</v>
      </c>
      <c r="G15" s="6">
        <v>4364714.6900000004</v>
      </c>
      <c r="H15" s="6">
        <v>2486662.1800000002</v>
      </c>
      <c r="I15" s="6">
        <v>4013195.42</v>
      </c>
      <c r="J15" s="6">
        <v>1849165.45</v>
      </c>
      <c r="K15" s="6">
        <f t="shared" si="0"/>
        <v>38711317.240000002</v>
      </c>
      <c r="L15" s="6">
        <f t="shared" si="1"/>
        <v>6706.7424185724185</v>
      </c>
    </row>
    <row r="16" spans="1:12" x14ac:dyDescent="0.2">
      <c r="A16" s="1" t="s">
        <v>84</v>
      </c>
      <c r="B16" s="6">
        <v>5234</v>
      </c>
      <c r="C16" s="6">
        <v>20551178.800000001</v>
      </c>
      <c r="D16" s="6">
        <v>2044170.79</v>
      </c>
      <c r="E16" s="6">
        <v>4018257.57</v>
      </c>
      <c r="F16" s="6">
        <v>2216731.7599999998</v>
      </c>
      <c r="G16" s="6">
        <v>4532463.3899999997</v>
      </c>
      <c r="H16" s="6">
        <v>3618130.31</v>
      </c>
      <c r="I16" s="6">
        <v>3850939.01</v>
      </c>
      <c r="J16" s="6">
        <v>1516451.14</v>
      </c>
      <c r="K16" s="6">
        <f t="shared" si="0"/>
        <v>42348322.770000003</v>
      </c>
      <c r="L16" s="6">
        <f t="shared" si="1"/>
        <v>8091.0054967520064</v>
      </c>
    </row>
    <row r="17" spans="1:12" x14ac:dyDescent="0.2">
      <c r="A17" s="14" t="s">
        <v>85</v>
      </c>
      <c r="B17" s="7">
        <v>1591</v>
      </c>
      <c r="C17" s="7">
        <v>8706798.0899999999</v>
      </c>
      <c r="D17" s="7">
        <v>605250.15</v>
      </c>
      <c r="E17" s="7">
        <v>2162426.23</v>
      </c>
      <c r="F17" s="7">
        <v>424441.09</v>
      </c>
      <c r="G17" s="7">
        <v>2239892.5699999998</v>
      </c>
      <c r="H17" s="7">
        <v>1337599.55</v>
      </c>
      <c r="I17" s="7">
        <v>1769553.29</v>
      </c>
      <c r="J17" s="7">
        <v>515558.44</v>
      </c>
      <c r="K17" s="7">
        <f t="shared" si="0"/>
        <v>17761519.410000004</v>
      </c>
      <c r="L17" s="6">
        <f t="shared" si="1"/>
        <v>11163.745700817099</v>
      </c>
    </row>
    <row r="18" spans="1:12" ht="13.5" thickBot="1" x14ac:dyDescent="0.25">
      <c r="A18" s="1" t="s">
        <v>135</v>
      </c>
      <c r="B18" s="8">
        <v>44718</v>
      </c>
      <c r="C18" s="8">
        <f>SUM(C13:C17)</f>
        <v>150614638.69</v>
      </c>
      <c r="D18" s="8">
        <f t="shared" ref="D18:J18" si="3">SUM(D13:D17)</f>
        <v>20729702.599999998</v>
      </c>
      <c r="E18" s="8">
        <f t="shared" si="3"/>
        <v>17024509.32</v>
      </c>
      <c r="F18" s="8">
        <f t="shared" si="3"/>
        <v>14880102.659999998</v>
      </c>
      <c r="G18" s="8">
        <f t="shared" si="3"/>
        <v>31485767.920000002</v>
      </c>
      <c r="H18" s="8">
        <f t="shared" si="3"/>
        <v>15398785.710000001</v>
      </c>
      <c r="I18" s="8">
        <f t="shared" si="3"/>
        <v>24053703.309999995</v>
      </c>
      <c r="J18" s="8">
        <f t="shared" si="3"/>
        <v>13953285.17</v>
      </c>
      <c r="K18" s="8">
        <f t="shared" si="0"/>
        <v>288140495.38</v>
      </c>
      <c r="L18" s="8">
        <f t="shared" si="1"/>
        <v>6443.5013949639961</v>
      </c>
    </row>
    <row r="19" spans="1:12" ht="13.5" thickTop="1" x14ac:dyDescent="0.2">
      <c r="A19" s="1"/>
      <c r="B19" s="6"/>
      <c r="C19" s="6"/>
      <c r="D19" s="6"/>
      <c r="E19" s="6"/>
      <c r="F19" s="6"/>
      <c r="G19" s="6"/>
      <c r="H19" s="6"/>
      <c r="I19" s="6"/>
      <c r="J19" s="6"/>
      <c r="K19" s="6"/>
      <c r="L19" s="6"/>
    </row>
    <row r="20" spans="1:12" x14ac:dyDescent="0.2">
      <c r="A20" s="1" t="s">
        <v>86</v>
      </c>
      <c r="B20" s="6">
        <v>11672</v>
      </c>
      <c r="C20" s="6">
        <v>33165129.07</v>
      </c>
      <c r="D20" s="6">
        <v>3433592.56</v>
      </c>
      <c r="E20" s="6">
        <v>2829314.48</v>
      </c>
      <c r="F20" s="6">
        <v>3453536.54</v>
      </c>
      <c r="G20" s="6">
        <v>6154796.4500000002</v>
      </c>
      <c r="H20" s="6">
        <v>3450432.63</v>
      </c>
      <c r="I20" s="6">
        <v>4117002.46</v>
      </c>
      <c r="J20" s="6">
        <v>2088911.13</v>
      </c>
      <c r="K20" s="6">
        <f t="shared" si="0"/>
        <v>58692715.320000008</v>
      </c>
      <c r="L20" s="6">
        <f t="shared" si="1"/>
        <v>5028.5054249485956</v>
      </c>
    </row>
    <row r="21" spans="1:12" x14ac:dyDescent="0.2">
      <c r="A21" s="14" t="s">
        <v>87</v>
      </c>
      <c r="B21" s="7">
        <v>6199</v>
      </c>
      <c r="C21" s="7">
        <v>23851835.949999999</v>
      </c>
      <c r="D21" s="7">
        <v>1881260.83</v>
      </c>
      <c r="E21" s="7">
        <v>4853122.4800000004</v>
      </c>
      <c r="F21" s="7">
        <v>1398614.83</v>
      </c>
      <c r="G21" s="7">
        <v>5172811.4800000004</v>
      </c>
      <c r="H21" s="7">
        <v>3204224.21</v>
      </c>
      <c r="I21" s="7">
        <v>4089099.27</v>
      </c>
      <c r="J21" s="7">
        <v>1363666.22</v>
      </c>
      <c r="K21" s="7">
        <f t="shared" si="0"/>
        <v>45814635.270000011</v>
      </c>
      <c r="L21" s="6">
        <f t="shared" si="1"/>
        <v>7390.6493418293294</v>
      </c>
    </row>
    <row r="22" spans="1:12" ht="13.5" thickBot="1" x14ac:dyDescent="0.25">
      <c r="A22" s="1" t="s">
        <v>136</v>
      </c>
      <c r="B22" s="8">
        <v>17871</v>
      </c>
      <c r="C22" s="8">
        <f>SUM(C20:C21)</f>
        <v>57016965.019999996</v>
      </c>
      <c r="D22" s="8">
        <f t="shared" ref="D22:J22" si="4">SUM(D20:D21)</f>
        <v>5314853.3900000006</v>
      </c>
      <c r="E22" s="8">
        <f t="shared" si="4"/>
        <v>7682436.9600000009</v>
      </c>
      <c r="F22" s="8">
        <f t="shared" si="4"/>
        <v>4852151.37</v>
      </c>
      <c r="G22" s="8">
        <f t="shared" si="4"/>
        <v>11327607.93</v>
      </c>
      <c r="H22" s="8">
        <f t="shared" si="4"/>
        <v>6654656.8399999999</v>
      </c>
      <c r="I22" s="8">
        <f t="shared" si="4"/>
        <v>8206101.7300000004</v>
      </c>
      <c r="J22" s="8">
        <f t="shared" si="4"/>
        <v>3452577.3499999996</v>
      </c>
      <c r="K22" s="8">
        <f t="shared" si="0"/>
        <v>104507350.59000002</v>
      </c>
      <c r="L22" s="8">
        <f t="shared" si="1"/>
        <v>5847.8736830619446</v>
      </c>
    </row>
    <row r="23" spans="1:12" ht="14.25" thickTop="1" thickBot="1" x14ac:dyDescent="0.25">
      <c r="A23" s="24"/>
      <c r="B23" s="25"/>
      <c r="C23" s="25"/>
      <c r="D23" s="25"/>
      <c r="E23" s="25"/>
      <c r="F23" s="25"/>
      <c r="G23" s="25"/>
      <c r="H23" s="25"/>
      <c r="I23" s="25"/>
      <c r="J23" s="25"/>
      <c r="K23" s="25"/>
      <c r="L23" s="6"/>
    </row>
    <row r="24" spans="1:12" ht="13.5" thickBot="1" x14ac:dyDescent="0.25">
      <c r="A24" s="31" t="s">
        <v>137</v>
      </c>
      <c r="B24" s="39">
        <v>164734</v>
      </c>
      <c r="C24" s="27">
        <f>C11+C18+C22</f>
        <v>518614259.57000005</v>
      </c>
      <c r="D24" s="27">
        <f t="shared" ref="D24:J24" si="5">D11+D18+D22</f>
        <v>66728223.829999998</v>
      </c>
      <c r="E24" s="27">
        <f t="shared" si="5"/>
        <v>49540490.500000007</v>
      </c>
      <c r="F24" s="27">
        <f t="shared" si="5"/>
        <v>47515701.479999997</v>
      </c>
      <c r="G24" s="27">
        <f t="shared" si="5"/>
        <v>91501393.900000006</v>
      </c>
      <c r="H24" s="27">
        <f t="shared" si="5"/>
        <v>45814911.560000002</v>
      </c>
      <c r="I24" s="27">
        <f t="shared" si="5"/>
        <v>58225733.219999999</v>
      </c>
      <c r="J24" s="27">
        <f t="shared" si="5"/>
        <v>42090689.990000002</v>
      </c>
      <c r="K24" s="27">
        <f t="shared" si="0"/>
        <v>920031404.05000019</v>
      </c>
      <c r="L24" s="126">
        <f t="shared" si="1"/>
        <v>5584.9515221508627</v>
      </c>
    </row>
    <row r="25" spans="1:12" ht="13.5" thickTop="1" x14ac:dyDescent="0.2">
      <c r="A25" s="1"/>
      <c r="B25" s="1"/>
      <c r="C25" s="1"/>
      <c r="D25" s="1"/>
      <c r="E25" s="1"/>
      <c r="F25" s="1"/>
      <c r="G25" s="1"/>
      <c r="H25" s="1"/>
      <c r="I25" s="1"/>
      <c r="J25" s="1"/>
      <c r="K25" s="1"/>
    </row>
    <row r="26" spans="1:12" x14ac:dyDescent="0.2">
      <c r="A26" s="36" t="s">
        <v>247</v>
      </c>
      <c r="B26" s="1"/>
      <c r="C26" s="1"/>
      <c r="D26" s="1"/>
      <c r="E26" s="1"/>
      <c r="F26" s="1"/>
      <c r="G26" s="1"/>
      <c r="H26" s="1"/>
      <c r="I26" s="1"/>
      <c r="J26" s="1"/>
      <c r="K26" s="1"/>
    </row>
    <row r="27" spans="1:12" x14ac:dyDescent="0.2">
      <c r="A27" s="36" t="s">
        <v>261</v>
      </c>
      <c r="B27" s="38"/>
      <c r="C27" s="23"/>
      <c r="D27" s="23" t="s">
        <v>123</v>
      </c>
      <c r="E27" s="23" t="s">
        <v>124</v>
      </c>
      <c r="F27" s="23" t="s">
        <v>125</v>
      </c>
      <c r="G27" s="23" t="s">
        <v>125</v>
      </c>
      <c r="H27" s="23" t="s">
        <v>126</v>
      </c>
      <c r="I27" s="23"/>
      <c r="J27" s="23" t="s">
        <v>127</v>
      </c>
      <c r="K27" s="37"/>
    </row>
    <row r="28" spans="1:12" x14ac:dyDescent="0.2">
      <c r="A28" s="155" t="s">
        <v>245</v>
      </c>
      <c r="B28" s="144" t="s">
        <v>128</v>
      </c>
      <c r="C28" s="144" t="s">
        <v>94</v>
      </c>
      <c r="D28" s="144" t="s">
        <v>129</v>
      </c>
      <c r="E28" s="144" t="s">
        <v>130</v>
      </c>
      <c r="F28" s="144" t="s">
        <v>130</v>
      </c>
      <c r="G28" s="144" t="s">
        <v>131</v>
      </c>
      <c r="H28" s="144" t="s">
        <v>132</v>
      </c>
      <c r="I28" s="144" t="s">
        <v>93</v>
      </c>
      <c r="J28" s="144" t="s">
        <v>133</v>
      </c>
      <c r="K28" s="165" t="s">
        <v>113</v>
      </c>
    </row>
    <row r="29" spans="1:12" x14ac:dyDescent="0.2">
      <c r="A29" s="1" t="s">
        <v>102</v>
      </c>
      <c r="B29" s="6">
        <v>40796</v>
      </c>
      <c r="C29" s="6">
        <v>2979.7013986665361</v>
      </c>
      <c r="D29" s="6">
        <v>492.49678988136088</v>
      </c>
      <c r="E29" s="6">
        <v>133.6328725855476</v>
      </c>
      <c r="F29" s="6">
        <v>284.56780713795467</v>
      </c>
      <c r="G29" s="6">
        <v>450.26477718403771</v>
      </c>
      <c r="H29" s="6">
        <v>169.70148347877242</v>
      </c>
      <c r="I29" s="6">
        <v>167.07407025198549</v>
      </c>
      <c r="J29" s="6">
        <v>240.72968722423767</v>
      </c>
      <c r="K29" s="6">
        <v>4918.1688864104317</v>
      </c>
    </row>
    <row r="30" spans="1:12" x14ac:dyDescent="0.2">
      <c r="A30" s="1" t="s">
        <v>76</v>
      </c>
      <c r="B30" s="6">
        <v>24993</v>
      </c>
      <c r="C30" s="6">
        <v>2943.7317284839755</v>
      </c>
      <c r="D30" s="6">
        <v>413.97840955467535</v>
      </c>
      <c r="E30" s="6">
        <v>209.01835233865481</v>
      </c>
      <c r="F30" s="6">
        <v>303.4005077421678</v>
      </c>
      <c r="G30" s="6">
        <v>473.70789701116314</v>
      </c>
      <c r="H30" s="6">
        <v>218.35237506501821</v>
      </c>
      <c r="I30" s="6">
        <v>247.90898411555236</v>
      </c>
      <c r="J30" s="6">
        <v>290.4202412675549</v>
      </c>
      <c r="K30" s="6">
        <v>5100.5184955787618</v>
      </c>
    </row>
    <row r="31" spans="1:12" x14ac:dyDescent="0.2">
      <c r="A31" s="1" t="s">
        <v>77</v>
      </c>
      <c r="B31" s="6">
        <v>12810</v>
      </c>
      <c r="C31" s="6">
        <v>3257.9931701795472</v>
      </c>
      <c r="D31" s="6">
        <v>381.49117096018739</v>
      </c>
      <c r="E31" s="6">
        <v>295.31919906323185</v>
      </c>
      <c r="F31" s="6">
        <v>291.36134972677598</v>
      </c>
      <c r="G31" s="6">
        <v>483.62125292740046</v>
      </c>
      <c r="H31" s="6">
        <v>272.50309758001561</v>
      </c>
      <c r="I31" s="6">
        <v>329.88484387197497</v>
      </c>
      <c r="J31" s="6">
        <v>160.33592427790788</v>
      </c>
      <c r="K31" s="6">
        <v>5472.5100085870408</v>
      </c>
    </row>
    <row r="32" spans="1:12" x14ac:dyDescent="0.2">
      <c r="A32" s="1" t="s">
        <v>78</v>
      </c>
      <c r="B32" s="6">
        <v>15459</v>
      </c>
      <c r="C32" s="6">
        <v>3029.4557002393431</v>
      </c>
      <c r="D32" s="6">
        <v>255.03123746684778</v>
      </c>
      <c r="E32" s="6">
        <v>385.49162947150523</v>
      </c>
      <c r="F32" s="6">
        <v>228.0261912154732</v>
      </c>
      <c r="G32" s="6">
        <v>476.91534381266575</v>
      </c>
      <c r="H32" s="6">
        <v>262.70871078336245</v>
      </c>
      <c r="I32" s="6">
        <v>376.03371563490521</v>
      </c>
      <c r="J32" s="6">
        <v>252.94082152791256</v>
      </c>
      <c r="K32" s="6">
        <v>5266.6033501520142</v>
      </c>
    </row>
    <row r="33" spans="1:11" x14ac:dyDescent="0.2">
      <c r="A33" s="1" t="s">
        <v>79</v>
      </c>
      <c r="B33" s="6">
        <v>6391</v>
      </c>
      <c r="C33" s="6">
        <v>3400.8176983257708</v>
      </c>
      <c r="D33" s="6">
        <v>193.30113597246128</v>
      </c>
      <c r="E33" s="6">
        <v>574.45801439524325</v>
      </c>
      <c r="F33" s="6">
        <v>195.88886559223909</v>
      </c>
      <c r="G33" s="6">
        <v>594.98452824284152</v>
      </c>
      <c r="H33" s="6">
        <v>467.64295258957907</v>
      </c>
      <c r="I33" s="6">
        <v>430.02462681896418</v>
      </c>
      <c r="J33" s="6">
        <v>231.13811453606633</v>
      </c>
      <c r="K33" s="6">
        <v>6088.2559364731651</v>
      </c>
    </row>
    <row r="34" spans="1:11" x14ac:dyDescent="0.2">
      <c r="A34" s="14" t="s">
        <v>80</v>
      </c>
      <c r="B34" s="7">
        <v>1696</v>
      </c>
      <c r="C34" s="7">
        <v>3271.3422287735848</v>
      </c>
      <c r="D34" s="7">
        <v>106.36146816037736</v>
      </c>
      <c r="E34" s="7">
        <v>438.76571933962265</v>
      </c>
      <c r="F34" s="7">
        <v>48.354233490566038</v>
      </c>
      <c r="G34" s="7">
        <v>654.04838443396227</v>
      </c>
      <c r="H34" s="7">
        <v>495.49624410377356</v>
      </c>
      <c r="I34" s="7">
        <v>98.330023584905661</v>
      </c>
      <c r="J34" s="7">
        <v>96.831969339622631</v>
      </c>
      <c r="K34" s="7">
        <v>5209.5302712264165</v>
      </c>
    </row>
    <row r="35" spans="1:11" x14ac:dyDescent="0.2">
      <c r="A35" s="1" t="s">
        <v>134</v>
      </c>
      <c r="B35" s="6">
        <v>102145</v>
      </c>
      <c r="C35" s="6">
        <v>3044.5215709041076</v>
      </c>
      <c r="D35" s="6">
        <v>398.29328738557928</v>
      </c>
      <c r="E35" s="6">
        <v>243.12050731802833</v>
      </c>
      <c r="F35" s="6">
        <v>272.00007293553284</v>
      </c>
      <c r="G35" s="6">
        <v>476.65591120466001</v>
      </c>
      <c r="H35" s="6">
        <v>232.62488628909881</v>
      </c>
      <c r="I35" s="6">
        <v>254.20655127514806</v>
      </c>
      <c r="J35" s="6">
        <v>241.66456968035638</v>
      </c>
      <c r="K35" s="6">
        <v>5163.0873569925097</v>
      </c>
    </row>
    <row r="36" spans="1:11" x14ac:dyDescent="0.2">
      <c r="A36" s="1"/>
      <c r="B36" s="6"/>
      <c r="C36" s="6"/>
      <c r="D36" s="6"/>
      <c r="E36" s="6"/>
      <c r="F36" s="6"/>
      <c r="G36" s="6"/>
      <c r="H36" s="6"/>
      <c r="I36" s="6"/>
      <c r="J36" s="6"/>
      <c r="K36" s="6"/>
    </row>
    <row r="37" spans="1:11" x14ac:dyDescent="0.2">
      <c r="A37" s="1" t="s">
        <v>81</v>
      </c>
      <c r="B37" s="6">
        <v>21977</v>
      </c>
      <c r="C37" s="6">
        <v>3279.2998084360925</v>
      </c>
      <c r="D37" s="6">
        <v>511.95929699231016</v>
      </c>
      <c r="E37" s="6">
        <v>264.52795331482912</v>
      </c>
      <c r="F37" s="6">
        <v>274.84670382672795</v>
      </c>
      <c r="G37" s="6">
        <v>609.87544978841515</v>
      </c>
      <c r="H37" s="6">
        <v>190.72217227101061</v>
      </c>
      <c r="I37" s="6">
        <v>427.64114255812899</v>
      </c>
      <c r="J37" s="6">
        <v>345.92098876097742</v>
      </c>
      <c r="K37" s="6">
        <v>5904.7935159484923</v>
      </c>
    </row>
    <row r="38" spans="1:11" x14ac:dyDescent="0.2">
      <c r="A38" s="1" t="s">
        <v>82</v>
      </c>
      <c r="B38" s="6">
        <v>10144</v>
      </c>
      <c r="C38" s="6">
        <v>2996.8316246056784</v>
      </c>
      <c r="D38" s="6">
        <v>436.34329751577286</v>
      </c>
      <c r="E38" s="6">
        <v>254.46905362776025</v>
      </c>
      <c r="F38" s="6">
        <v>388.43854495268141</v>
      </c>
      <c r="G38" s="6">
        <v>684.68695879337542</v>
      </c>
      <c r="H38" s="6">
        <v>371.14476439274449</v>
      </c>
      <c r="I38" s="6">
        <v>495.04595820189274</v>
      </c>
      <c r="J38" s="6">
        <v>243.47442527602522</v>
      </c>
      <c r="K38" s="6">
        <v>5870.4346273659303</v>
      </c>
    </row>
    <row r="39" spans="1:11" x14ac:dyDescent="0.2">
      <c r="A39" s="1" t="s">
        <v>83</v>
      </c>
      <c r="B39" s="6">
        <v>5772</v>
      </c>
      <c r="C39" s="6">
        <v>3272.2851541926543</v>
      </c>
      <c r="D39" s="6">
        <v>416.26572765072763</v>
      </c>
      <c r="E39" s="6">
        <v>424.28284996534995</v>
      </c>
      <c r="F39" s="6">
        <v>391.25142065142069</v>
      </c>
      <c r="G39" s="6">
        <v>756.18757623007627</v>
      </c>
      <c r="H39" s="6">
        <v>430.8146534996535</v>
      </c>
      <c r="I39" s="6">
        <v>695.28680180180174</v>
      </c>
      <c r="J39" s="6">
        <v>320.36823458073457</v>
      </c>
      <c r="K39" s="6">
        <v>6706.7424185724185</v>
      </c>
    </row>
    <row r="40" spans="1:11" x14ac:dyDescent="0.2">
      <c r="A40" s="1" t="s">
        <v>84</v>
      </c>
      <c r="B40" s="6">
        <v>5234</v>
      </c>
      <c r="C40" s="6">
        <v>3926.4766526557128</v>
      </c>
      <c r="D40" s="6">
        <v>390.55613106610622</v>
      </c>
      <c r="E40" s="6">
        <v>767.72211883836451</v>
      </c>
      <c r="F40" s="6">
        <v>423.52536492166598</v>
      </c>
      <c r="G40" s="6">
        <v>865.96549293083672</v>
      </c>
      <c r="H40" s="6">
        <v>691.27441918226975</v>
      </c>
      <c r="I40" s="6">
        <v>735.75449178448605</v>
      </c>
      <c r="J40" s="6">
        <v>289.73082537256397</v>
      </c>
      <c r="K40" s="6">
        <v>8091.0054967520064</v>
      </c>
    </row>
    <row r="41" spans="1:11" x14ac:dyDescent="0.2">
      <c r="A41" s="14" t="s">
        <v>85</v>
      </c>
      <c r="B41" s="7">
        <v>1591</v>
      </c>
      <c r="C41" s="7">
        <v>5472.5317976115648</v>
      </c>
      <c r="D41" s="7">
        <v>380.42121307353869</v>
      </c>
      <c r="E41" s="7">
        <v>1359.1616781898176</v>
      </c>
      <c r="F41" s="7">
        <v>266.77629792583281</v>
      </c>
      <c r="G41" s="7">
        <v>1407.8520238843494</v>
      </c>
      <c r="H41" s="7">
        <v>840.72881835323699</v>
      </c>
      <c r="I41" s="7">
        <v>1112.2270835952231</v>
      </c>
      <c r="J41" s="7">
        <v>324.04678818353239</v>
      </c>
      <c r="K41" s="7">
        <v>11163.745700817099</v>
      </c>
    </row>
    <row r="42" spans="1:11" x14ac:dyDescent="0.2">
      <c r="A42" s="1" t="s">
        <v>135</v>
      </c>
      <c r="B42" s="6">
        <v>44718</v>
      </c>
      <c r="C42" s="6">
        <v>3368.0987228856388</v>
      </c>
      <c r="D42" s="6">
        <v>463.56506552171379</v>
      </c>
      <c r="E42" s="6">
        <v>380.70820072454046</v>
      </c>
      <c r="F42" s="6">
        <v>332.75420770159661</v>
      </c>
      <c r="G42" s="6">
        <v>704.09606690818021</v>
      </c>
      <c r="H42" s="6">
        <v>344.35318462364148</v>
      </c>
      <c r="I42" s="6">
        <v>537.89756496265477</v>
      </c>
      <c r="J42" s="6">
        <v>312.02838163603025</v>
      </c>
      <c r="K42" s="6">
        <v>6443.5013949639979</v>
      </c>
    </row>
    <row r="43" spans="1:11" x14ac:dyDescent="0.2">
      <c r="A43" s="1"/>
      <c r="B43" s="6"/>
      <c r="C43" s="6"/>
      <c r="D43" s="6"/>
      <c r="E43" s="6"/>
      <c r="F43" s="6"/>
      <c r="G43" s="6"/>
      <c r="H43" s="6"/>
      <c r="I43" s="6"/>
      <c r="J43" s="6"/>
      <c r="K43" s="6"/>
    </row>
    <row r="44" spans="1:11" x14ac:dyDescent="0.2">
      <c r="A44" s="1" t="s">
        <v>86</v>
      </c>
      <c r="B44" s="6">
        <v>11672</v>
      </c>
      <c r="C44" s="6">
        <v>2841.4264110692257</v>
      </c>
      <c r="D44" s="6">
        <v>294.17345442083621</v>
      </c>
      <c r="E44" s="6">
        <v>242.40185743660041</v>
      </c>
      <c r="F44" s="6">
        <v>295.8821572995202</v>
      </c>
      <c r="G44" s="6">
        <v>527.3129240918438</v>
      </c>
      <c r="H44" s="6">
        <v>295.61622943797119</v>
      </c>
      <c r="I44" s="6">
        <v>352.72467957505143</v>
      </c>
      <c r="J44" s="6">
        <v>178.96771161754626</v>
      </c>
      <c r="K44" s="6">
        <v>5028.5054249485956</v>
      </c>
    </row>
    <row r="45" spans="1:11" x14ac:dyDescent="0.2">
      <c r="A45" s="14" t="s">
        <v>87</v>
      </c>
      <c r="B45" s="7">
        <v>6199</v>
      </c>
      <c r="C45" s="7">
        <v>3847.6909098241649</v>
      </c>
      <c r="D45" s="7">
        <v>303.47811421196968</v>
      </c>
      <c r="E45" s="7">
        <v>782.88796257460888</v>
      </c>
      <c r="F45" s="7">
        <v>225.61942732698824</v>
      </c>
      <c r="G45" s="7">
        <v>834.45902242297154</v>
      </c>
      <c r="H45" s="7">
        <v>516.89372640748502</v>
      </c>
      <c r="I45" s="7">
        <v>659.63853363445719</v>
      </c>
      <c r="J45" s="7">
        <v>219.98164542668172</v>
      </c>
      <c r="K45" s="7">
        <v>7390.6493418293294</v>
      </c>
    </row>
    <row r="46" spans="1:11" x14ac:dyDescent="0.2">
      <c r="A46" s="1" t="s">
        <v>136</v>
      </c>
      <c r="B46" s="6">
        <v>17871</v>
      </c>
      <c r="C46" s="6">
        <v>3190.4742331151024</v>
      </c>
      <c r="D46" s="6">
        <v>297.40100665883278</v>
      </c>
      <c r="E46" s="6">
        <v>429.88288064461983</v>
      </c>
      <c r="F46" s="6">
        <v>271.50978512674163</v>
      </c>
      <c r="G46" s="6">
        <v>633.85417324156458</v>
      </c>
      <c r="H46" s="6">
        <v>372.37182250573557</v>
      </c>
      <c r="I46" s="6">
        <v>459.18536903362991</v>
      </c>
      <c r="J46" s="6">
        <v>193.19441273571707</v>
      </c>
      <c r="K46" s="6">
        <v>5847.8736830619446</v>
      </c>
    </row>
    <row r="47" spans="1:11" ht="13.5" thickBot="1" x14ac:dyDescent="0.25">
      <c r="A47" s="24"/>
      <c r="B47" s="25"/>
      <c r="C47" s="25"/>
      <c r="D47" s="25"/>
      <c r="E47" s="25"/>
      <c r="F47" s="25"/>
      <c r="G47" s="25"/>
      <c r="H47" s="25"/>
      <c r="I47" s="25"/>
      <c r="J47" s="25"/>
      <c r="K47" s="25"/>
    </row>
    <row r="48" spans="1:11" ht="13.5" thickBot="1" x14ac:dyDescent="0.25">
      <c r="A48" s="31" t="s">
        <v>137</v>
      </c>
      <c r="B48" s="39">
        <v>164734</v>
      </c>
      <c r="C48" s="39">
        <v>3148.1919917564078</v>
      </c>
      <c r="D48" s="39">
        <v>405.06649404494516</v>
      </c>
      <c r="E48" s="39">
        <v>300.7302105212039</v>
      </c>
      <c r="F48" s="39">
        <v>288.43894690834918</v>
      </c>
      <c r="G48" s="39">
        <v>555.44935411026268</v>
      </c>
      <c r="H48" s="39">
        <v>278.11448492721598</v>
      </c>
      <c r="I48" s="39">
        <v>353.45304078089526</v>
      </c>
      <c r="J48" s="39">
        <v>255.50699910158195</v>
      </c>
      <c r="K48" s="39">
        <v>5584.9515221508627</v>
      </c>
    </row>
    <row r="49" spans="1:11" ht="13.5" thickTop="1" x14ac:dyDescent="0.2">
      <c r="A49" s="1"/>
      <c r="B49" s="1"/>
      <c r="C49" s="1"/>
      <c r="D49" s="1"/>
      <c r="E49" s="1"/>
      <c r="F49" s="1"/>
      <c r="G49" s="1"/>
      <c r="H49" s="1"/>
      <c r="I49" s="1"/>
      <c r="J49" s="1"/>
      <c r="K49" s="1"/>
    </row>
    <row r="50" spans="1:11" x14ac:dyDescent="0.2">
      <c r="A50" s="36" t="s">
        <v>247</v>
      </c>
      <c r="B50" s="1"/>
      <c r="C50" s="1"/>
      <c r="D50" s="1"/>
      <c r="E50" s="1"/>
      <c r="F50" s="1"/>
      <c r="G50" s="1"/>
      <c r="H50" s="1"/>
      <c r="I50" s="1"/>
      <c r="J50" s="1"/>
      <c r="K50" s="1"/>
    </row>
    <row r="51" spans="1:11" x14ac:dyDescent="0.2">
      <c r="A51" s="22" t="s">
        <v>268</v>
      </c>
      <c r="B51" s="38"/>
      <c r="C51" s="23"/>
      <c r="D51" s="23" t="s">
        <v>123</v>
      </c>
      <c r="E51" s="23" t="s">
        <v>124</v>
      </c>
      <c r="F51" s="23" t="s">
        <v>125</v>
      </c>
      <c r="G51" s="23" t="s">
        <v>125</v>
      </c>
      <c r="H51" s="23" t="s">
        <v>126</v>
      </c>
      <c r="I51" s="23"/>
      <c r="J51" s="23" t="s">
        <v>127</v>
      </c>
      <c r="K51" s="1"/>
    </row>
    <row r="52" spans="1:11" x14ac:dyDescent="0.2">
      <c r="A52" s="155" t="s">
        <v>245</v>
      </c>
      <c r="B52" s="175"/>
      <c r="C52" s="144" t="s">
        <v>94</v>
      </c>
      <c r="D52" s="144" t="s">
        <v>129</v>
      </c>
      <c r="E52" s="144" t="s">
        <v>130</v>
      </c>
      <c r="F52" s="144" t="s">
        <v>130</v>
      </c>
      <c r="G52" s="144" t="s">
        <v>131</v>
      </c>
      <c r="H52" s="144" t="s">
        <v>132</v>
      </c>
      <c r="I52" s="144" t="s">
        <v>93</v>
      </c>
      <c r="J52" s="144" t="s">
        <v>133</v>
      </c>
      <c r="K52" s="1"/>
    </row>
    <row r="53" spans="1:11" x14ac:dyDescent="0.2">
      <c r="A53" s="1" t="s">
        <v>102</v>
      </c>
      <c r="B53" s="1"/>
      <c r="C53" s="28">
        <v>0.60585585153447163</v>
      </c>
      <c r="D53" s="28">
        <v>0.10013824275986057</v>
      </c>
      <c r="E53" s="28">
        <v>2.7171265499806925E-2</v>
      </c>
      <c r="F53" s="28">
        <v>5.7860519577571677E-2</v>
      </c>
      <c r="G53" s="28">
        <v>9.1551304475976911E-2</v>
      </c>
      <c r="H53" s="28">
        <v>3.4505013430441697E-2</v>
      </c>
      <c r="I53" s="28">
        <v>3.3970787524933078E-2</v>
      </c>
      <c r="J53" s="28">
        <v>4.894701519693772E-2</v>
      </c>
      <c r="K53" s="1"/>
    </row>
    <row r="54" spans="1:11" x14ac:dyDescent="0.2">
      <c r="A54" s="1" t="s">
        <v>76</v>
      </c>
      <c r="B54" s="1"/>
      <c r="C54" s="28">
        <v>0.57714362393463825</v>
      </c>
      <c r="D54" s="28">
        <v>8.1163985566079344E-2</v>
      </c>
      <c r="E54" s="28">
        <v>4.0979824408015848E-2</v>
      </c>
      <c r="F54" s="28">
        <v>5.9484248122060893E-2</v>
      </c>
      <c r="G54" s="28">
        <v>9.2874459218564395E-2</v>
      </c>
      <c r="H54" s="28">
        <v>4.2809838892710748E-2</v>
      </c>
      <c r="I54" s="28">
        <v>4.8604663296573702E-2</v>
      </c>
      <c r="J54" s="28">
        <v>5.6939356561356923E-2</v>
      </c>
      <c r="K54" s="1"/>
    </row>
    <row r="55" spans="1:11" x14ac:dyDescent="0.2">
      <c r="A55" s="1" t="s">
        <v>77</v>
      </c>
      <c r="B55" s="1"/>
      <c r="C55" s="28">
        <v>0.59533800122199054</v>
      </c>
      <c r="D55" s="28">
        <v>6.971045651110383E-2</v>
      </c>
      <c r="E55" s="28">
        <v>5.3964122240039714E-2</v>
      </c>
      <c r="F55" s="28">
        <v>5.3240898466991239E-2</v>
      </c>
      <c r="G55" s="28">
        <v>8.8372840281431969E-2</v>
      </c>
      <c r="H55" s="28">
        <v>4.9794901636072801E-2</v>
      </c>
      <c r="I55" s="28">
        <v>6.0280354600420118E-2</v>
      </c>
      <c r="J55" s="28">
        <v>2.9298425041949874E-2</v>
      </c>
      <c r="K55" s="1"/>
    </row>
    <row r="56" spans="1:11" x14ac:dyDescent="0.2">
      <c r="A56" s="1" t="s">
        <v>78</v>
      </c>
      <c r="B56" s="1"/>
      <c r="C56" s="28">
        <v>0.57522002300627051</v>
      </c>
      <c r="D56" s="28">
        <v>4.8424234845687898E-2</v>
      </c>
      <c r="E56" s="28">
        <v>7.3195493156016478E-2</v>
      </c>
      <c r="F56" s="28">
        <v>4.3296632773548727E-2</v>
      </c>
      <c r="G56" s="28">
        <v>9.0554634952506943E-2</v>
      </c>
      <c r="H56" s="28">
        <v>4.9882000469197982E-2</v>
      </c>
      <c r="I56" s="28">
        <v>7.1399665141680252E-2</v>
      </c>
      <c r="J56" s="28">
        <v>4.8027315655091385E-2</v>
      </c>
      <c r="K56" s="1"/>
    </row>
    <row r="57" spans="1:11" x14ac:dyDescent="0.2">
      <c r="A57" s="1" t="s">
        <v>79</v>
      </c>
      <c r="B57" s="1"/>
      <c r="C57" s="28">
        <v>0.55858652031238576</v>
      </c>
      <c r="D57" s="28">
        <v>3.1749837390120911E-2</v>
      </c>
      <c r="E57" s="28">
        <v>9.4355102740312544E-2</v>
      </c>
      <c r="F57" s="28">
        <v>3.2174873664347715E-2</v>
      </c>
      <c r="G57" s="28">
        <v>9.7726595999101037E-2</v>
      </c>
      <c r="H57" s="28">
        <v>7.6810659320028118E-2</v>
      </c>
      <c r="I57" s="28">
        <v>7.063182482897902E-2</v>
      </c>
      <c r="J57" s="28">
        <v>3.7964585744724978E-2</v>
      </c>
      <c r="K57" s="1"/>
    </row>
    <row r="58" spans="1:11" x14ac:dyDescent="0.2">
      <c r="A58" s="14" t="s">
        <v>80</v>
      </c>
      <c r="B58" s="14"/>
      <c r="C58" s="29">
        <v>0.62795339665114425</v>
      </c>
      <c r="D58" s="29">
        <v>2.0416709880320547E-2</v>
      </c>
      <c r="E58" s="29">
        <v>8.4223662498524907E-2</v>
      </c>
      <c r="F58" s="29">
        <v>9.2818797421408573E-3</v>
      </c>
      <c r="G58" s="29">
        <v>0.12554843726438075</v>
      </c>
      <c r="H58" s="29">
        <v>9.5113420655318484E-2</v>
      </c>
      <c r="I58" s="29">
        <v>1.8875026819213974E-2</v>
      </c>
      <c r="J58" s="29">
        <v>1.8587466488955953E-2</v>
      </c>
      <c r="K58" s="1"/>
    </row>
    <row r="59" spans="1:11" x14ac:dyDescent="0.2">
      <c r="A59" s="1" t="s">
        <v>108</v>
      </c>
      <c r="B59" s="1"/>
      <c r="C59" s="28">
        <v>0.58967074550478582</v>
      </c>
      <c r="D59" s="28">
        <v>7.7142465320901424E-2</v>
      </c>
      <c r="E59" s="28">
        <v>4.7088203338020926E-2</v>
      </c>
      <c r="F59" s="28">
        <v>5.2681671668242398E-2</v>
      </c>
      <c r="G59" s="28">
        <v>9.2319939262525158E-2</v>
      </c>
      <c r="H59" s="28">
        <v>4.5055384541198708E-2</v>
      </c>
      <c r="I59" s="28">
        <v>4.9235376761710067E-2</v>
      </c>
      <c r="J59" s="28">
        <v>4.6806213602615783E-2</v>
      </c>
      <c r="K59" s="1"/>
    </row>
    <row r="60" spans="1:11" x14ac:dyDescent="0.2">
      <c r="A60" s="1"/>
      <c r="B60" s="1"/>
      <c r="C60" s="28"/>
      <c r="D60" s="28"/>
      <c r="E60" s="28"/>
      <c r="F60" s="28"/>
      <c r="G60" s="28"/>
      <c r="H60" s="28"/>
      <c r="I60" s="28"/>
      <c r="J60" s="28"/>
      <c r="K60" s="1"/>
    </row>
    <row r="61" spans="1:11" x14ac:dyDescent="0.2">
      <c r="A61" s="1" t="s">
        <v>81</v>
      </c>
      <c r="B61" s="1"/>
      <c r="C61" s="28">
        <v>0.55536231700209349</v>
      </c>
      <c r="D61" s="28">
        <v>8.6702320006540254E-2</v>
      </c>
      <c r="E61" s="28">
        <v>4.4798849036863868E-2</v>
      </c>
      <c r="F61" s="28">
        <v>4.6546370010125418E-2</v>
      </c>
      <c r="G61" s="28">
        <v>0.10328480549593787</v>
      </c>
      <c r="H61" s="28">
        <v>3.2299549807437211E-2</v>
      </c>
      <c r="I61" s="28">
        <v>7.2422709008045066E-2</v>
      </c>
      <c r="J61" s="28">
        <v>5.8583079632956787E-2</v>
      </c>
      <c r="K61" s="1"/>
    </row>
    <row r="62" spans="1:11" x14ac:dyDescent="0.2">
      <c r="A62" s="1" t="s">
        <v>82</v>
      </c>
      <c r="B62" s="1"/>
      <c r="C62" s="28">
        <v>0.51049569833134478</v>
      </c>
      <c r="D62" s="28">
        <v>7.4328959474600359E-2</v>
      </c>
      <c r="E62" s="28">
        <v>4.334756619918971E-2</v>
      </c>
      <c r="F62" s="28">
        <v>6.6168617761607568E-2</v>
      </c>
      <c r="G62" s="28">
        <v>0.11663309486517442</v>
      </c>
      <c r="H62" s="28">
        <v>6.3222706315916768E-2</v>
      </c>
      <c r="I62" s="28">
        <v>8.4328672342957392E-2</v>
      </c>
      <c r="J62" s="28">
        <v>4.1474684709209071E-2</v>
      </c>
      <c r="K62" s="1"/>
    </row>
    <row r="63" spans="1:11" x14ac:dyDescent="0.2">
      <c r="A63" s="1" t="s">
        <v>83</v>
      </c>
      <c r="B63" s="1"/>
      <c r="C63" s="28">
        <v>0.48790977049170547</v>
      </c>
      <c r="D63" s="28">
        <v>6.2066753376124585E-2</v>
      </c>
      <c r="E63" s="28">
        <v>6.32621358456259E-2</v>
      </c>
      <c r="F63" s="28">
        <v>5.8337028058206168E-2</v>
      </c>
      <c r="G63" s="28">
        <v>0.11275035315744787</v>
      </c>
      <c r="H63" s="28">
        <v>6.4236051813565204E-2</v>
      </c>
      <c r="I63" s="28">
        <v>0.10366982335215416</v>
      </c>
      <c r="J63" s="28">
        <v>4.776808390517067E-2</v>
      </c>
      <c r="K63" s="1"/>
    </row>
    <row r="64" spans="1:11" x14ac:dyDescent="0.2">
      <c r="A64" s="1" t="s">
        <v>84</v>
      </c>
      <c r="B64" s="1"/>
      <c r="C64" s="28">
        <v>0.48528908480310989</v>
      </c>
      <c r="D64" s="28">
        <v>4.8270407333536998E-2</v>
      </c>
      <c r="E64" s="28">
        <v>9.4885872855549683E-2</v>
      </c>
      <c r="F64" s="28">
        <v>5.2345207909163194E-2</v>
      </c>
      <c r="G64" s="28">
        <v>0.10702816767068858</v>
      </c>
      <c r="H64" s="28">
        <v>8.5437393344964335E-2</v>
      </c>
      <c r="I64" s="28">
        <v>9.0934864903977869E-2</v>
      </c>
      <c r="J64" s="28">
        <v>3.5809001179009377E-2</v>
      </c>
      <c r="K64" s="1"/>
    </row>
    <row r="65" spans="1:11" x14ac:dyDescent="0.2">
      <c r="A65" s="14" t="s">
        <v>85</v>
      </c>
      <c r="B65" s="14"/>
      <c r="C65" s="29">
        <v>0.4902057019456309</v>
      </c>
      <c r="D65" s="29">
        <v>3.4076485013958609E-2</v>
      </c>
      <c r="E65" s="29">
        <v>0.1217478178574363</v>
      </c>
      <c r="F65" s="29">
        <v>2.3896665606267516E-2</v>
      </c>
      <c r="G65" s="29">
        <v>0.12610928819180336</v>
      </c>
      <c r="H65" s="29">
        <v>7.5308847127510459E-2</v>
      </c>
      <c r="I65" s="29">
        <v>9.9628486119476625E-2</v>
      </c>
      <c r="J65" s="29">
        <v>2.9026708137915996E-2</v>
      </c>
      <c r="K65" s="1"/>
    </row>
    <row r="66" spans="1:11" x14ac:dyDescent="0.2">
      <c r="A66" s="1" t="s">
        <v>109</v>
      </c>
      <c r="B66" s="1"/>
      <c r="C66" s="28">
        <v>0.52271249999542491</v>
      </c>
      <c r="D66" s="28">
        <v>7.1943037970631785E-2</v>
      </c>
      <c r="E66" s="28">
        <v>5.9084056538280243E-2</v>
      </c>
      <c r="F66" s="28">
        <v>5.1641830629797797E-2</v>
      </c>
      <c r="G66" s="28">
        <v>0.10927227663184423</v>
      </c>
      <c r="H66" s="28">
        <v>5.3441935295113797E-2</v>
      </c>
      <c r="I66" s="28">
        <v>8.3479079461836636E-2</v>
      </c>
      <c r="J66" s="28">
        <v>4.842528347707041E-2</v>
      </c>
      <c r="K66" s="1"/>
    </row>
    <row r="67" spans="1:11" x14ac:dyDescent="0.2">
      <c r="A67" s="1"/>
      <c r="B67" s="1"/>
      <c r="C67" s="28"/>
      <c r="D67" s="28"/>
      <c r="E67" s="28"/>
      <c r="F67" s="28"/>
      <c r="G67" s="28"/>
      <c r="H67" s="28"/>
      <c r="I67" s="28"/>
      <c r="J67" s="28"/>
      <c r="K67" s="1"/>
    </row>
    <row r="68" spans="1:11" x14ac:dyDescent="0.2">
      <c r="A68" s="1" t="s">
        <v>86</v>
      </c>
      <c r="B68" s="1"/>
      <c r="C68" s="28">
        <v>0.56506380543444923</v>
      </c>
      <c r="D68" s="28">
        <v>5.8501170737793012E-2</v>
      </c>
      <c r="E68" s="28">
        <v>4.8205547563683573E-2</v>
      </c>
      <c r="F68" s="28">
        <v>5.8840974065876621E-2</v>
      </c>
      <c r="G68" s="28">
        <v>0.10486474201173489</v>
      </c>
      <c r="H68" s="28">
        <v>5.8788089990176984E-2</v>
      </c>
      <c r="I68" s="28">
        <v>7.0145033119588848E-2</v>
      </c>
      <c r="J68" s="28">
        <v>3.5590637076696754E-2</v>
      </c>
      <c r="K68" s="1"/>
    </row>
    <row r="69" spans="1:11" x14ac:dyDescent="0.2">
      <c r="A69" s="14" t="s">
        <v>87</v>
      </c>
      <c r="B69" s="14"/>
      <c r="C69" s="29">
        <v>0.52061608281793903</v>
      </c>
      <c r="D69" s="29">
        <v>4.1062442577860549E-2</v>
      </c>
      <c r="E69" s="29">
        <v>0.1059295234240986</v>
      </c>
      <c r="F69" s="29">
        <v>3.0527686660769521E-2</v>
      </c>
      <c r="G69" s="29">
        <v>0.11290740283132236</v>
      </c>
      <c r="H69" s="29">
        <v>6.9938878507195393E-2</v>
      </c>
      <c r="I69" s="29">
        <v>8.9253122848226465E-2</v>
      </c>
      <c r="J69" s="29">
        <v>2.976486033258777E-2</v>
      </c>
      <c r="K69" s="1"/>
    </row>
    <row r="70" spans="1:11" x14ac:dyDescent="0.2">
      <c r="A70" s="1" t="s">
        <v>110</v>
      </c>
      <c r="B70" s="1"/>
      <c r="C70" s="28">
        <v>0.54557851383762634</v>
      </c>
      <c r="D70" s="28">
        <v>5.0856263793836551E-2</v>
      </c>
      <c r="E70" s="28">
        <v>7.3510972353892104E-2</v>
      </c>
      <c r="F70" s="28">
        <v>4.6428804697535672E-2</v>
      </c>
      <c r="G70" s="28">
        <v>0.10839053775690975</v>
      </c>
      <c r="H70" s="28">
        <v>6.3676447660675498E-2</v>
      </c>
      <c r="I70" s="28">
        <v>7.8521766016190792E-2</v>
      </c>
      <c r="J70" s="28">
        <v>3.3036693883333086E-2</v>
      </c>
      <c r="K70" s="1"/>
    </row>
    <row r="71" spans="1:11" ht="13.5" thickBot="1" x14ac:dyDescent="0.25">
      <c r="A71" s="24"/>
      <c r="B71" s="24"/>
      <c r="C71" s="30"/>
      <c r="D71" s="30"/>
      <c r="E71" s="30"/>
      <c r="F71" s="30"/>
      <c r="G71" s="30"/>
      <c r="H71" s="30"/>
      <c r="I71" s="30"/>
      <c r="J71" s="30"/>
      <c r="K71" s="1"/>
    </row>
    <row r="72" spans="1:11" ht="13.5" thickBot="1" x14ac:dyDescent="0.25">
      <c r="A72" s="31" t="s">
        <v>111</v>
      </c>
      <c r="B72" s="31"/>
      <c r="C72" s="32">
        <v>0.56369191017507414</v>
      </c>
      <c r="D72" s="32">
        <v>7.2528202337725389E-2</v>
      </c>
      <c r="E72" s="32">
        <v>5.3846521196908692E-2</v>
      </c>
      <c r="F72" s="32">
        <v>5.1645738689825957E-2</v>
      </c>
      <c r="G72" s="32">
        <v>9.9454641979837527E-2</v>
      </c>
      <c r="H72" s="32">
        <v>4.9797117096570469E-2</v>
      </c>
      <c r="I72" s="32">
        <v>6.3286680176012397E-2</v>
      </c>
      <c r="J72" s="32">
        <v>4.5749188348045269E-2</v>
      </c>
      <c r="K72" s="1"/>
    </row>
    <row r="73" spans="1:11" ht="13.5" thickTop="1" x14ac:dyDescent="0.2"/>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82"/>
  <sheetViews>
    <sheetView zoomScaleNormal="100" workbookViewId="0">
      <selection activeCell="H25" sqref="H25"/>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8.85546875"/>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6" x14ac:dyDescent="0.2">
      <c r="A1" s="36" t="s">
        <v>200</v>
      </c>
      <c r="B1" s="36"/>
      <c r="C1" s="22"/>
      <c r="D1" s="22"/>
      <c r="E1" s="22"/>
      <c r="F1" s="22"/>
      <c r="G1" s="22"/>
      <c r="H1" s="22"/>
      <c r="I1" s="22"/>
    </row>
    <row r="2" spans="1:26" x14ac:dyDescent="0.2">
      <c r="A2" s="36" t="s">
        <v>8</v>
      </c>
      <c r="B2" s="239"/>
      <c r="C2" s="22" t="s">
        <v>1343</v>
      </c>
      <c r="D2" s="22"/>
      <c r="E2" s="22"/>
      <c r="F2" s="22"/>
      <c r="G2" s="22"/>
      <c r="H2" s="22"/>
      <c r="I2" s="22"/>
    </row>
    <row r="3" spans="1:26" ht="22.5" x14ac:dyDescent="0.2">
      <c r="A3" s="20" t="s">
        <v>245</v>
      </c>
      <c r="B3" s="21" t="str">
        <f>"ANB"&amp;RIGHT(C2,2)</f>
        <v>ANB19</v>
      </c>
      <c r="C3" s="202" t="str">
        <f>RIGHT(C2,2)&amp;"/Pupil Property Tax"</f>
        <v>19/Pupil Property Tax</v>
      </c>
      <c r="D3" s="202" t="str">
        <f>RIGHT(C2,2)&amp;"/Pupil Non Levy Revenue"</f>
        <v>19/Pupil Non Levy Revenue</v>
      </c>
      <c r="E3" s="202" t="str">
        <f>RIGHT(C2,2)&amp;"/Pupil County Revenue"</f>
        <v>19/Pupil County Revenue</v>
      </c>
      <c r="F3" s="202" t="str">
        <f>RIGHT(C2,2)&amp;"/Pupil State Revenue"</f>
        <v>19/Pupil State Revenue</v>
      </c>
      <c r="G3" s="202" t="str">
        <f>RIGHT(C2,2)&amp;"/Pupil Federal Revenue"</f>
        <v>19/Pupil Federal Revenue</v>
      </c>
      <c r="H3" s="202" t="str">
        <f>RIGHT(C2,2)&amp;"/Pupil Total Revenue"</f>
        <v>19/Pupil Total Revenue</v>
      </c>
      <c r="I3" s="202" t="str">
        <f>RIGHT(C2,2)&amp;"/Rev Per ANB"</f>
        <v>19/Rev Per ANB</v>
      </c>
      <c r="J3" s="202"/>
      <c r="L3" s="287"/>
      <c r="M3" s="278"/>
      <c r="N3" s="290"/>
      <c r="O3" s="290"/>
      <c r="P3" s="290"/>
      <c r="Q3" s="290"/>
      <c r="R3" s="290"/>
      <c r="S3" s="290"/>
      <c r="T3" s="290"/>
    </row>
    <row r="4" spans="1:26" ht="15" x14ac:dyDescent="0.25">
      <c r="A4" s="33" t="s">
        <v>102</v>
      </c>
      <c r="B4" s="214">
        <v>41234</v>
      </c>
      <c r="C4" s="214">
        <v>153084232.49000001</v>
      </c>
      <c r="D4" s="214">
        <v>11533338.350000001</v>
      </c>
      <c r="E4" s="214">
        <v>42586045.390000001</v>
      </c>
      <c r="F4" s="214">
        <v>205450150.77000004</v>
      </c>
      <c r="G4" s="214">
        <v>44877321.129999995</v>
      </c>
      <c r="H4" s="229">
        <f t="shared" ref="H4:H9" si="0">SUM(C4:G4)</f>
        <v>457531088.13000005</v>
      </c>
      <c r="I4" s="321">
        <f t="shared" ref="I4:I10" si="1">H4/B4</f>
        <v>11095.966632633264</v>
      </c>
      <c r="J4" s="221"/>
      <c r="L4" s="283"/>
      <c r="M4" s="289"/>
      <c r="N4" s="289"/>
      <c r="O4" s="289"/>
      <c r="P4" s="289"/>
      <c r="Q4" s="289"/>
      <c r="R4" s="289"/>
      <c r="S4" s="289"/>
      <c r="T4" s="289"/>
      <c r="U4" s="268"/>
      <c r="V4" s="268"/>
      <c r="W4" s="268"/>
      <c r="X4" s="268"/>
      <c r="Y4" s="268"/>
      <c r="Z4" s="268"/>
    </row>
    <row r="5" spans="1:26" ht="15" x14ac:dyDescent="0.25">
      <c r="A5" s="33" t="s">
        <v>76</v>
      </c>
      <c r="B5" s="214">
        <v>18111</v>
      </c>
      <c r="C5" s="214">
        <v>59673584.469999991</v>
      </c>
      <c r="D5" s="214">
        <v>6316517.6300000008</v>
      </c>
      <c r="E5" s="214">
        <v>18598680.309999999</v>
      </c>
      <c r="F5" s="214">
        <v>95550127.530000016</v>
      </c>
      <c r="G5" s="214">
        <v>45245106.100000001</v>
      </c>
      <c r="H5" s="229">
        <f t="shared" si="0"/>
        <v>225384016.03999999</v>
      </c>
      <c r="I5" s="321">
        <f t="shared" si="1"/>
        <v>12444.592570261168</v>
      </c>
      <c r="J5" s="221"/>
      <c r="L5" s="283"/>
      <c r="M5" s="289"/>
      <c r="N5" s="289"/>
      <c r="O5" s="289"/>
      <c r="P5" s="289"/>
      <c r="Q5" s="289"/>
      <c r="R5" s="289"/>
      <c r="S5" s="289"/>
      <c r="T5" s="289"/>
      <c r="U5" s="268"/>
      <c r="V5" s="268"/>
      <c r="W5" s="268"/>
      <c r="X5" s="268"/>
      <c r="Y5" s="268"/>
      <c r="Z5" s="268"/>
    </row>
    <row r="6" spans="1:26" ht="15" x14ac:dyDescent="0.25">
      <c r="A6" s="33" t="s">
        <v>77</v>
      </c>
      <c r="B6" s="214">
        <v>15624</v>
      </c>
      <c r="C6" s="214">
        <v>41629128.659999996</v>
      </c>
      <c r="D6" s="214">
        <v>7499497.370000001</v>
      </c>
      <c r="E6" s="214">
        <v>16034831.6</v>
      </c>
      <c r="F6" s="214">
        <v>82646839.810000002</v>
      </c>
      <c r="G6" s="214">
        <v>39921068.980000004</v>
      </c>
      <c r="H6" s="229">
        <f t="shared" si="0"/>
        <v>187731366.42000002</v>
      </c>
      <c r="I6" s="321">
        <f t="shared" si="1"/>
        <v>12015.576447772659</v>
      </c>
      <c r="J6" s="221"/>
      <c r="L6" s="283"/>
      <c r="M6" s="289"/>
      <c r="N6" s="289"/>
      <c r="O6" s="289"/>
      <c r="P6" s="289"/>
      <c r="Q6" s="289"/>
      <c r="R6" s="289"/>
      <c r="S6" s="289"/>
      <c r="T6" s="289"/>
      <c r="U6" s="268"/>
      <c r="V6" s="268"/>
      <c r="W6" s="268"/>
      <c r="X6" s="268"/>
      <c r="Y6" s="268"/>
      <c r="Z6" s="268"/>
    </row>
    <row r="7" spans="1:26" ht="15" x14ac:dyDescent="0.25">
      <c r="A7" s="33" t="s">
        <v>78</v>
      </c>
      <c r="B7" s="214">
        <v>12187</v>
      </c>
      <c r="C7" s="214">
        <v>38773198.330000013</v>
      </c>
      <c r="D7" s="214">
        <v>8463115.7899999991</v>
      </c>
      <c r="E7" s="214">
        <v>12327449.310000001</v>
      </c>
      <c r="F7" s="214">
        <v>62999339.829999983</v>
      </c>
      <c r="G7" s="214">
        <v>20759279.929999992</v>
      </c>
      <c r="H7" s="229">
        <f t="shared" si="0"/>
        <v>143322383.19</v>
      </c>
      <c r="I7" s="321">
        <f t="shared" si="1"/>
        <v>11760.267759908098</v>
      </c>
      <c r="J7" s="221"/>
      <c r="L7" s="283"/>
      <c r="M7" s="289"/>
      <c r="N7" s="289"/>
      <c r="O7" s="289"/>
      <c r="P7" s="289"/>
      <c r="Q7" s="289"/>
      <c r="R7" s="289"/>
      <c r="S7" s="289"/>
      <c r="T7" s="289"/>
      <c r="U7" s="268"/>
      <c r="V7" s="268"/>
      <c r="W7" s="268"/>
      <c r="X7" s="268"/>
      <c r="Y7" s="268"/>
      <c r="Z7" s="268"/>
    </row>
    <row r="8" spans="1:26" ht="15" x14ac:dyDescent="0.25">
      <c r="A8" s="33" t="s">
        <v>79</v>
      </c>
      <c r="B8" s="214">
        <v>5057</v>
      </c>
      <c r="C8" s="214">
        <v>20122457.47000001</v>
      </c>
      <c r="D8" s="214">
        <v>6968381.0499999998</v>
      </c>
      <c r="E8" s="214">
        <v>6314651.8800000018</v>
      </c>
      <c r="F8" s="214">
        <v>27930261.250000011</v>
      </c>
      <c r="G8" s="214">
        <v>14522381.370000003</v>
      </c>
      <c r="H8" s="229">
        <f t="shared" si="0"/>
        <v>75858133.020000026</v>
      </c>
      <c r="I8" s="321">
        <f t="shared" si="1"/>
        <v>15000.619541229984</v>
      </c>
      <c r="J8" s="221"/>
      <c r="L8" s="283"/>
      <c r="M8" s="289"/>
      <c r="N8" s="289"/>
      <c r="O8" s="289"/>
      <c r="P8" s="289"/>
      <c r="Q8" s="289"/>
      <c r="R8" s="289"/>
      <c r="S8" s="289"/>
      <c r="T8" s="289"/>
      <c r="U8" s="268"/>
      <c r="V8" s="268"/>
      <c r="W8" s="268"/>
      <c r="X8" s="268"/>
      <c r="Y8" s="268"/>
      <c r="Z8" s="268"/>
    </row>
    <row r="9" spans="1:26" ht="15" x14ac:dyDescent="0.25">
      <c r="A9" s="33" t="s">
        <v>80</v>
      </c>
      <c r="B9" s="220">
        <v>1434</v>
      </c>
      <c r="C9" s="220">
        <v>7049506.3199999994</v>
      </c>
      <c r="D9" s="220">
        <v>1566644.89</v>
      </c>
      <c r="E9" s="220">
        <v>1788547.0999999999</v>
      </c>
      <c r="F9" s="220">
        <v>8574461.4700000007</v>
      </c>
      <c r="G9" s="220">
        <v>3409436.8499999992</v>
      </c>
      <c r="H9" s="238">
        <f t="shared" si="0"/>
        <v>22388596.629999999</v>
      </c>
      <c r="I9" s="322">
        <f t="shared" si="1"/>
        <v>15612.689421199442</v>
      </c>
      <c r="J9" s="221"/>
      <c r="L9" s="283"/>
      <c r="M9" s="289"/>
      <c r="N9" s="289"/>
      <c r="O9" s="289"/>
      <c r="P9" s="289"/>
      <c r="Q9" s="289"/>
      <c r="R9" s="289"/>
      <c r="S9" s="289"/>
      <c r="T9" s="289"/>
      <c r="U9" s="268"/>
      <c r="V9" s="268"/>
      <c r="W9" s="268"/>
      <c r="X9" s="268"/>
      <c r="Y9" s="268"/>
      <c r="Z9" s="268"/>
    </row>
    <row r="10" spans="1:26" x14ac:dyDescent="0.2">
      <c r="A10" s="33" t="s">
        <v>171</v>
      </c>
      <c r="B10" s="229">
        <f t="shared" ref="B10:H10" si="2">SUM(B4:B9)</f>
        <v>93647</v>
      </c>
      <c r="C10" s="229">
        <f t="shared" si="2"/>
        <v>320332107.74000007</v>
      </c>
      <c r="D10" s="229">
        <f t="shared" si="2"/>
        <v>42347495.079999998</v>
      </c>
      <c r="E10" s="229">
        <f t="shared" si="2"/>
        <v>97650205.589999989</v>
      </c>
      <c r="F10" s="229">
        <f t="shared" si="2"/>
        <v>483151180.66000009</v>
      </c>
      <c r="G10" s="229">
        <f t="shared" si="2"/>
        <v>168734594.35999998</v>
      </c>
      <c r="H10" s="229">
        <f t="shared" si="2"/>
        <v>1112215583.4300003</v>
      </c>
      <c r="I10" s="321">
        <f t="shared" si="1"/>
        <v>11876.681403889075</v>
      </c>
      <c r="J10" s="221"/>
      <c r="L10" s="287"/>
      <c r="M10" s="287"/>
      <c r="N10" s="287"/>
      <c r="O10" s="287"/>
      <c r="P10" s="287"/>
      <c r="Q10" s="287"/>
      <c r="R10" s="287"/>
      <c r="S10" s="287"/>
      <c r="T10" s="287"/>
      <c r="U10" s="268"/>
      <c r="V10" s="268"/>
      <c r="W10" s="268"/>
      <c r="X10" s="268"/>
      <c r="Y10" s="268"/>
      <c r="Z10" s="268"/>
    </row>
    <row r="11" spans="1:26" x14ac:dyDescent="0.2">
      <c r="A11" s="33"/>
      <c r="B11" s="229"/>
      <c r="C11" s="214"/>
      <c r="D11" s="214"/>
      <c r="E11" s="214"/>
      <c r="F11" s="214"/>
      <c r="G11" s="214"/>
      <c r="H11" s="214"/>
      <c r="I11" s="321"/>
      <c r="J11" s="221"/>
      <c r="L11" s="287"/>
      <c r="M11" s="287"/>
      <c r="N11" s="287"/>
      <c r="O11" s="287"/>
      <c r="P11" s="287"/>
      <c r="Q11" s="287"/>
      <c r="R11" s="287"/>
      <c r="S11" s="287"/>
      <c r="T11" s="287"/>
      <c r="U11" s="268"/>
      <c r="V11" s="268"/>
      <c r="W11" s="268"/>
      <c r="X11" s="268"/>
      <c r="Y11" s="268"/>
      <c r="Z11" s="268"/>
    </row>
    <row r="12" spans="1:26" x14ac:dyDescent="0.2">
      <c r="A12" s="33"/>
      <c r="B12" s="229"/>
      <c r="C12" s="214"/>
      <c r="D12" s="214"/>
      <c r="E12" s="214"/>
      <c r="F12" s="214"/>
      <c r="G12" s="214"/>
      <c r="H12" s="214"/>
      <c r="I12" s="321"/>
      <c r="J12" s="221"/>
      <c r="L12" s="287"/>
      <c r="M12" s="287"/>
      <c r="N12" s="287"/>
      <c r="O12" s="287"/>
      <c r="P12" s="287"/>
      <c r="Q12" s="287"/>
      <c r="R12" s="287"/>
      <c r="S12" s="287"/>
      <c r="T12" s="287"/>
      <c r="U12" s="268"/>
      <c r="V12" s="268"/>
      <c r="W12" s="268"/>
      <c r="X12" s="268"/>
      <c r="Y12" s="268"/>
      <c r="Z12" s="268"/>
    </row>
    <row r="13" spans="1:26" ht="15" x14ac:dyDescent="0.25">
      <c r="A13" s="33" t="s">
        <v>81</v>
      </c>
      <c r="B13" s="214">
        <v>20388</v>
      </c>
      <c r="C13" s="214">
        <v>93191137.120000005</v>
      </c>
      <c r="D13" s="214">
        <v>11078284.139999999</v>
      </c>
      <c r="E13" s="214">
        <v>23043562.060000002</v>
      </c>
      <c r="F13" s="214">
        <v>112317067.64</v>
      </c>
      <c r="G13" s="214">
        <v>13065142.800000001</v>
      </c>
      <c r="H13" s="229">
        <f>SUM(C13:G13)</f>
        <v>252695193.76000002</v>
      </c>
      <c r="I13" s="321">
        <f t="shared" ref="I13:I18" si="3">H13/B13</f>
        <v>12394.310072591721</v>
      </c>
      <c r="J13" s="221"/>
      <c r="L13" s="283"/>
      <c r="M13" s="289"/>
      <c r="N13" s="289"/>
      <c r="O13" s="289"/>
      <c r="P13" s="289"/>
      <c r="Q13" s="289"/>
      <c r="R13" s="289"/>
      <c r="S13" s="289"/>
      <c r="T13" s="289"/>
      <c r="U13" s="268"/>
      <c r="V13" s="268"/>
      <c r="W13" s="268"/>
      <c r="X13" s="268"/>
      <c r="Y13" s="268"/>
      <c r="Z13" s="268"/>
    </row>
    <row r="14" spans="1:26" ht="15" x14ac:dyDescent="0.25">
      <c r="A14" s="33" t="s">
        <v>82</v>
      </c>
      <c r="B14" s="214">
        <v>7161</v>
      </c>
      <c r="C14" s="214">
        <v>35157434.399999999</v>
      </c>
      <c r="D14" s="214">
        <v>5222436.6199999992</v>
      </c>
      <c r="E14" s="214">
        <v>8559791.379999999</v>
      </c>
      <c r="F14" s="214">
        <v>40041439.909999996</v>
      </c>
      <c r="G14" s="214">
        <v>12688797.02</v>
      </c>
      <c r="H14" s="229">
        <f>SUM(C14:G14)</f>
        <v>101669899.32999998</v>
      </c>
      <c r="I14" s="321">
        <f t="shared" si="3"/>
        <v>14197.723688032396</v>
      </c>
      <c r="J14" s="221"/>
      <c r="L14" s="283"/>
      <c r="M14" s="289"/>
      <c r="N14" s="289"/>
      <c r="O14" s="289"/>
      <c r="P14" s="289"/>
      <c r="Q14" s="289"/>
      <c r="R14" s="289"/>
      <c r="S14" s="289"/>
      <c r="T14" s="289"/>
      <c r="U14" s="268"/>
      <c r="V14" s="268"/>
      <c r="W14" s="268"/>
      <c r="X14" s="268"/>
      <c r="Y14" s="268"/>
      <c r="Z14" s="268"/>
    </row>
    <row r="15" spans="1:26" ht="15" x14ac:dyDescent="0.25">
      <c r="A15" s="33" t="s">
        <v>83</v>
      </c>
      <c r="B15" s="214">
        <v>4666</v>
      </c>
      <c r="C15" s="214">
        <v>18982912.819999997</v>
      </c>
      <c r="D15" s="214">
        <v>6348543.8900000006</v>
      </c>
      <c r="E15" s="214">
        <v>5804263.5599999996</v>
      </c>
      <c r="F15" s="214">
        <v>28958843.560000006</v>
      </c>
      <c r="G15" s="214">
        <v>6929303.7699999996</v>
      </c>
      <c r="H15" s="229">
        <f>SUM(C15:G15)</f>
        <v>67023867.599999994</v>
      </c>
      <c r="I15" s="321">
        <f t="shared" si="3"/>
        <v>14364.309387055293</v>
      </c>
      <c r="J15" s="221"/>
      <c r="L15" s="283"/>
      <c r="M15" s="289"/>
      <c r="N15" s="289"/>
      <c r="O15" s="289"/>
      <c r="P15" s="289"/>
      <c r="Q15" s="289"/>
      <c r="R15" s="289"/>
      <c r="S15" s="289"/>
      <c r="T15" s="289"/>
      <c r="U15" s="268"/>
      <c r="V15" s="268"/>
      <c r="W15" s="268"/>
      <c r="X15" s="268"/>
      <c r="Y15" s="268"/>
      <c r="Z15" s="268"/>
    </row>
    <row r="16" spans="1:26" ht="15" x14ac:dyDescent="0.25">
      <c r="A16" s="33" t="s">
        <v>84</v>
      </c>
      <c r="B16" s="214">
        <v>4303</v>
      </c>
      <c r="C16" s="214">
        <v>22843160.520000007</v>
      </c>
      <c r="D16" s="214">
        <v>5547588.5399999991</v>
      </c>
      <c r="E16" s="214">
        <v>6641451.9000000004</v>
      </c>
      <c r="F16" s="214">
        <v>31137323.669999998</v>
      </c>
      <c r="G16" s="214">
        <v>12238658.470000001</v>
      </c>
      <c r="H16" s="229">
        <f>SUM(C16:G16)</f>
        <v>78408183.100000009</v>
      </c>
      <c r="I16" s="321">
        <f t="shared" si="3"/>
        <v>18221.748338368583</v>
      </c>
      <c r="J16" s="221"/>
      <c r="L16" s="283"/>
      <c r="M16" s="289"/>
      <c r="N16" s="289"/>
      <c r="O16" s="289"/>
      <c r="P16" s="289"/>
      <c r="Q16" s="289"/>
      <c r="R16" s="289"/>
      <c r="S16" s="289"/>
      <c r="T16" s="289"/>
      <c r="U16" s="268"/>
      <c r="V16" s="268"/>
      <c r="W16" s="268"/>
      <c r="X16" s="268"/>
      <c r="Y16" s="268"/>
      <c r="Z16" s="268"/>
    </row>
    <row r="17" spans="1:26" ht="15" x14ac:dyDescent="0.25">
      <c r="A17" s="33" t="s">
        <v>85</v>
      </c>
      <c r="B17" s="220">
        <v>1583</v>
      </c>
      <c r="C17" s="220">
        <v>13512241.390000001</v>
      </c>
      <c r="D17" s="220">
        <v>4314908.5600000005</v>
      </c>
      <c r="E17" s="220">
        <v>3478082.0100000002</v>
      </c>
      <c r="F17" s="220">
        <v>15752495.069999998</v>
      </c>
      <c r="G17" s="220">
        <v>4429355.54</v>
      </c>
      <c r="H17" s="238">
        <f>SUM(C17:G17)</f>
        <v>41487082.57</v>
      </c>
      <c r="I17" s="322">
        <f t="shared" si="3"/>
        <v>26207.885388502844</v>
      </c>
      <c r="J17" s="221"/>
      <c r="L17" s="283"/>
      <c r="M17" s="289"/>
      <c r="N17" s="289"/>
      <c r="O17" s="289"/>
      <c r="P17" s="289"/>
      <c r="Q17" s="289"/>
      <c r="R17" s="289"/>
      <c r="S17" s="289"/>
      <c r="T17" s="289"/>
      <c r="U17" s="268"/>
      <c r="V17" s="268"/>
      <c r="W17" s="268"/>
      <c r="X17" s="268"/>
      <c r="Y17" s="268"/>
      <c r="Z17" s="268"/>
    </row>
    <row r="18" spans="1:26" x14ac:dyDescent="0.2">
      <c r="A18" s="33" t="s">
        <v>172</v>
      </c>
      <c r="B18" s="229">
        <f t="shared" ref="B18:H18" si="4">SUM(B13:B17)</f>
        <v>38101</v>
      </c>
      <c r="C18" s="229">
        <f t="shared" si="4"/>
        <v>183686886.25</v>
      </c>
      <c r="D18" s="229">
        <f t="shared" si="4"/>
        <v>32511761.75</v>
      </c>
      <c r="E18" s="229">
        <f t="shared" si="4"/>
        <v>47527150.909999996</v>
      </c>
      <c r="F18" s="229">
        <f t="shared" si="4"/>
        <v>228207169.84999999</v>
      </c>
      <c r="G18" s="229">
        <f t="shared" si="4"/>
        <v>49351257.600000001</v>
      </c>
      <c r="H18" s="229">
        <f t="shared" si="4"/>
        <v>541284226.36000013</v>
      </c>
      <c r="I18" s="321">
        <f t="shared" si="3"/>
        <v>14206.562199417342</v>
      </c>
      <c r="J18" s="221"/>
      <c r="L18" s="287"/>
      <c r="M18" s="287"/>
      <c r="N18" s="287"/>
      <c r="O18" s="287"/>
      <c r="P18" s="287"/>
      <c r="Q18" s="287"/>
      <c r="R18" s="287"/>
      <c r="S18" s="287"/>
      <c r="T18" s="287"/>
      <c r="U18" s="268"/>
      <c r="V18" s="268"/>
      <c r="W18" s="268"/>
      <c r="X18" s="268"/>
      <c r="Y18" s="268"/>
      <c r="Z18" s="268"/>
    </row>
    <row r="19" spans="1:26" x14ac:dyDescent="0.2">
      <c r="A19" s="33"/>
      <c r="B19" s="229"/>
      <c r="C19" s="214"/>
      <c r="D19" s="214"/>
      <c r="E19" s="214"/>
      <c r="F19" s="214"/>
      <c r="G19" s="214"/>
      <c r="H19" s="214"/>
      <c r="I19" s="321"/>
      <c r="J19" s="221"/>
      <c r="L19" s="287"/>
      <c r="M19" s="287"/>
      <c r="N19" s="287"/>
      <c r="O19" s="287"/>
      <c r="P19" s="287"/>
      <c r="Q19" s="287"/>
      <c r="R19" s="287"/>
      <c r="S19" s="287"/>
      <c r="T19" s="287"/>
      <c r="U19" s="268"/>
      <c r="V19" s="268"/>
      <c r="W19" s="268"/>
      <c r="X19" s="268"/>
      <c r="Y19" s="268"/>
      <c r="Z19" s="268"/>
    </row>
    <row r="20" spans="1:26" x14ac:dyDescent="0.2">
      <c r="A20" s="33"/>
      <c r="B20" s="229"/>
      <c r="C20" s="214"/>
      <c r="D20" s="214"/>
      <c r="E20" s="214"/>
      <c r="F20" s="214"/>
      <c r="G20" s="214"/>
      <c r="H20" s="214"/>
      <c r="I20" s="321"/>
      <c r="J20" s="221"/>
      <c r="L20" s="287"/>
      <c r="M20" s="287"/>
      <c r="N20" s="287"/>
      <c r="O20" s="287"/>
      <c r="P20" s="287"/>
      <c r="Q20" s="287"/>
      <c r="R20" s="287"/>
      <c r="S20" s="287"/>
      <c r="T20" s="281"/>
      <c r="U20" s="268"/>
      <c r="V20" s="268"/>
      <c r="W20" s="268"/>
      <c r="X20" s="268"/>
      <c r="Y20" s="268"/>
      <c r="Z20" s="268"/>
    </row>
    <row r="21" spans="1:26" ht="15" x14ac:dyDescent="0.25">
      <c r="A21" s="33" t="s">
        <v>86</v>
      </c>
      <c r="B21" s="214">
        <v>13277</v>
      </c>
      <c r="C21" s="214">
        <v>45593040.780000001</v>
      </c>
      <c r="D21" s="214">
        <v>9482511.6099999994</v>
      </c>
      <c r="E21" s="214">
        <v>13603352.359999999</v>
      </c>
      <c r="F21" s="214">
        <v>73407183.970000014</v>
      </c>
      <c r="G21" s="214">
        <v>15273169.380000001</v>
      </c>
      <c r="H21" s="221">
        <f>SUM(C21:G21)</f>
        <v>157359258.10000002</v>
      </c>
      <c r="I21" s="321">
        <f>H21/B21</f>
        <v>11852.01913835957</v>
      </c>
      <c r="J21" s="221"/>
      <c r="L21" s="283"/>
      <c r="M21" s="289"/>
      <c r="N21" s="289"/>
      <c r="O21" s="289"/>
      <c r="P21" s="289"/>
      <c r="Q21" s="289"/>
      <c r="R21" s="289"/>
      <c r="S21" s="289"/>
      <c r="T21" s="289"/>
      <c r="U21" s="268"/>
      <c r="V21" s="268"/>
      <c r="W21" s="268"/>
      <c r="X21" s="268"/>
      <c r="Y21" s="268"/>
      <c r="Z21" s="268"/>
    </row>
    <row r="22" spans="1:26" ht="15" x14ac:dyDescent="0.25">
      <c r="A22" s="33" t="s">
        <v>87</v>
      </c>
      <c r="B22" s="220">
        <v>7603</v>
      </c>
      <c r="C22" s="220">
        <v>43512906.409999996</v>
      </c>
      <c r="D22" s="220">
        <v>9942996.7699999977</v>
      </c>
      <c r="E22" s="220">
        <v>11049492.150000002</v>
      </c>
      <c r="F22" s="220">
        <v>49241643.390000001</v>
      </c>
      <c r="G22" s="220">
        <v>15585234</v>
      </c>
      <c r="H22" s="220">
        <f>SUM(C22:G22)</f>
        <v>129332272.72</v>
      </c>
      <c r="I22" s="322">
        <f>H22/B22</f>
        <v>17010.689559384453</v>
      </c>
      <c r="J22" s="221"/>
      <c r="L22" s="283"/>
      <c r="M22" s="289"/>
      <c r="N22" s="289"/>
      <c r="O22" s="289"/>
      <c r="P22" s="289"/>
      <c r="Q22" s="289"/>
      <c r="R22" s="289"/>
      <c r="S22" s="289"/>
      <c r="T22" s="289"/>
      <c r="U22" s="268"/>
      <c r="V22" s="268"/>
      <c r="W22" s="268"/>
      <c r="X22" s="268"/>
      <c r="Y22" s="268"/>
      <c r="Z22" s="268"/>
    </row>
    <row r="23" spans="1:26" x14ac:dyDescent="0.2">
      <c r="A23" s="33" t="s">
        <v>173</v>
      </c>
      <c r="B23" s="221">
        <f t="shared" ref="B23:H23" si="5">SUM(B21:B22)</f>
        <v>20880</v>
      </c>
      <c r="C23" s="221">
        <f t="shared" si="5"/>
        <v>89105947.189999998</v>
      </c>
      <c r="D23" s="221">
        <f t="shared" si="5"/>
        <v>19425508.379999995</v>
      </c>
      <c r="E23" s="221">
        <f t="shared" si="5"/>
        <v>24652844.510000002</v>
      </c>
      <c r="F23" s="221">
        <f t="shared" si="5"/>
        <v>122648827.36000001</v>
      </c>
      <c r="G23" s="221">
        <f t="shared" si="5"/>
        <v>30858403.380000003</v>
      </c>
      <c r="H23" s="221">
        <f t="shared" si="5"/>
        <v>286691530.82000005</v>
      </c>
      <c r="I23" s="323">
        <f>H23/B23</f>
        <v>13730.437299808431</v>
      </c>
      <c r="J23" s="221"/>
      <c r="L23" s="287"/>
      <c r="M23" s="287"/>
      <c r="N23" s="287"/>
      <c r="O23" s="287"/>
      <c r="P23" s="287"/>
      <c r="Q23" s="287"/>
      <c r="R23" s="287"/>
      <c r="S23" s="287"/>
      <c r="T23" s="287"/>
    </row>
    <row r="24" spans="1:26" x14ac:dyDescent="0.2">
      <c r="A24" s="33"/>
      <c r="B24" s="214"/>
      <c r="C24" s="214"/>
      <c r="D24" s="214"/>
      <c r="E24" s="214"/>
      <c r="F24" s="214"/>
      <c r="G24" s="214"/>
      <c r="H24" s="214"/>
      <c r="I24" s="214"/>
      <c r="J24" s="221"/>
    </row>
    <row r="25" spans="1:26" ht="13.5" thickBot="1" x14ac:dyDescent="0.25">
      <c r="A25" s="33" t="s">
        <v>174</v>
      </c>
      <c r="B25" s="222">
        <f>B23+B18+B10</f>
        <v>152628</v>
      </c>
      <c r="C25" s="192">
        <f t="shared" ref="C25:H25" si="6">C10+C18+C23</f>
        <v>593124941.18000007</v>
      </c>
      <c r="D25" s="192">
        <f t="shared" si="6"/>
        <v>94284765.209999993</v>
      </c>
      <c r="E25" s="192">
        <f t="shared" si="6"/>
        <v>169830201.00999999</v>
      </c>
      <c r="F25" s="192">
        <f t="shared" si="6"/>
        <v>834007177.87000012</v>
      </c>
      <c r="G25" s="192">
        <f t="shared" si="6"/>
        <v>248944255.33999997</v>
      </c>
      <c r="H25" s="192">
        <f t="shared" si="6"/>
        <v>1940191340.6100006</v>
      </c>
      <c r="I25" s="222">
        <f>H25/B25</f>
        <v>12711.896510535424</v>
      </c>
      <c r="J25" s="221"/>
    </row>
    <row r="26" spans="1:26" ht="13.5" thickTop="1" x14ac:dyDescent="0.2">
      <c r="A26" s="33"/>
      <c r="B26" s="296"/>
      <c r="C26" s="182"/>
      <c r="D26" s="182"/>
      <c r="E26" s="182"/>
      <c r="F26" s="182"/>
      <c r="G26" s="182"/>
      <c r="H26" s="182"/>
      <c r="I26" s="182"/>
      <c r="J26" s="182"/>
    </row>
    <row r="27" spans="1:26" x14ac:dyDescent="0.2">
      <c r="A27" s="33"/>
      <c r="B27" s="182"/>
      <c r="C27" s="33"/>
      <c r="D27" s="33"/>
      <c r="E27" s="33"/>
      <c r="F27" s="33"/>
      <c r="G27" s="33"/>
      <c r="H27" s="33"/>
      <c r="I27" s="182"/>
      <c r="J27" s="182"/>
    </row>
    <row r="28" spans="1:26" x14ac:dyDescent="0.2">
      <c r="A28" s="36" t="s">
        <v>200</v>
      </c>
      <c r="B28" s="22"/>
      <c r="C28" s="36"/>
      <c r="D28" s="36"/>
      <c r="E28" s="36"/>
      <c r="F28" s="36"/>
      <c r="G28" s="36"/>
      <c r="H28" s="36"/>
      <c r="I28" s="22"/>
      <c r="J28" s="182"/>
    </row>
    <row r="29" spans="1:26" x14ac:dyDescent="0.2">
      <c r="A29" s="36" t="s">
        <v>10</v>
      </c>
      <c r="B29" s="22" t="str">
        <f>C2</f>
        <v>FY19</v>
      </c>
      <c r="C29" s="223"/>
      <c r="D29" s="223"/>
      <c r="E29" s="223"/>
      <c r="F29" s="223"/>
      <c r="G29" s="223"/>
      <c r="H29" s="223"/>
      <c r="I29" s="182"/>
    </row>
    <row r="30" spans="1:26" ht="22.5" x14ac:dyDescent="0.2">
      <c r="A30" s="20" t="s">
        <v>245</v>
      </c>
      <c r="B30" s="202" t="str">
        <f>B3</f>
        <v>ANB19</v>
      </c>
      <c r="C30" s="202" t="str">
        <f t="shared" ref="C30:G30" si="7">C3</f>
        <v>19/Pupil Property Tax</v>
      </c>
      <c r="D30" s="202" t="str">
        <f t="shared" si="7"/>
        <v>19/Pupil Non Levy Revenue</v>
      </c>
      <c r="E30" s="202" t="str">
        <f t="shared" si="7"/>
        <v>19/Pupil County Revenue</v>
      </c>
      <c r="F30" s="202" t="str">
        <f t="shared" si="7"/>
        <v>19/Pupil State Revenue</v>
      </c>
      <c r="G30" s="202" t="str">
        <f t="shared" si="7"/>
        <v>19/Pupil Federal Revenue</v>
      </c>
      <c r="H30" s="202" t="str">
        <f>I3</f>
        <v>19/Rev Per ANB</v>
      </c>
      <c r="I30" s="202"/>
      <c r="J30" s="202"/>
    </row>
    <row r="31" spans="1:26" x14ac:dyDescent="0.2">
      <c r="A31" s="33"/>
      <c r="B31" s="182"/>
      <c r="C31" s="182"/>
      <c r="D31" s="182"/>
      <c r="E31" s="182"/>
      <c r="F31" s="182"/>
      <c r="G31" s="182"/>
      <c r="H31" s="33"/>
      <c r="I31" s="182"/>
    </row>
    <row r="32" spans="1:26" x14ac:dyDescent="0.2">
      <c r="A32" s="33" t="s">
        <v>102</v>
      </c>
      <c r="B32" s="221">
        <f t="shared" ref="B32:B37" si="8">B4</f>
        <v>41234</v>
      </c>
      <c r="C32" s="182">
        <f t="shared" ref="C32:H38" si="9">C4/$B32</f>
        <v>3712.5729371392545</v>
      </c>
      <c r="D32" s="182">
        <f t="shared" si="9"/>
        <v>279.70457268273759</v>
      </c>
      <c r="E32" s="182">
        <f t="shared" si="9"/>
        <v>1032.7895763205122</v>
      </c>
      <c r="F32" s="182">
        <f t="shared" si="9"/>
        <v>4982.5423381190294</v>
      </c>
      <c r="G32" s="182">
        <f t="shared" si="9"/>
        <v>1088.357208371732</v>
      </c>
      <c r="H32" s="182">
        <f t="shared" si="9"/>
        <v>11095.966632633264</v>
      </c>
      <c r="I32" s="182"/>
      <c r="J32" s="182"/>
    </row>
    <row r="33" spans="1:10" x14ac:dyDescent="0.2">
      <c r="A33" s="33" t="s">
        <v>76</v>
      </c>
      <c r="B33" s="221">
        <f t="shared" si="8"/>
        <v>18111</v>
      </c>
      <c r="C33" s="182">
        <f t="shared" si="9"/>
        <v>3294.8807062006513</v>
      </c>
      <c r="D33" s="182">
        <f t="shared" si="9"/>
        <v>348.76691679090061</v>
      </c>
      <c r="E33" s="182">
        <f t="shared" si="9"/>
        <v>1026.9272988791342</v>
      </c>
      <c r="F33" s="182">
        <f t="shared" si="9"/>
        <v>5275.806279609078</v>
      </c>
      <c r="G33" s="182">
        <f t="shared" si="9"/>
        <v>2498.2113687814035</v>
      </c>
      <c r="H33" s="182">
        <f t="shared" si="9"/>
        <v>12444.592570261168</v>
      </c>
      <c r="I33" s="182"/>
      <c r="J33" s="182"/>
    </row>
    <row r="34" spans="1:10" x14ac:dyDescent="0.2">
      <c r="A34" s="33" t="s">
        <v>77</v>
      </c>
      <c r="B34" s="221">
        <f t="shared" si="8"/>
        <v>15624</v>
      </c>
      <c r="C34" s="182">
        <f t="shared" si="9"/>
        <v>2664.4347580645158</v>
      </c>
      <c r="D34" s="182">
        <f t="shared" si="9"/>
        <v>479.99855158730168</v>
      </c>
      <c r="E34" s="182">
        <f t="shared" si="9"/>
        <v>1026.2949052739375</v>
      </c>
      <c r="F34" s="182">
        <f t="shared" si="9"/>
        <v>5289.7362909626218</v>
      </c>
      <c r="G34" s="182">
        <f t="shared" si="9"/>
        <v>2555.1119418842809</v>
      </c>
      <c r="H34" s="182">
        <f t="shared" si="9"/>
        <v>12015.576447772659</v>
      </c>
      <c r="I34" s="182"/>
      <c r="J34" s="182"/>
    </row>
    <row r="35" spans="1:10" x14ac:dyDescent="0.2">
      <c r="A35" s="33" t="s">
        <v>78</v>
      </c>
      <c r="B35" s="221">
        <f t="shared" si="8"/>
        <v>12187</v>
      </c>
      <c r="C35" s="182">
        <f t="shared" si="9"/>
        <v>3181.5211561499968</v>
      </c>
      <c r="D35" s="182">
        <f t="shared" si="9"/>
        <v>694.43799048166068</v>
      </c>
      <c r="E35" s="182">
        <f t="shared" si="9"/>
        <v>1011.5245187494872</v>
      </c>
      <c r="F35" s="182">
        <f t="shared" si="9"/>
        <v>5169.3886789201597</v>
      </c>
      <c r="G35" s="182">
        <f t="shared" si="9"/>
        <v>1703.3954156067934</v>
      </c>
      <c r="H35" s="182">
        <f t="shared" si="9"/>
        <v>11760.267759908098</v>
      </c>
      <c r="I35" s="182"/>
      <c r="J35" s="182"/>
    </row>
    <row r="36" spans="1:10" x14ac:dyDescent="0.2">
      <c r="A36" s="33" t="s">
        <v>79</v>
      </c>
      <c r="B36" s="221">
        <f t="shared" si="8"/>
        <v>5057</v>
      </c>
      <c r="C36" s="182">
        <f t="shared" si="9"/>
        <v>3979.1294186276468</v>
      </c>
      <c r="D36" s="182">
        <f t="shared" si="9"/>
        <v>1377.9673818469448</v>
      </c>
      <c r="E36" s="182">
        <f t="shared" si="9"/>
        <v>1248.6952501483097</v>
      </c>
      <c r="F36" s="182">
        <f t="shared" si="9"/>
        <v>5523.0890350009913</v>
      </c>
      <c r="G36" s="182">
        <f t="shared" si="9"/>
        <v>2871.7384556060911</v>
      </c>
      <c r="H36" s="182">
        <f t="shared" si="9"/>
        <v>15000.619541229984</v>
      </c>
      <c r="I36" s="182"/>
      <c r="J36" s="182"/>
    </row>
    <row r="37" spans="1:10" x14ac:dyDescent="0.2">
      <c r="A37" s="33" t="s">
        <v>80</v>
      </c>
      <c r="B37" s="220">
        <f t="shared" si="8"/>
        <v>1434</v>
      </c>
      <c r="C37" s="183">
        <f t="shared" si="9"/>
        <v>4915.9737238493717</v>
      </c>
      <c r="D37" s="183">
        <f t="shared" si="9"/>
        <v>1092.4999232914922</v>
      </c>
      <c r="E37" s="183">
        <f t="shared" si="9"/>
        <v>1247.2434449093444</v>
      </c>
      <c r="F37" s="183">
        <f t="shared" si="9"/>
        <v>5979.4013040446307</v>
      </c>
      <c r="G37" s="183">
        <f t="shared" si="9"/>
        <v>2377.5710251046021</v>
      </c>
      <c r="H37" s="183">
        <f t="shared" si="9"/>
        <v>15612.689421199442</v>
      </c>
      <c r="I37" s="182"/>
      <c r="J37" s="182"/>
    </row>
    <row r="38" spans="1:10" x14ac:dyDescent="0.2">
      <c r="A38" s="33" t="s">
        <v>171</v>
      </c>
      <c r="B38" s="221">
        <f>SUM(B32:B37)</f>
        <v>93647</v>
      </c>
      <c r="C38" s="182">
        <f t="shared" si="9"/>
        <v>3420.6339523956995</v>
      </c>
      <c r="D38" s="182">
        <f t="shared" si="9"/>
        <v>452.20343502728326</v>
      </c>
      <c r="E38" s="182">
        <f t="shared" si="9"/>
        <v>1042.7478252373273</v>
      </c>
      <c r="F38" s="182">
        <f t="shared" si="9"/>
        <v>5159.2809236814855</v>
      </c>
      <c r="G38" s="182">
        <f t="shared" si="9"/>
        <v>1801.8152675472784</v>
      </c>
      <c r="H38" s="182">
        <f t="shared" si="9"/>
        <v>11876.681403889075</v>
      </c>
      <c r="I38" s="182"/>
      <c r="J38" s="182"/>
    </row>
    <row r="39" spans="1:10" x14ac:dyDescent="0.2">
      <c r="A39" s="33"/>
      <c r="B39" s="182"/>
      <c r="C39" s="182"/>
      <c r="D39" s="182"/>
      <c r="E39" s="182"/>
      <c r="F39" s="182"/>
      <c r="G39" s="182"/>
      <c r="H39" s="182"/>
      <c r="I39" s="182"/>
      <c r="J39" s="182"/>
    </row>
    <row r="40" spans="1:10" x14ac:dyDescent="0.2">
      <c r="A40" s="33"/>
      <c r="B40" s="221"/>
      <c r="C40" s="182"/>
      <c r="D40" s="182"/>
      <c r="E40" s="182"/>
      <c r="F40" s="182"/>
      <c r="G40" s="182"/>
      <c r="H40" s="182"/>
      <c r="I40" s="182"/>
      <c r="J40" s="182"/>
    </row>
    <row r="41" spans="1:10" x14ac:dyDescent="0.2">
      <c r="A41" s="33" t="s">
        <v>81</v>
      </c>
      <c r="B41" s="221">
        <f>B13</f>
        <v>20388</v>
      </c>
      <c r="C41" s="182">
        <f t="shared" ref="C41:H46" si="10">C13/$B41</f>
        <v>4570.8817500490486</v>
      </c>
      <c r="D41" s="182">
        <f t="shared" si="10"/>
        <v>543.37277516185986</v>
      </c>
      <c r="E41" s="182">
        <f t="shared" si="10"/>
        <v>1130.2512291544047</v>
      </c>
      <c r="F41" s="182">
        <f t="shared" si="10"/>
        <v>5508.9791857955661</v>
      </c>
      <c r="G41" s="182">
        <f t="shared" si="10"/>
        <v>640.82513243084168</v>
      </c>
      <c r="H41" s="182">
        <f t="shared" si="10"/>
        <v>12394.310072591721</v>
      </c>
      <c r="I41" s="182"/>
      <c r="J41" s="182"/>
    </row>
    <row r="42" spans="1:10" x14ac:dyDescent="0.2">
      <c r="A42" s="33" t="s">
        <v>82</v>
      </c>
      <c r="B42" s="221">
        <f>B14</f>
        <v>7161</v>
      </c>
      <c r="C42" s="182">
        <f t="shared" si="10"/>
        <v>4909.5705069124424</v>
      </c>
      <c r="D42" s="182">
        <f t="shared" si="10"/>
        <v>729.2887334171204</v>
      </c>
      <c r="E42" s="182">
        <f t="shared" si="10"/>
        <v>1195.334643206256</v>
      </c>
      <c r="F42" s="182">
        <f t="shared" si="10"/>
        <v>5591.5989261276354</v>
      </c>
      <c r="G42" s="182">
        <f t="shared" si="10"/>
        <v>1771.9308783689428</v>
      </c>
      <c r="H42" s="182">
        <f t="shared" si="10"/>
        <v>14197.723688032396</v>
      </c>
      <c r="I42" s="182"/>
      <c r="J42" s="182"/>
    </row>
    <row r="43" spans="1:10" x14ac:dyDescent="0.2">
      <c r="A43" s="33" t="s">
        <v>83</v>
      </c>
      <c r="B43" s="221">
        <f>B15</f>
        <v>4666</v>
      </c>
      <c r="C43" s="182">
        <f t="shared" si="10"/>
        <v>4068.3482254607793</v>
      </c>
      <c r="D43" s="182">
        <f t="shared" si="10"/>
        <v>1360.5966330904416</v>
      </c>
      <c r="E43" s="182">
        <f t="shared" si="10"/>
        <v>1243.9484697813973</v>
      </c>
      <c r="F43" s="182">
        <f t="shared" si="10"/>
        <v>6206.3530990141462</v>
      </c>
      <c r="G43" s="182">
        <f t="shared" si="10"/>
        <v>1485.0629597085297</v>
      </c>
      <c r="H43" s="182">
        <f t="shared" si="10"/>
        <v>14364.309387055293</v>
      </c>
      <c r="I43" s="182"/>
      <c r="J43" s="182"/>
    </row>
    <row r="44" spans="1:10" x14ac:dyDescent="0.2">
      <c r="A44" s="33" t="s">
        <v>84</v>
      </c>
      <c r="B44" s="221">
        <f>B16</f>
        <v>4303</v>
      </c>
      <c r="C44" s="182">
        <f t="shared" si="10"/>
        <v>5308.6591959098323</v>
      </c>
      <c r="D44" s="182">
        <f t="shared" si="10"/>
        <v>1289.2374018126886</v>
      </c>
      <c r="E44" s="182">
        <f t="shared" si="10"/>
        <v>1543.4468742737627</v>
      </c>
      <c r="F44" s="182">
        <f t="shared" si="10"/>
        <v>7236.1895584475942</v>
      </c>
      <c r="G44" s="182">
        <f t="shared" si="10"/>
        <v>2844.2153079247037</v>
      </c>
      <c r="H44" s="182">
        <f t="shared" si="10"/>
        <v>18221.748338368583</v>
      </c>
      <c r="I44" s="182"/>
      <c r="J44" s="182"/>
    </row>
    <row r="45" spans="1:10" x14ac:dyDescent="0.2">
      <c r="A45" s="33" t="s">
        <v>85</v>
      </c>
      <c r="B45" s="220">
        <f>B17</f>
        <v>1583</v>
      </c>
      <c r="C45" s="183">
        <f t="shared" si="10"/>
        <v>8535.844213518636</v>
      </c>
      <c r="D45" s="183">
        <f t="shared" si="10"/>
        <v>2725.779254579912</v>
      </c>
      <c r="E45" s="183">
        <f t="shared" si="10"/>
        <v>2197.1459317751105</v>
      </c>
      <c r="F45" s="183">
        <f t="shared" si="10"/>
        <v>9951.0392103600752</v>
      </c>
      <c r="G45" s="183">
        <f t="shared" si="10"/>
        <v>2798.0767782691091</v>
      </c>
      <c r="H45" s="183">
        <f t="shared" si="10"/>
        <v>26207.885388502844</v>
      </c>
      <c r="I45" s="182"/>
      <c r="J45" s="182"/>
    </row>
    <row r="46" spans="1:10" x14ac:dyDescent="0.2">
      <c r="A46" s="33" t="s">
        <v>172</v>
      </c>
      <c r="B46" s="221">
        <f>SUM(B41:B45)</f>
        <v>38101</v>
      </c>
      <c r="C46" s="182">
        <f t="shared" si="10"/>
        <v>4821.0515800110234</v>
      </c>
      <c r="D46" s="182">
        <f t="shared" si="10"/>
        <v>853.30468360410487</v>
      </c>
      <c r="E46" s="182">
        <f t="shared" si="10"/>
        <v>1247.3990422823547</v>
      </c>
      <c r="F46" s="182">
        <f t="shared" si="10"/>
        <v>5989.5322918033644</v>
      </c>
      <c r="G46" s="182">
        <f t="shared" si="10"/>
        <v>1295.2746017164905</v>
      </c>
      <c r="H46" s="182">
        <f t="shared" si="10"/>
        <v>14206.562199417342</v>
      </c>
      <c r="I46" s="182"/>
      <c r="J46" s="182"/>
    </row>
    <row r="47" spans="1:10" x14ac:dyDescent="0.2">
      <c r="A47" s="33"/>
      <c r="B47" s="182"/>
      <c r="C47" s="182"/>
      <c r="D47" s="182"/>
      <c r="E47" s="182"/>
      <c r="F47" s="182"/>
      <c r="G47" s="182"/>
      <c r="H47" s="182"/>
      <c r="I47" s="182"/>
      <c r="J47" s="182"/>
    </row>
    <row r="48" spans="1:10" x14ac:dyDescent="0.2">
      <c r="A48" s="33"/>
      <c r="B48" s="221"/>
      <c r="C48" s="182"/>
      <c r="D48" s="182"/>
      <c r="E48" s="182"/>
      <c r="F48" s="182"/>
      <c r="G48" s="182"/>
      <c r="H48" s="182"/>
      <c r="I48" s="182"/>
      <c r="J48" s="182"/>
    </row>
    <row r="49" spans="1:10" x14ac:dyDescent="0.2">
      <c r="A49" s="33" t="s">
        <v>86</v>
      </c>
      <c r="B49" s="221">
        <f>B21</f>
        <v>13277</v>
      </c>
      <c r="C49" s="182">
        <f t="shared" ref="C49:G51" si="11">C21/$B49</f>
        <v>3433.9866521051445</v>
      </c>
      <c r="D49" s="182">
        <f t="shared" si="11"/>
        <v>714.20589063794523</v>
      </c>
      <c r="E49" s="182">
        <f t="shared" si="11"/>
        <v>1024.580278677412</v>
      </c>
      <c r="F49" s="182">
        <f t="shared" si="11"/>
        <v>5528.8983934623793</v>
      </c>
      <c r="G49" s="182">
        <f t="shared" si="11"/>
        <v>1150.3479234766892</v>
      </c>
      <c r="H49" s="182">
        <f>H21/$B49</f>
        <v>11852.01913835957</v>
      </c>
      <c r="I49" s="182"/>
      <c r="J49" s="182"/>
    </row>
    <row r="50" spans="1:10" x14ac:dyDescent="0.2">
      <c r="A50" s="33" t="s">
        <v>87</v>
      </c>
      <c r="B50" s="220">
        <f>B22</f>
        <v>7603</v>
      </c>
      <c r="C50" s="183">
        <f t="shared" si="11"/>
        <v>5723.1232947520712</v>
      </c>
      <c r="D50" s="183">
        <f t="shared" si="11"/>
        <v>1307.7728225700378</v>
      </c>
      <c r="E50" s="183">
        <f t="shared" si="11"/>
        <v>1453.3068722872554</v>
      </c>
      <c r="F50" s="183">
        <f t="shared" si="11"/>
        <v>6476.607048533474</v>
      </c>
      <c r="G50" s="183">
        <f t="shared" si="11"/>
        <v>2049.8795212416153</v>
      </c>
      <c r="H50" s="183">
        <f>H22/$B50</f>
        <v>17010.689559384453</v>
      </c>
      <c r="I50" s="182"/>
      <c r="J50" s="182"/>
    </row>
    <row r="51" spans="1:10" x14ac:dyDescent="0.2">
      <c r="A51" s="33" t="s">
        <v>173</v>
      </c>
      <c r="B51" s="221">
        <f>SUM(B49:B50)</f>
        <v>20880</v>
      </c>
      <c r="C51" s="182">
        <f t="shared" si="11"/>
        <v>4267.5262064176241</v>
      </c>
      <c r="D51" s="182">
        <f t="shared" si="11"/>
        <v>930.34043965517219</v>
      </c>
      <c r="E51" s="182">
        <f t="shared" si="11"/>
        <v>1180.6917868773946</v>
      </c>
      <c r="F51" s="182">
        <f t="shared" si="11"/>
        <v>5873.9859846743302</v>
      </c>
      <c r="G51" s="182">
        <f t="shared" si="11"/>
        <v>1477.8928821839081</v>
      </c>
      <c r="H51" s="182">
        <f>H23/$B51</f>
        <v>13730.437299808431</v>
      </c>
      <c r="I51" s="182"/>
      <c r="J51" s="182"/>
    </row>
    <row r="52" spans="1:10" x14ac:dyDescent="0.2">
      <c r="A52" s="33"/>
      <c r="B52" s="214"/>
      <c r="C52" s="182"/>
      <c r="D52" s="182"/>
      <c r="E52" s="182"/>
      <c r="F52" s="182"/>
      <c r="G52" s="182"/>
      <c r="H52" s="182"/>
      <c r="I52" s="182"/>
      <c r="J52" s="182"/>
    </row>
    <row r="53" spans="1:10" ht="13.5" thickBot="1" x14ac:dyDescent="0.25">
      <c r="A53" s="33" t="s">
        <v>174</v>
      </c>
      <c r="B53" s="222">
        <f>B51+B46+B38</f>
        <v>152628</v>
      </c>
      <c r="C53" s="192">
        <f t="shared" ref="C53:G53" si="12">C25/$B53</f>
        <v>3886.0821158634067</v>
      </c>
      <c r="D53" s="192">
        <f t="shared" si="12"/>
        <v>617.7422570563723</v>
      </c>
      <c r="E53" s="192">
        <f t="shared" si="12"/>
        <v>1112.7067183609822</v>
      </c>
      <c r="F53" s="192">
        <f t="shared" si="12"/>
        <v>5464.3130871792864</v>
      </c>
      <c r="G53" s="192">
        <f t="shared" si="12"/>
        <v>1631.0523320753725</v>
      </c>
      <c r="H53" s="192">
        <f>H25/$B53</f>
        <v>12711.896510535424</v>
      </c>
      <c r="I53" s="182"/>
      <c r="J53" s="182"/>
    </row>
    <row r="54" spans="1:10" ht="13.5" thickTop="1" x14ac:dyDescent="0.2">
      <c r="A54" s="33"/>
      <c r="B54" s="296"/>
      <c r="C54" s="182"/>
      <c r="D54" s="182"/>
      <c r="E54" s="182"/>
      <c r="F54" s="182"/>
      <c r="G54" s="182"/>
      <c r="H54" s="182"/>
      <c r="I54" s="182"/>
    </row>
    <row r="55" spans="1:10" x14ac:dyDescent="0.2">
      <c r="A55" s="33"/>
      <c r="B55" s="182"/>
      <c r="C55" s="182"/>
      <c r="D55" s="182"/>
      <c r="E55" s="182"/>
      <c r="F55" s="182"/>
      <c r="G55" s="182"/>
      <c r="H55" s="182"/>
      <c r="I55" s="182"/>
      <c r="J55" s="182"/>
    </row>
    <row r="56" spans="1:10" x14ac:dyDescent="0.2">
      <c r="A56" s="36" t="s">
        <v>200</v>
      </c>
      <c r="B56" s="36"/>
      <c r="C56" s="36"/>
      <c r="D56" s="36"/>
      <c r="E56" s="36"/>
      <c r="F56" s="36"/>
      <c r="G56" s="36"/>
      <c r="H56" s="36"/>
      <c r="I56" s="36"/>
      <c r="J56" s="182"/>
    </row>
    <row r="57" spans="1:10" x14ac:dyDescent="0.2">
      <c r="A57" s="36" t="s">
        <v>11</v>
      </c>
      <c r="B57" s="22" t="str">
        <f>C2</f>
        <v>FY19</v>
      </c>
      <c r="I57" s="202"/>
      <c r="J57" s="182"/>
    </row>
    <row r="58" spans="1:10" ht="22.5" x14ac:dyDescent="0.2">
      <c r="A58" s="20" t="s">
        <v>245</v>
      </c>
      <c r="B58" s="21"/>
      <c r="C58" s="202" t="str">
        <f t="shared" ref="C58:G58" si="13">C3</f>
        <v>19/Pupil Property Tax</v>
      </c>
      <c r="D58" s="202" t="str">
        <f t="shared" si="13"/>
        <v>19/Pupil Non Levy Revenue</v>
      </c>
      <c r="E58" s="202" t="str">
        <f t="shared" si="13"/>
        <v>19/Pupil County Revenue</v>
      </c>
      <c r="F58" s="202" t="str">
        <f t="shared" si="13"/>
        <v>19/Pupil State Revenue</v>
      </c>
      <c r="G58" s="202" t="str">
        <f t="shared" si="13"/>
        <v>19/Pupil Federal Revenue</v>
      </c>
      <c r="H58" s="202"/>
      <c r="I58" s="202"/>
    </row>
    <row r="59" spans="1:10" x14ac:dyDescent="0.2">
      <c r="A59" s="33" t="s">
        <v>102</v>
      </c>
      <c r="B59" s="221"/>
      <c r="C59" s="224">
        <f t="shared" ref="C59:G65" si="14">C32/$H32</f>
        <v>0.33458760827745898</v>
      </c>
      <c r="D59" s="224">
        <f t="shared" si="14"/>
        <v>2.5207769808907481E-2</v>
      </c>
      <c r="E59" s="224">
        <f t="shared" si="14"/>
        <v>9.3077927368948238E-2</v>
      </c>
      <c r="F59" s="224">
        <f t="shared" si="14"/>
        <v>0.4490408544907985</v>
      </c>
      <c r="G59" s="224">
        <f t="shared" si="14"/>
        <v>9.8085840053886861E-2</v>
      </c>
      <c r="H59" s="313"/>
      <c r="I59" s="182"/>
    </row>
    <row r="60" spans="1:10" x14ac:dyDescent="0.2">
      <c r="A60" s="33" t="s">
        <v>76</v>
      </c>
      <c r="B60" s="221"/>
      <c r="C60" s="224">
        <f t="shared" si="14"/>
        <v>0.26476404812757187</v>
      </c>
      <c r="D60" s="224">
        <f t="shared" si="14"/>
        <v>2.8025579368853634E-2</v>
      </c>
      <c r="E60" s="224">
        <f t="shared" si="14"/>
        <v>8.2519961427518454E-2</v>
      </c>
      <c r="F60" s="224">
        <f t="shared" si="14"/>
        <v>0.42394367270943589</v>
      </c>
      <c r="G60" s="224">
        <f t="shared" si="14"/>
        <v>0.20074673836662013</v>
      </c>
      <c r="H60" s="313"/>
      <c r="I60" s="182"/>
    </row>
    <row r="61" spans="1:10" x14ac:dyDescent="0.2">
      <c r="A61" s="33" t="s">
        <v>77</v>
      </c>
      <c r="B61" s="221"/>
      <c r="C61" s="224">
        <f t="shared" si="14"/>
        <v>0.22174839215129169</v>
      </c>
      <c r="D61" s="224">
        <f t="shared" si="14"/>
        <v>3.9948025271503269E-2</v>
      </c>
      <c r="E61" s="224">
        <f t="shared" si="14"/>
        <v>8.5413705262903386E-2</v>
      </c>
      <c r="F61" s="224">
        <f t="shared" si="14"/>
        <v>0.44023990975007998</v>
      </c>
      <c r="G61" s="224">
        <f t="shared" si="14"/>
        <v>0.21264996756422161</v>
      </c>
      <c r="H61" s="313"/>
      <c r="I61" s="182"/>
    </row>
    <row r="62" spans="1:10" x14ac:dyDescent="0.2">
      <c r="A62" s="33" t="s">
        <v>78</v>
      </c>
      <c r="B62" s="221"/>
      <c r="C62" s="224">
        <f t="shared" si="14"/>
        <v>0.27053135363091929</v>
      </c>
      <c r="D62" s="224">
        <f t="shared" si="14"/>
        <v>5.9049505050307413E-2</v>
      </c>
      <c r="E62" s="224">
        <f t="shared" si="14"/>
        <v>8.6012031307473563E-2</v>
      </c>
      <c r="F62" s="224">
        <f t="shared" si="14"/>
        <v>0.43956385895762601</v>
      </c>
      <c r="G62" s="224">
        <f t="shared" si="14"/>
        <v>0.14484325105367371</v>
      </c>
      <c r="H62" s="313"/>
      <c r="I62" s="182"/>
    </row>
    <row r="63" spans="1:10" x14ac:dyDescent="0.2">
      <c r="A63" s="33" t="s">
        <v>79</v>
      </c>
      <c r="B63" s="221"/>
      <c r="C63" s="224">
        <f t="shared" si="14"/>
        <v>0.26526433842887637</v>
      </c>
      <c r="D63" s="224">
        <f t="shared" si="14"/>
        <v>9.1860698023806933E-2</v>
      </c>
      <c r="E63" s="224">
        <f t="shared" si="14"/>
        <v>8.324291184882103E-2</v>
      </c>
      <c r="F63" s="224">
        <f t="shared" si="14"/>
        <v>0.36819072837761757</v>
      </c>
      <c r="G63" s="224">
        <f t="shared" si="14"/>
        <v>0.19144132332087807</v>
      </c>
      <c r="H63" s="313"/>
      <c r="I63" s="182"/>
    </row>
    <row r="64" spans="1:10" x14ac:dyDescent="0.2">
      <c r="A64" s="33" t="s">
        <v>80</v>
      </c>
      <c r="B64" s="221"/>
      <c r="C64" s="225">
        <f t="shared" si="14"/>
        <v>0.31487039748413204</v>
      </c>
      <c r="D64" s="225">
        <f t="shared" si="14"/>
        <v>6.9975126886727065E-2</v>
      </c>
      <c r="E64" s="225">
        <f t="shared" si="14"/>
        <v>7.9886521230339388E-2</v>
      </c>
      <c r="F64" s="225">
        <f t="shared" si="14"/>
        <v>0.38298342730917301</v>
      </c>
      <c r="G64" s="225">
        <f t="shared" si="14"/>
        <v>0.15228452708962845</v>
      </c>
      <c r="H64" s="313"/>
      <c r="I64" s="182"/>
    </row>
    <row r="65" spans="1:9" x14ac:dyDescent="0.2">
      <c r="A65" s="33" t="s">
        <v>171</v>
      </c>
      <c r="B65" s="221"/>
      <c r="C65" s="224">
        <f t="shared" si="14"/>
        <v>0.28801260521104799</v>
      </c>
      <c r="D65" s="224">
        <f t="shared" si="14"/>
        <v>3.8074898168035991E-2</v>
      </c>
      <c r="E65" s="224">
        <f t="shared" si="14"/>
        <v>8.7797911704179804E-2</v>
      </c>
      <c r="F65" s="224">
        <f t="shared" si="14"/>
        <v>0.43440425386775594</v>
      </c>
      <c r="G65" s="224">
        <f t="shared" si="14"/>
        <v>0.15171033104898018</v>
      </c>
      <c r="H65" s="313"/>
      <c r="I65" s="182"/>
    </row>
    <row r="66" spans="1:9" x14ac:dyDescent="0.2">
      <c r="A66" s="33"/>
      <c r="B66" s="182"/>
      <c r="C66" s="224"/>
      <c r="D66" s="224"/>
      <c r="E66" s="224"/>
      <c r="F66" s="224"/>
      <c r="G66" s="224"/>
      <c r="H66" s="313"/>
      <c r="I66" s="182"/>
    </row>
    <row r="67" spans="1:9" x14ac:dyDescent="0.2">
      <c r="A67" s="33"/>
      <c r="B67" s="221"/>
      <c r="C67" s="224"/>
      <c r="D67" s="224"/>
      <c r="E67" s="224"/>
      <c r="F67" s="224"/>
      <c r="G67" s="224"/>
      <c r="H67" s="313"/>
      <c r="I67" s="182"/>
    </row>
    <row r="68" spans="1:9" x14ac:dyDescent="0.2">
      <c r="A68" s="33" t="s">
        <v>81</v>
      </c>
      <c r="B68" s="221"/>
      <c r="C68" s="224">
        <f t="shared" ref="C68:G73" si="15">C41/$H41</f>
        <v>0.3687887202496985</v>
      </c>
      <c r="D68" s="224">
        <f t="shared" si="15"/>
        <v>4.3840501970614128E-2</v>
      </c>
      <c r="E68" s="224">
        <f t="shared" si="15"/>
        <v>9.1191137105226763E-2</v>
      </c>
      <c r="F68" s="224">
        <f t="shared" si="15"/>
        <v>0.44447646972927529</v>
      </c>
      <c r="G68" s="224">
        <f t="shared" si="15"/>
        <v>5.1703170945185291E-2</v>
      </c>
      <c r="H68" s="313"/>
      <c r="I68" s="182"/>
    </row>
    <row r="69" spans="1:9" x14ac:dyDescent="0.2">
      <c r="A69" s="33" t="s">
        <v>82</v>
      </c>
      <c r="B69" s="221"/>
      <c r="C69" s="224">
        <f t="shared" si="15"/>
        <v>0.34579983487429311</v>
      </c>
      <c r="D69" s="224">
        <f t="shared" si="15"/>
        <v>5.136659576153433E-2</v>
      </c>
      <c r="E69" s="224">
        <f t="shared" si="15"/>
        <v>8.4191992284920469E-2</v>
      </c>
      <c r="F69" s="224">
        <f t="shared" si="15"/>
        <v>0.39383770588808747</v>
      </c>
      <c r="G69" s="224">
        <f t="shared" si="15"/>
        <v>0.12480387119116468</v>
      </c>
      <c r="H69" s="313"/>
      <c r="I69" s="182"/>
    </row>
    <row r="70" spans="1:9" x14ac:dyDescent="0.2">
      <c r="A70" s="33" t="s">
        <v>83</v>
      </c>
      <c r="B70" s="221"/>
      <c r="C70" s="224">
        <f t="shared" si="15"/>
        <v>0.28322616255585936</v>
      </c>
      <c r="D70" s="224">
        <f t="shared" si="15"/>
        <v>9.4720643814353689E-2</v>
      </c>
      <c r="E70" s="224">
        <f t="shared" si="15"/>
        <v>8.6599949657336694E-2</v>
      </c>
      <c r="F70" s="224">
        <f t="shared" si="15"/>
        <v>0.43206762899489864</v>
      </c>
      <c r="G70" s="224">
        <f t="shared" si="15"/>
        <v>0.10338561497755167</v>
      </c>
      <c r="H70" s="313"/>
      <c r="I70" s="182"/>
    </row>
    <row r="71" spans="1:9" x14ac:dyDescent="0.2">
      <c r="A71" s="33" t="s">
        <v>84</v>
      </c>
      <c r="B71" s="221"/>
      <c r="C71" s="224">
        <f t="shared" si="15"/>
        <v>0.2913364347553668</v>
      </c>
      <c r="D71" s="224">
        <f t="shared" si="15"/>
        <v>7.0752673007672309E-2</v>
      </c>
      <c r="E71" s="224">
        <f t="shared" si="15"/>
        <v>8.4703555642013081E-2</v>
      </c>
      <c r="F71" s="224">
        <f t="shared" si="15"/>
        <v>0.39711829096062795</v>
      </c>
      <c r="G71" s="224">
        <f t="shared" si="15"/>
        <v>0.15608904563431975</v>
      </c>
      <c r="H71" s="313"/>
      <c r="I71" s="182"/>
    </row>
    <row r="72" spans="1:9" x14ac:dyDescent="0.2">
      <c r="A72" s="33" t="s">
        <v>85</v>
      </c>
      <c r="B72" s="221"/>
      <c r="C72" s="225">
        <f t="shared" si="15"/>
        <v>0.3256975557922438</v>
      </c>
      <c r="D72" s="225">
        <f t="shared" si="15"/>
        <v>0.10400607352227227</v>
      </c>
      <c r="E72" s="225">
        <f t="shared" si="15"/>
        <v>8.3835299918511477E-2</v>
      </c>
      <c r="F72" s="225">
        <f t="shared" si="15"/>
        <v>0.37969638003398409</v>
      </c>
      <c r="G72" s="225">
        <f t="shared" si="15"/>
        <v>0.1067646907329883</v>
      </c>
      <c r="H72" s="313"/>
      <c r="I72" s="182"/>
    </row>
    <row r="73" spans="1:9" x14ac:dyDescent="0.2">
      <c r="A73" s="33" t="s">
        <v>172</v>
      </c>
      <c r="B73" s="221"/>
      <c r="C73" s="224">
        <f t="shared" si="15"/>
        <v>0.33935385016712566</v>
      </c>
      <c r="D73" s="224">
        <f t="shared" si="15"/>
        <v>6.0064121891438435E-2</v>
      </c>
      <c r="E73" s="224">
        <f t="shared" si="15"/>
        <v>8.7804426206187641E-2</v>
      </c>
      <c r="F73" s="224">
        <f t="shared" si="15"/>
        <v>0.42160321460803624</v>
      </c>
      <c r="G73" s="224">
        <f t="shared" si="15"/>
        <v>9.117438712721182E-2</v>
      </c>
      <c r="H73" s="313"/>
      <c r="I73" s="182"/>
    </row>
    <row r="74" spans="1:9" x14ac:dyDescent="0.2">
      <c r="A74" s="33"/>
      <c r="B74" s="182"/>
      <c r="C74" s="224"/>
      <c r="D74" s="224"/>
      <c r="E74" s="224"/>
      <c r="F74" s="224"/>
      <c r="G74" s="224"/>
      <c r="H74" s="313"/>
      <c r="I74" s="182"/>
    </row>
    <row r="75" spans="1:9" x14ac:dyDescent="0.2">
      <c r="A75" s="33"/>
      <c r="B75" s="221"/>
      <c r="C75" s="224"/>
      <c r="D75" s="224"/>
      <c r="E75" s="224"/>
      <c r="F75" s="224"/>
      <c r="G75" s="224"/>
      <c r="H75" s="313"/>
      <c r="I75" s="182"/>
    </row>
    <row r="76" spans="1:9" x14ac:dyDescent="0.2">
      <c r="A76" s="33" t="s">
        <v>86</v>
      </c>
      <c r="B76" s="221"/>
      <c r="C76" s="224">
        <f t="shared" ref="C76:G78" si="16">C49/$H49</f>
        <v>0.28973853417017348</v>
      </c>
      <c r="D76" s="224">
        <f t="shared" si="16"/>
        <v>6.0260271460951927E-2</v>
      </c>
      <c r="E76" s="224">
        <f t="shared" si="16"/>
        <v>8.6447740820913277E-2</v>
      </c>
      <c r="F76" s="224">
        <f t="shared" si="16"/>
        <v>0.46649421747623254</v>
      </c>
      <c r="G76" s="224">
        <f t="shared" si="16"/>
        <v>9.7059236071728797E-2</v>
      </c>
      <c r="H76" s="313"/>
      <c r="I76" s="182"/>
    </row>
    <row r="77" spans="1:9" x14ac:dyDescent="0.2">
      <c r="A77" s="33" t="s">
        <v>87</v>
      </c>
      <c r="B77" s="221"/>
      <c r="C77" s="225">
        <f t="shared" si="16"/>
        <v>0.3364427570541807</v>
      </c>
      <c r="D77" s="225">
        <f t="shared" si="16"/>
        <v>7.6879471464374946E-2</v>
      </c>
      <c r="E77" s="225">
        <f t="shared" si="16"/>
        <v>8.5434918273815386E-2</v>
      </c>
      <c r="F77" s="225">
        <f t="shared" si="16"/>
        <v>0.38073747839107797</v>
      </c>
      <c r="G77" s="225">
        <f t="shared" si="16"/>
        <v>0.12050537481655106</v>
      </c>
      <c r="H77" s="313"/>
      <c r="I77" s="182"/>
    </row>
    <row r="78" spans="1:9" x14ac:dyDescent="0.2">
      <c r="A78" s="33" t="s">
        <v>173</v>
      </c>
      <c r="B78" s="221"/>
      <c r="C78" s="224">
        <f t="shared" si="16"/>
        <v>0.31080774146043877</v>
      </c>
      <c r="D78" s="224">
        <f t="shared" si="16"/>
        <v>6.7757524348343395E-2</v>
      </c>
      <c r="E78" s="224">
        <f t="shared" si="16"/>
        <v>8.5990836351138494E-2</v>
      </c>
      <c r="F78" s="224">
        <f t="shared" si="16"/>
        <v>0.42780764052986753</v>
      </c>
      <c r="G78" s="224">
        <f t="shared" si="16"/>
        <v>0.10763625731021166</v>
      </c>
      <c r="H78" s="313"/>
      <c r="I78" s="182"/>
    </row>
    <row r="79" spans="1:9" x14ac:dyDescent="0.2">
      <c r="A79" s="33"/>
      <c r="B79" s="221"/>
      <c r="C79" s="224"/>
      <c r="D79" s="224"/>
      <c r="E79" s="224"/>
      <c r="F79" s="224"/>
      <c r="G79" s="224"/>
      <c r="H79" s="313"/>
      <c r="I79" s="182"/>
    </row>
    <row r="80" spans="1:9" ht="13.5" thickBot="1" x14ac:dyDescent="0.25">
      <c r="A80" s="33" t="s">
        <v>208</v>
      </c>
      <c r="B80" s="221"/>
      <c r="C80" s="226">
        <f>C53/$H53</f>
        <v>0.30570435439296423</v>
      </c>
      <c r="D80" s="226">
        <f>D53/$H53</f>
        <v>4.8595601493797332E-2</v>
      </c>
      <c r="E80" s="226">
        <f>E53/$H53</f>
        <v>8.7532707447609256E-2</v>
      </c>
      <c r="F80" s="226">
        <f>F53/$H53</f>
        <v>0.42985821058648077</v>
      </c>
      <c r="G80" s="226">
        <f>G53/$H53</f>
        <v>0.1283091260791481</v>
      </c>
      <c r="H80" s="313"/>
      <c r="I80" s="182"/>
    </row>
    <row r="81" spans="1:10" ht="13.5" thickTop="1" x14ac:dyDescent="0.2">
      <c r="A81" s="33"/>
      <c r="B81" s="33"/>
      <c r="C81" s="296"/>
      <c r="D81" s="33"/>
      <c r="E81" s="33"/>
      <c r="F81" s="33"/>
      <c r="G81" s="33"/>
      <c r="H81" s="33"/>
      <c r="I81" s="33"/>
      <c r="J81" s="182"/>
    </row>
    <row r="82" spans="1:10" x14ac:dyDescent="0.2">
      <c r="A82" s="33"/>
      <c r="B82" s="33"/>
      <c r="C82" s="33"/>
      <c r="D82" s="33"/>
      <c r="E82" s="33"/>
      <c r="F82" s="33"/>
      <c r="G82" s="33"/>
      <c r="H82" s="33"/>
      <c r="I82" s="33"/>
      <c r="J82" s="182"/>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54"/>
  <dimension ref="A1:W73"/>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 min="12" max="12" width="9.5703125" customWidth="1"/>
    <col min="14" max="14" width="16.5703125" bestFit="1" customWidth="1"/>
    <col min="15" max="15" width="6.28515625" bestFit="1" customWidth="1"/>
    <col min="16" max="16" width="10.42578125" bestFit="1" customWidth="1"/>
    <col min="17" max="17" width="12.85546875" bestFit="1" customWidth="1"/>
    <col min="18" max="18" width="11.140625" bestFit="1" customWidth="1"/>
    <col min="19" max="20" width="10.42578125" bestFit="1" customWidth="1"/>
    <col min="21" max="22" width="9.5703125" bestFit="1" customWidth="1"/>
    <col min="23" max="23" width="11.7109375" bestFit="1" customWidth="1"/>
  </cols>
  <sheetData>
    <row r="1" spans="1:23" x14ac:dyDescent="0.2">
      <c r="A1" s="36" t="s">
        <v>247</v>
      </c>
    </row>
    <row r="2" spans="1:23" x14ac:dyDescent="0.2">
      <c r="A2" s="22" t="s">
        <v>255</v>
      </c>
    </row>
    <row r="3" spans="1:23" ht="22.5" x14ac:dyDescent="0.2">
      <c r="A3" s="155" t="s">
        <v>245</v>
      </c>
      <c r="B3" s="141" t="s">
        <v>122</v>
      </c>
      <c r="C3" s="141" t="s">
        <v>94</v>
      </c>
      <c r="D3" s="141" t="s">
        <v>95</v>
      </c>
      <c r="E3" s="141" t="s">
        <v>96</v>
      </c>
      <c r="F3" s="141" t="s">
        <v>97</v>
      </c>
      <c r="G3" s="141" t="s">
        <v>98</v>
      </c>
      <c r="H3" s="141" t="s">
        <v>99</v>
      </c>
      <c r="I3" s="141" t="s">
        <v>93</v>
      </c>
      <c r="J3" s="141" t="s">
        <v>115</v>
      </c>
      <c r="K3" s="160" t="s">
        <v>113</v>
      </c>
      <c r="L3" s="141" t="s">
        <v>451</v>
      </c>
      <c r="M3" s="1"/>
      <c r="N3" s="1" t="s">
        <v>88</v>
      </c>
      <c r="O3" s="2" t="s">
        <v>122</v>
      </c>
      <c r="P3" s="1" t="s">
        <v>94</v>
      </c>
      <c r="Q3" s="1" t="s">
        <v>95</v>
      </c>
      <c r="R3" s="1" t="s">
        <v>96</v>
      </c>
      <c r="S3" s="1" t="s">
        <v>97</v>
      </c>
      <c r="T3" s="1" t="s">
        <v>98</v>
      </c>
      <c r="U3" s="1" t="s">
        <v>99</v>
      </c>
      <c r="V3" s="1" t="s">
        <v>93</v>
      </c>
      <c r="W3" s="1" t="s">
        <v>100</v>
      </c>
    </row>
    <row r="4" spans="1:23" x14ac:dyDescent="0.2">
      <c r="A4" s="1" t="s">
        <v>102</v>
      </c>
      <c r="B4" s="6">
        <v>41227</v>
      </c>
      <c r="C4" s="6">
        <v>119150550.65000001</v>
      </c>
      <c r="D4" s="6">
        <v>18848129.98</v>
      </c>
      <c r="E4" s="6">
        <v>5671134.54</v>
      </c>
      <c r="F4" s="6">
        <v>10728276.880000001</v>
      </c>
      <c r="G4" s="6">
        <v>18407677.239999998</v>
      </c>
      <c r="H4" s="6">
        <v>6582826</v>
      </c>
      <c r="I4" s="6">
        <v>6751083.1799999997</v>
      </c>
      <c r="J4" s="6">
        <v>8164103.1600000001</v>
      </c>
      <c r="K4" s="6">
        <v>194303781.63</v>
      </c>
      <c r="L4" s="6">
        <f>K4/B4</f>
        <v>4713.0225733136049</v>
      </c>
      <c r="M4" s="1"/>
      <c r="N4" s="1" t="s">
        <v>102</v>
      </c>
      <c r="O4" s="1">
        <v>41227</v>
      </c>
      <c r="P4" s="1">
        <v>119150550.65000001</v>
      </c>
      <c r="Q4" s="1">
        <v>18848129.98</v>
      </c>
      <c r="R4" s="1">
        <v>5671134.54</v>
      </c>
      <c r="S4" s="1">
        <v>10728276.880000001</v>
      </c>
      <c r="T4" s="1">
        <v>18407677.239999998</v>
      </c>
      <c r="U4" s="1">
        <v>6582826</v>
      </c>
      <c r="V4" s="1">
        <v>6751083.1799999997</v>
      </c>
      <c r="W4" s="1">
        <v>8164103.1600000001</v>
      </c>
    </row>
    <row r="5" spans="1:23" x14ac:dyDescent="0.2">
      <c r="A5" s="1" t="s">
        <v>76</v>
      </c>
      <c r="B5" s="6">
        <v>24918</v>
      </c>
      <c r="C5" s="6">
        <v>71495952.950000003</v>
      </c>
      <c r="D5" s="6">
        <v>9858754.4299999997</v>
      </c>
      <c r="E5" s="6">
        <v>4890300.01</v>
      </c>
      <c r="F5" s="6">
        <v>7279640.3899999997</v>
      </c>
      <c r="G5" s="6">
        <v>11231497</v>
      </c>
      <c r="H5" s="6">
        <v>4936697.87</v>
      </c>
      <c r="I5" s="6">
        <v>5647599.04</v>
      </c>
      <c r="J5" s="6">
        <v>5464071.9800000004</v>
      </c>
      <c r="K5" s="6">
        <v>120804513.67000002</v>
      </c>
      <c r="L5" s="6">
        <f t="shared" ref="L5:L23" si="0">K5/B5</f>
        <v>4848.0822566016541</v>
      </c>
      <c r="M5" s="1"/>
      <c r="N5" s="1" t="s">
        <v>76</v>
      </c>
      <c r="O5" s="1">
        <v>24918</v>
      </c>
      <c r="P5" s="1">
        <v>71495952.950000003</v>
      </c>
      <c r="Q5" s="1">
        <v>9858754.4299999997</v>
      </c>
      <c r="R5" s="1">
        <v>4890300.01</v>
      </c>
      <c r="S5" s="1">
        <v>7279640.3899999997</v>
      </c>
      <c r="T5" s="1">
        <v>11231497</v>
      </c>
      <c r="U5" s="1">
        <v>4936697.87</v>
      </c>
      <c r="V5" s="1">
        <v>5647599.04</v>
      </c>
      <c r="W5" s="1">
        <v>5464071.9800000004</v>
      </c>
    </row>
    <row r="6" spans="1:23" x14ac:dyDescent="0.2">
      <c r="A6" s="1" t="s">
        <v>77</v>
      </c>
      <c r="B6" s="6">
        <v>14206</v>
      </c>
      <c r="C6" s="6">
        <v>44596568.520000003</v>
      </c>
      <c r="D6" s="6">
        <v>4916252.71</v>
      </c>
      <c r="E6" s="6">
        <v>4121445.77</v>
      </c>
      <c r="F6" s="6">
        <v>4167662.43</v>
      </c>
      <c r="G6" s="6">
        <v>6947717.0599999996</v>
      </c>
      <c r="H6" s="6">
        <v>3657345.06</v>
      </c>
      <c r="I6" s="6">
        <v>4716931.53</v>
      </c>
      <c r="J6" s="6">
        <v>2325946.7799999998</v>
      </c>
      <c r="K6" s="6">
        <v>75449869.860000014</v>
      </c>
      <c r="L6" s="6">
        <f t="shared" si="0"/>
        <v>5311.1269787413776</v>
      </c>
      <c r="M6" s="1"/>
      <c r="N6" s="1" t="s">
        <v>77</v>
      </c>
      <c r="O6" s="1">
        <v>14206</v>
      </c>
      <c r="P6" s="1">
        <v>44596568.520000003</v>
      </c>
      <c r="Q6" s="1">
        <v>4916252.71</v>
      </c>
      <c r="R6" s="1">
        <v>4121445.77</v>
      </c>
      <c r="S6" s="1">
        <v>4167662.43</v>
      </c>
      <c r="T6" s="1">
        <v>6947717.0599999996</v>
      </c>
      <c r="U6" s="1">
        <v>3657345.06</v>
      </c>
      <c r="V6" s="1">
        <v>4716931.53</v>
      </c>
      <c r="W6" s="1">
        <v>2325946.7799999998</v>
      </c>
    </row>
    <row r="7" spans="1:23" x14ac:dyDescent="0.2">
      <c r="A7" s="1" t="s">
        <v>78</v>
      </c>
      <c r="B7" s="6">
        <v>14270</v>
      </c>
      <c r="C7" s="6">
        <v>41952888.140000001</v>
      </c>
      <c r="D7" s="6">
        <v>3272358.9</v>
      </c>
      <c r="E7" s="6">
        <v>5248447.6500000004</v>
      </c>
      <c r="F7" s="6">
        <v>3017088.33</v>
      </c>
      <c r="G7" s="6">
        <v>6818319.6299999999</v>
      </c>
      <c r="H7" s="6">
        <v>3572011.01</v>
      </c>
      <c r="I7" s="6">
        <v>4891624.09</v>
      </c>
      <c r="J7" s="6">
        <v>6359868.6100000003</v>
      </c>
      <c r="K7" s="6">
        <v>75132606.359999999</v>
      </c>
      <c r="L7" s="6">
        <f t="shared" si="0"/>
        <v>5265.0740266292923</v>
      </c>
      <c r="M7" s="1"/>
      <c r="N7" s="1" t="s">
        <v>78</v>
      </c>
      <c r="O7" s="1">
        <v>14270</v>
      </c>
      <c r="P7" s="1">
        <v>41952888.140000001</v>
      </c>
      <c r="Q7" s="1">
        <v>3272358.9</v>
      </c>
      <c r="R7" s="1">
        <v>5248447.6500000004</v>
      </c>
      <c r="S7" s="1">
        <v>3017088.33</v>
      </c>
      <c r="T7" s="1">
        <v>6818319.6299999999</v>
      </c>
      <c r="U7" s="1">
        <v>3572011.01</v>
      </c>
      <c r="V7" s="1">
        <v>4891624.09</v>
      </c>
      <c r="W7" s="1">
        <v>6359868.6100000003</v>
      </c>
    </row>
    <row r="8" spans="1:23" x14ac:dyDescent="0.2">
      <c r="A8" s="1" t="s">
        <v>79</v>
      </c>
      <c r="B8" s="6">
        <v>6317</v>
      </c>
      <c r="C8" s="6">
        <v>21087880.050000001</v>
      </c>
      <c r="D8" s="6">
        <v>1106946.5600000001</v>
      </c>
      <c r="E8" s="6">
        <v>3328195.65</v>
      </c>
      <c r="F8" s="6">
        <v>1171590.78</v>
      </c>
      <c r="G8" s="6">
        <v>3668995.73</v>
      </c>
      <c r="H8" s="6">
        <v>2811996.92</v>
      </c>
      <c r="I8" s="6">
        <v>2782856.39</v>
      </c>
      <c r="J8" s="6">
        <v>1238374.45</v>
      </c>
      <c r="K8" s="6">
        <v>37196836.530000001</v>
      </c>
      <c r="L8" s="6">
        <f t="shared" si="0"/>
        <v>5888.3705129016944</v>
      </c>
      <c r="M8" s="1"/>
      <c r="N8" s="1" t="s">
        <v>79</v>
      </c>
      <c r="O8" s="1">
        <v>6317</v>
      </c>
      <c r="P8" s="1">
        <v>21087880.050000001</v>
      </c>
      <c r="Q8" s="1">
        <v>1106946.5600000001</v>
      </c>
      <c r="R8" s="1">
        <v>3328195.65</v>
      </c>
      <c r="S8" s="1">
        <v>1171590.78</v>
      </c>
      <c r="T8" s="1">
        <v>3668995.73</v>
      </c>
      <c r="U8" s="1">
        <v>2811996.92</v>
      </c>
      <c r="V8" s="1">
        <v>2782856.39</v>
      </c>
      <c r="W8" s="1">
        <v>1238374.45</v>
      </c>
    </row>
    <row r="9" spans="1:23" x14ac:dyDescent="0.2">
      <c r="A9" s="14" t="s">
        <v>80</v>
      </c>
      <c r="B9" s="7">
        <v>1733</v>
      </c>
      <c r="C9" s="7">
        <v>5376147.4199999999</v>
      </c>
      <c r="D9" s="7">
        <v>136071.35</v>
      </c>
      <c r="E9" s="7">
        <v>753405.23</v>
      </c>
      <c r="F9" s="7">
        <v>87908.62</v>
      </c>
      <c r="G9" s="7">
        <v>989225.05</v>
      </c>
      <c r="H9" s="7">
        <v>693692.14</v>
      </c>
      <c r="I9" s="7">
        <v>165313.44</v>
      </c>
      <c r="J9" s="7">
        <v>126426.54</v>
      </c>
      <c r="K9" s="7">
        <v>8328189.79</v>
      </c>
      <c r="L9" s="6">
        <f t="shared" si="0"/>
        <v>4805.6490421234857</v>
      </c>
      <c r="M9" s="1"/>
      <c r="N9" s="1" t="s">
        <v>80</v>
      </c>
      <c r="O9" s="1">
        <v>1733</v>
      </c>
      <c r="P9" s="1">
        <v>5376147.4199999999</v>
      </c>
      <c r="Q9" s="1">
        <v>136071.35</v>
      </c>
      <c r="R9" s="1">
        <v>753405.23</v>
      </c>
      <c r="S9" s="1">
        <v>87908.62</v>
      </c>
      <c r="T9" s="1">
        <v>989225.05</v>
      </c>
      <c r="U9" s="1">
        <v>693692.14</v>
      </c>
      <c r="V9" s="1">
        <v>165313.44</v>
      </c>
      <c r="W9" s="1">
        <v>126426.54</v>
      </c>
    </row>
    <row r="10" spans="1:23" ht="13.5" thickBot="1" x14ac:dyDescent="0.25">
      <c r="A10" s="1" t="s">
        <v>103</v>
      </c>
      <c r="B10" s="8">
        <v>102671</v>
      </c>
      <c r="C10" s="8">
        <v>303659987.73000008</v>
      </c>
      <c r="D10" s="8">
        <v>38138513.93</v>
      </c>
      <c r="E10" s="8">
        <v>24012928.849999998</v>
      </c>
      <c r="F10" s="8">
        <v>26452167.430000003</v>
      </c>
      <c r="G10" s="8">
        <v>48063431.709999993</v>
      </c>
      <c r="H10" s="8">
        <v>22254569</v>
      </c>
      <c r="I10" s="8">
        <v>24955407.670000002</v>
      </c>
      <c r="J10" s="8">
        <v>23678791.52</v>
      </c>
      <c r="K10" s="8">
        <v>511215797.84000009</v>
      </c>
      <c r="L10" s="8">
        <f t="shared" si="0"/>
        <v>4979.1644947453524</v>
      </c>
      <c r="M10" s="1"/>
      <c r="N10" s="1" t="s">
        <v>81</v>
      </c>
      <c r="O10" s="1">
        <v>21487</v>
      </c>
      <c r="P10" s="1">
        <v>70652287.560000002</v>
      </c>
      <c r="Q10" s="1">
        <v>11020659.029999999</v>
      </c>
      <c r="R10" s="1">
        <v>5850832.1600000001</v>
      </c>
      <c r="S10" s="1">
        <v>5760417.1200000001</v>
      </c>
      <c r="T10" s="1">
        <v>13152232.74</v>
      </c>
      <c r="U10" s="1">
        <v>4140485.1</v>
      </c>
      <c r="V10" s="1">
        <v>8498759.7899999991</v>
      </c>
      <c r="W10" s="1">
        <v>6051513.04</v>
      </c>
    </row>
    <row r="11" spans="1:23" ht="13.5" thickTop="1" x14ac:dyDescent="0.2">
      <c r="A11" s="1"/>
      <c r="B11" s="6"/>
      <c r="C11" s="6"/>
      <c r="D11" s="6"/>
      <c r="E11" s="6"/>
      <c r="F11" s="6"/>
      <c r="G11" s="6"/>
      <c r="H11" s="6"/>
      <c r="I11" s="6"/>
      <c r="J11" s="6"/>
      <c r="K11" s="6"/>
      <c r="L11" s="6"/>
      <c r="M11" s="1"/>
      <c r="N11" s="1" t="s">
        <v>82</v>
      </c>
      <c r="O11" s="1">
        <v>10286</v>
      </c>
      <c r="P11" s="1">
        <v>30898797.800000001</v>
      </c>
      <c r="Q11" s="1">
        <v>4781164.41</v>
      </c>
      <c r="R11" s="1">
        <v>2788466.93</v>
      </c>
      <c r="S11" s="1">
        <v>3850601.81</v>
      </c>
      <c r="T11" s="1">
        <v>6773301</v>
      </c>
      <c r="U11" s="1">
        <v>3631081.38</v>
      </c>
      <c r="V11" s="1">
        <v>5163946.8600000003</v>
      </c>
      <c r="W11" s="1">
        <v>2367362.9500000002</v>
      </c>
    </row>
    <row r="12" spans="1:23" x14ac:dyDescent="0.2">
      <c r="A12" s="1" t="s">
        <v>81</v>
      </c>
      <c r="B12" s="6">
        <v>21487</v>
      </c>
      <c r="C12" s="6">
        <v>70652287.560000002</v>
      </c>
      <c r="D12" s="6">
        <v>11020659.029999999</v>
      </c>
      <c r="E12" s="6">
        <v>5850832.1600000001</v>
      </c>
      <c r="F12" s="6">
        <v>5760417.1200000001</v>
      </c>
      <c r="G12" s="6">
        <v>13152232.74</v>
      </c>
      <c r="H12" s="6">
        <v>4140485.1</v>
      </c>
      <c r="I12" s="6">
        <v>8498759.7899999991</v>
      </c>
      <c r="J12" s="6">
        <v>6051513.04</v>
      </c>
      <c r="K12" s="6">
        <v>125127186.54000001</v>
      </c>
      <c r="L12" s="6">
        <f t="shared" si="0"/>
        <v>5823.3902610881005</v>
      </c>
      <c r="M12" s="1"/>
      <c r="N12" s="1" t="s">
        <v>83</v>
      </c>
      <c r="O12" s="1">
        <v>4524</v>
      </c>
      <c r="P12" s="1">
        <v>14270768.08</v>
      </c>
      <c r="Q12" s="1">
        <v>1870005.58</v>
      </c>
      <c r="R12" s="1">
        <v>1860224.12</v>
      </c>
      <c r="S12" s="1">
        <v>1766770.34</v>
      </c>
      <c r="T12" s="1">
        <v>3327670.21</v>
      </c>
      <c r="U12" s="1">
        <v>1918094.58</v>
      </c>
      <c r="V12" s="1">
        <v>3087605.99</v>
      </c>
      <c r="W12" s="1">
        <v>676539.69</v>
      </c>
    </row>
    <row r="13" spans="1:23" x14ac:dyDescent="0.2">
      <c r="A13" s="1" t="s">
        <v>82</v>
      </c>
      <c r="B13" s="6">
        <v>10286</v>
      </c>
      <c r="C13" s="6">
        <v>30898797.800000001</v>
      </c>
      <c r="D13" s="6">
        <v>4781164.41</v>
      </c>
      <c r="E13" s="6">
        <v>2788466.93</v>
      </c>
      <c r="F13" s="6">
        <v>3850601.81</v>
      </c>
      <c r="G13" s="6">
        <v>6773301</v>
      </c>
      <c r="H13" s="6">
        <v>3631081.38</v>
      </c>
      <c r="I13" s="6">
        <v>5163946.8600000003</v>
      </c>
      <c r="J13" s="6">
        <v>2367362.9500000002</v>
      </c>
      <c r="K13" s="6">
        <v>60254723.140000008</v>
      </c>
      <c r="L13" s="6">
        <f t="shared" si="0"/>
        <v>5857.9353626288166</v>
      </c>
      <c r="M13" s="1"/>
      <c r="N13" s="1" t="s">
        <v>84</v>
      </c>
      <c r="O13" s="1">
        <v>5074</v>
      </c>
      <c r="P13" s="1">
        <v>19635669.239999998</v>
      </c>
      <c r="Q13" s="1">
        <v>1923265.65</v>
      </c>
      <c r="R13" s="1">
        <v>3582826.42</v>
      </c>
      <c r="S13" s="1">
        <v>2236559.75</v>
      </c>
      <c r="T13" s="1">
        <v>4277130.53</v>
      </c>
      <c r="U13" s="1">
        <v>3293989.14</v>
      </c>
      <c r="V13" s="1">
        <v>3506338.63</v>
      </c>
      <c r="W13" s="1">
        <v>1412267.03</v>
      </c>
    </row>
    <row r="14" spans="1:23" x14ac:dyDescent="0.2">
      <c r="A14" s="1" t="s">
        <v>83</v>
      </c>
      <c r="B14" s="6">
        <v>4524</v>
      </c>
      <c r="C14" s="6">
        <v>14270768.08</v>
      </c>
      <c r="D14" s="6">
        <v>1870005.58</v>
      </c>
      <c r="E14" s="6">
        <v>1860224.12</v>
      </c>
      <c r="F14" s="6">
        <v>1766770.34</v>
      </c>
      <c r="G14" s="6">
        <v>3327670.21</v>
      </c>
      <c r="H14" s="6">
        <v>1918094.58</v>
      </c>
      <c r="I14" s="6">
        <v>3087605.99</v>
      </c>
      <c r="J14" s="6">
        <v>676539.69</v>
      </c>
      <c r="K14" s="6">
        <v>28777678.590000007</v>
      </c>
      <c r="L14" s="6">
        <f t="shared" si="0"/>
        <v>6361.113746684352</v>
      </c>
      <c r="M14" s="1"/>
      <c r="N14" s="1" t="s">
        <v>85</v>
      </c>
      <c r="O14" s="1">
        <v>1489</v>
      </c>
      <c r="P14" s="1">
        <v>8035292.9400000004</v>
      </c>
      <c r="Q14" s="1">
        <v>631721.79</v>
      </c>
      <c r="R14" s="1">
        <v>1997659.78</v>
      </c>
      <c r="S14" s="1">
        <v>542298.34</v>
      </c>
      <c r="T14" s="1">
        <v>2169764.35</v>
      </c>
      <c r="U14" s="1">
        <v>1434470.95</v>
      </c>
      <c r="V14" s="1">
        <v>1607569.64</v>
      </c>
      <c r="W14" s="1">
        <v>588172.21</v>
      </c>
    </row>
    <row r="15" spans="1:23" x14ac:dyDescent="0.2">
      <c r="A15" s="1" t="s">
        <v>84</v>
      </c>
      <c r="B15" s="6">
        <v>5074</v>
      </c>
      <c r="C15" s="6">
        <v>19635669.239999998</v>
      </c>
      <c r="D15" s="6">
        <v>1923265.65</v>
      </c>
      <c r="E15" s="6">
        <v>3582826.42</v>
      </c>
      <c r="F15" s="6">
        <v>2236559.75</v>
      </c>
      <c r="G15" s="6">
        <v>4277130.53</v>
      </c>
      <c r="H15" s="6">
        <v>3293989.14</v>
      </c>
      <c r="I15" s="6">
        <v>3506338.63</v>
      </c>
      <c r="J15" s="6">
        <v>1412267.03</v>
      </c>
      <c r="K15" s="6">
        <v>39868046.390000001</v>
      </c>
      <c r="L15" s="6">
        <f t="shared" si="0"/>
        <v>7857.3209282617263</v>
      </c>
      <c r="M15" s="1"/>
      <c r="N15" s="1" t="s">
        <v>86</v>
      </c>
      <c r="O15" s="1">
        <v>11491</v>
      </c>
      <c r="P15" s="1">
        <v>32397371.550000001</v>
      </c>
      <c r="Q15" s="1">
        <v>3340796.69</v>
      </c>
      <c r="R15" s="1">
        <v>2758618.11</v>
      </c>
      <c r="S15" s="1">
        <v>3382101.29</v>
      </c>
      <c r="T15" s="1">
        <v>5772300.7300000004</v>
      </c>
      <c r="U15" s="1">
        <v>3490345.44</v>
      </c>
      <c r="V15" s="1">
        <v>3760971.49</v>
      </c>
      <c r="W15" s="1">
        <v>2163402.7200000002</v>
      </c>
    </row>
    <row r="16" spans="1:23" x14ac:dyDescent="0.2">
      <c r="A16" s="14" t="s">
        <v>85</v>
      </c>
      <c r="B16" s="7">
        <v>1489</v>
      </c>
      <c r="C16" s="7">
        <v>8035292.9400000004</v>
      </c>
      <c r="D16" s="7">
        <v>631721.79</v>
      </c>
      <c r="E16" s="7">
        <v>1997659.78</v>
      </c>
      <c r="F16" s="7">
        <v>542298.34</v>
      </c>
      <c r="G16" s="7">
        <v>2169764.35</v>
      </c>
      <c r="H16" s="7">
        <v>1434470.95</v>
      </c>
      <c r="I16" s="7">
        <v>1607569.64</v>
      </c>
      <c r="J16" s="7">
        <v>588172.21</v>
      </c>
      <c r="K16" s="7">
        <v>17006950</v>
      </c>
      <c r="L16" s="6">
        <f t="shared" si="0"/>
        <v>11421.725990597717</v>
      </c>
      <c r="M16" s="1"/>
      <c r="N16" s="1" t="s">
        <v>87</v>
      </c>
      <c r="O16" s="1">
        <v>6746</v>
      </c>
      <c r="P16" s="1">
        <v>25678530.449999999</v>
      </c>
      <c r="Q16" s="1">
        <v>2038564.42</v>
      </c>
      <c r="R16" s="1">
        <v>4941870.9400000004</v>
      </c>
      <c r="S16" s="1">
        <v>1698905.55</v>
      </c>
      <c r="T16" s="1">
        <v>5394272.71</v>
      </c>
      <c r="U16" s="1">
        <v>3306164.53</v>
      </c>
      <c r="V16" s="1">
        <v>4377105.5199999996</v>
      </c>
      <c r="W16" s="1">
        <v>1531752.9</v>
      </c>
    </row>
    <row r="17" spans="1:23" ht="13.5" thickBot="1" x14ac:dyDescent="0.25">
      <c r="A17" s="1" t="s">
        <v>104</v>
      </c>
      <c r="B17" s="8">
        <v>42860</v>
      </c>
      <c r="C17" s="8">
        <v>143492815.62</v>
      </c>
      <c r="D17" s="8">
        <v>20226816.459999997</v>
      </c>
      <c r="E17" s="8">
        <v>16080009.41</v>
      </c>
      <c r="F17" s="8">
        <v>14156647.359999999</v>
      </c>
      <c r="G17" s="8">
        <v>29700098.830000006</v>
      </c>
      <c r="H17" s="8">
        <v>14418121.15</v>
      </c>
      <c r="I17" s="8">
        <v>21864220.91</v>
      </c>
      <c r="J17" s="8">
        <v>11095854.919999998</v>
      </c>
      <c r="K17" s="8">
        <v>271034584.66000003</v>
      </c>
      <c r="L17" s="8">
        <f t="shared" si="0"/>
        <v>6323.7187274848347</v>
      </c>
      <c r="M17" s="1"/>
      <c r="N17" s="6"/>
      <c r="O17" s="6"/>
      <c r="P17" s="6"/>
      <c r="Q17" s="6"/>
      <c r="R17" s="6"/>
      <c r="S17" s="6"/>
      <c r="T17" s="6"/>
      <c r="U17" s="6"/>
      <c r="V17" s="6"/>
      <c r="W17" s="1"/>
    </row>
    <row r="18" spans="1:23" ht="13.5" thickTop="1" x14ac:dyDescent="0.2">
      <c r="A18" s="1"/>
      <c r="B18" s="6"/>
      <c r="C18" s="6"/>
      <c r="D18" s="6"/>
      <c r="E18" s="6"/>
      <c r="F18" s="6"/>
      <c r="G18" s="6"/>
      <c r="H18" s="6"/>
      <c r="I18" s="6"/>
      <c r="J18" s="6"/>
      <c r="K18" s="6"/>
      <c r="L18" s="6"/>
      <c r="M18" s="1"/>
      <c r="N18" s="6"/>
      <c r="O18" s="6"/>
      <c r="P18" s="6"/>
      <c r="Q18" s="6"/>
      <c r="R18" s="6"/>
      <c r="S18" s="6"/>
      <c r="T18" s="6"/>
      <c r="U18" s="6"/>
      <c r="V18" s="6"/>
      <c r="W18" s="1"/>
    </row>
    <row r="19" spans="1:23" x14ac:dyDescent="0.2">
      <c r="A19" s="1" t="s">
        <v>86</v>
      </c>
      <c r="B19" s="6">
        <v>11491</v>
      </c>
      <c r="C19" s="6">
        <v>32397371.550000001</v>
      </c>
      <c r="D19" s="6">
        <v>3340796.69</v>
      </c>
      <c r="E19" s="6">
        <v>2758618.11</v>
      </c>
      <c r="F19" s="6">
        <v>3382101.29</v>
      </c>
      <c r="G19" s="6">
        <v>5772300.7300000004</v>
      </c>
      <c r="H19" s="6">
        <v>3490345.44</v>
      </c>
      <c r="I19" s="6">
        <v>3760971.49</v>
      </c>
      <c r="J19" s="6">
        <v>2163402.7200000002</v>
      </c>
      <c r="K19" s="6">
        <v>57065908.020000003</v>
      </c>
      <c r="L19" s="6">
        <f t="shared" si="0"/>
        <v>4966.1394151945005</v>
      </c>
    </row>
    <row r="20" spans="1:23" x14ac:dyDescent="0.2">
      <c r="A20" s="14" t="s">
        <v>87</v>
      </c>
      <c r="B20" s="7">
        <v>6746</v>
      </c>
      <c r="C20" s="7">
        <v>25678530.449999999</v>
      </c>
      <c r="D20" s="7">
        <v>2038564.42</v>
      </c>
      <c r="E20" s="7">
        <v>4941870.9400000004</v>
      </c>
      <c r="F20" s="7">
        <v>1698905.55</v>
      </c>
      <c r="G20" s="7">
        <v>5394272.71</v>
      </c>
      <c r="H20" s="7">
        <v>3306164.53</v>
      </c>
      <c r="I20" s="7">
        <v>4377105.5199999996</v>
      </c>
      <c r="J20" s="7">
        <v>1531752.9</v>
      </c>
      <c r="K20" s="7">
        <v>48967167.020000003</v>
      </c>
      <c r="L20" s="6">
        <f t="shared" si="0"/>
        <v>7258.6965638897127</v>
      </c>
    </row>
    <row r="21" spans="1:23" ht="13.5" thickBot="1" x14ac:dyDescent="0.25">
      <c r="A21" s="1" t="s">
        <v>105</v>
      </c>
      <c r="B21" s="8">
        <v>18237</v>
      </c>
      <c r="C21" s="8">
        <v>58075902</v>
      </c>
      <c r="D21" s="8">
        <v>5379361.1099999994</v>
      </c>
      <c r="E21" s="8">
        <v>7700489.0500000007</v>
      </c>
      <c r="F21" s="8">
        <v>5081006.84</v>
      </c>
      <c r="G21" s="8">
        <v>11166573.440000001</v>
      </c>
      <c r="H21" s="8">
        <v>6796509.9699999997</v>
      </c>
      <c r="I21" s="8">
        <v>8138077.0099999998</v>
      </c>
      <c r="J21" s="8">
        <v>3695155.62</v>
      </c>
      <c r="K21" s="8">
        <v>106033075.04000001</v>
      </c>
      <c r="L21" s="8">
        <f t="shared" si="0"/>
        <v>5814.1731118056705</v>
      </c>
    </row>
    <row r="22" spans="1:23" ht="13.5" thickTop="1" x14ac:dyDescent="0.2">
      <c r="A22" s="1"/>
      <c r="B22" s="6"/>
      <c r="C22" s="6"/>
      <c r="D22" s="6"/>
      <c r="E22" s="6"/>
      <c r="F22" s="6"/>
      <c r="G22" s="6"/>
      <c r="H22" s="6"/>
      <c r="I22" s="6"/>
      <c r="J22" s="6"/>
      <c r="K22" s="6"/>
      <c r="L22" s="6"/>
    </row>
    <row r="23" spans="1:23" ht="13.5" thickBot="1" x14ac:dyDescent="0.25">
      <c r="A23" s="15" t="s">
        <v>114</v>
      </c>
      <c r="B23" s="8">
        <v>163768</v>
      </c>
      <c r="C23" s="8">
        <v>505228705.35000008</v>
      </c>
      <c r="D23" s="8">
        <v>63744691.5</v>
      </c>
      <c r="E23" s="8">
        <v>47793427.310000002</v>
      </c>
      <c r="F23" s="8">
        <v>45689821.63000001</v>
      </c>
      <c r="G23" s="8">
        <v>88930103.979999989</v>
      </c>
      <c r="H23" s="8">
        <v>43469200.119999997</v>
      </c>
      <c r="I23" s="8">
        <v>54957705.589999996</v>
      </c>
      <c r="J23" s="8">
        <v>38469802.059999995</v>
      </c>
      <c r="K23" s="8">
        <v>888283457.54000008</v>
      </c>
      <c r="L23" s="126">
        <f t="shared" si="0"/>
        <v>5424.0355719066001</v>
      </c>
    </row>
    <row r="24" spans="1:23" ht="13.5" thickTop="1" x14ac:dyDescent="0.2">
      <c r="A24" s="1"/>
      <c r="B24" s="6"/>
      <c r="C24" s="6"/>
      <c r="D24" s="6"/>
      <c r="E24" s="6"/>
      <c r="F24" s="6"/>
      <c r="G24" s="6"/>
      <c r="H24" s="6"/>
      <c r="I24" s="6"/>
      <c r="J24" s="6"/>
      <c r="K24" s="6"/>
      <c r="L24" s="6"/>
    </row>
    <row r="25" spans="1:23" x14ac:dyDescent="0.2">
      <c r="A25" s="36" t="s">
        <v>247</v>
      </c>
      <c r="B25" s="6"/>
      <c r="C25" s="6"/>
      <c r="D25" s="6"/>
      <c r="E25" s="6"/>
      <c r="F25" s="6"/>
      <c r="G25" s="6"/>
      <c r="H25" s="6"/>
      <c r="I25" s="6"/>
      <c r="J25" s="6"/>
      <c r="K25" s="1"/>
      <c r="L25" s="1"/>
    </row>
    <row r="26" spans="1:23" x14ac:dyDescent="0.2">
      <c r="A26" s="36" t="s">
        <v>260</v>
      </c>
      <c r="B26" s="6"/>
      <c r="C26" s="6"/>
      <c r="D26" s="6"/>
      <c r="E26" s="6"/>
      <c r="F26" s="6"/>
      <c r="G26" s="6"/>
      <c r="H26" s="6"/>
      <c r="I26" s="6"/>
      <c r="J26" s="6"/>
      <c r="K26" s="1"/>
      <c r="L26" s="1"/>
    </row>
    <row r="27" spans="1:23" ht="22.5" x14ac:dyDescent="0.2">
      <c r="A27" s="155" t="s">
        <v>245</v>
      </c>
      <c r="B27" s="141" t="s">
        <v>122</v>
      </c>
      <c r="C27" s="141" t="s">
        <v>94</v>
      </c>
      <c r="D27" s="141" t="s">
        <v>95</v>
      </c>
      <c r="E27" s="141" t="s">
        <v>96</v>
      </c>
      <c r="F27" s="141" t="s">
        <v>97</v>
      </c>
      <c r="G27" s="141" t="s">
        <v>98</v>
      </c>
      <c r="H27" s="141" t="s">
        <v>99</v>
      </c>
      <c r="I27" s="141" t="s">
        <v>93</v>
      </c>
      <c r="J27" s="141" t="s">
        <v>115</v>
      </c>
      <c r="K27" s="160" t="s">
        <v>113</v>
      </c>
      <c r="L27" s="13"/>
    </row>
    <row r="28" spans="1:23" x14ac:dyDescent="0.2">
      <c r="A28" s="1" t="s">
        <v>102</v>
      </c>
      <c r="B28" s="6">
        <v>41227</v>
      </c>
      <c r="C28" s="6">
        <v>2890.1096526548135</v>
      </c>
      <c r="D28" s="6">
        <v>457.17927523225075</v>
      </c>
      <c r="E28" s="6">
        <v>137.55874887816236</v>
      </c>
      <c r="F28" s="6">
        <v>260.22453440706335</v>
      </c>
      <c r="G28" s="6">
        <v>446.49567613457197</v>
      </c>
      <c r="H28" s="6">
        <v>159.67269022727825</v>
      </c>
      <c r="I28" s="6">
        <v>163.75392776578454</v>
      </c>
      <c r="J28" s="6">
        <v>198.02806801368035</v>
      </c>
      <c r="K28" s="6">
        <v>4713.0225733136049</v>
      </c>
      <c r="L28" s="6"/>
    </row>
    <row r="29" spans="1:23" x14ac:dyDescent="0.2">
      <c r="A29" s="1" t="s">
        <v>76</v>
      </c>
      <c r="B29" s="6">
        <v>24918</v>
      </c>
      <c r="C29" s="6">
        <v>2869.2492555582312</v>
      </c>
      <c r="D29" s="6">
        <v>395.64790231960831</v>
      </c>
      <c r="E29" s="6">
        <v>196.255719158841</v>
      </c>
      <c r="F29" s="6">
        <v>292.14384741953609</v>
      </c>
      <c r="G29" s="6">
        <v>450.73830162934422</v>
      </c>
      <c r="H29" s="6">
        <v>198.11774099044868</v>
      </c>
      <c r="I29" s="6">
        <v>226.64736495705915</v>
      </c>
      <c r="J29" s="6">
        <v>219.28212456858498</v>
      </c>
      <c r="K29" s="6">
        <v>4848.0822566016541</v>
      </c>
      <c r="L29" s="6"/>
    </row>
    <row r="30" spans="1:23" x14ac:dyDescent="0.2">
      <c r="A30" s="1" t="s">
        <v>77</v>
      </c>
      <c r="B30" s="6">
        <v>14206</v>
      </c>
      <c r="C30" s="6">
        <v>3139.276961847107</v>
      </c>
      <c r="D30" s="6">
        <v>346.06875334365759</v>
      </c>
      <c r="E30" s="6">
        <v>290.12007391243139</v>
      </c>
      <c r="F30" s="6">
        <v>293.37339363649164</v>
      </c>
      <c r="G30" s="6">
        <v>489.06920033788538</v>
      </c>
      <c r="H30" s="6">
        <v>257.45072926932284</v>
      </c>
      <c r="I30" s="6">
        <v>332.03797902294809</v>
      </c>
      <c r="J30" s="6">
        <v>163.72988737153315</v>
      </c>
      <c r="K30" s="6">
        <v>5311.1269787413776</v>
      </c>
      <c r="L30" s="6"/>
    </row>
    <row r="31" spans="1:23" x14ac:dyDescent="0.2">
      <c r="A31" s="1" t="s">
        <v>78</v>
      </c>
      <c r="B31" s="6">
        <v>14270</v>
      </c>
      <c r="C31" s="6">
        <v>2939.9360995094603</v>
      </c>
      <c r="D31" s="6">
        <v>229.31737210932025</v>
      </c>
      <c r="E31" s="6">
        <v>367.79591100210234</v>
      </c>
      <c r="F31" s="6">
        <v>211.42875473020322</v>
      </c>
      <c r="G31" s="6">
        <v>477.80796285914505</v>
      </c>
      <c r="H31" s="6">
        <v>250.31611843027329</v>
      </c>
      <c r="I31" s="6">
        <v>342.7907561317449</v>
      </c>
      <c r="J31" s="6">
        <v>445.68105185704275</v>
      </c>
      <c r="K31" s="6">
        <v>5265.0740266292923</v>
      </c>
      <c r="L31" s="6"/>
    </row>
    <row r="32" spans="1:23" x14ac:dyDescent="0.2">
      <c r="A32" s="1" t="s">
        <v>79</v>
      </c>
      <c r="B32" s="6">
        <v>6317</v>
      </c>
      <c r="C32" s="6">
        <v>3338.2745053031504</v>
      </c>
      <c r="D32" s="6">
        <v>175.23295235079945</v>
      </c>
      <c r="E32" s="6">
        <v>526.86332911192017</v>
      </c>
      <c r="F32" s="6">
        <v>185.46632578755739</v>
      </c>
      <c r="G32" s="6">
        <v>580.81300142472696</v>
      </c>
      <c r="H32" s="6">
        <v>445.14752572423617</v>
      </c>
      <c r="I32" s="6">
        <v>440.53449263891088</v>
      </c>
      <c r="J32" s="6">
        <v>196.0383805603926</v>
      </c>
      <c r="K32" s="6">
        <v>5888.3705129016944</v>
      </c>
      <c r="L32" s="6"/>
    </row>
    <row r="33" spans="1:12" x14ac:dyDescent="0.2">
      <c r="A33" s="14" t="s">
        <v>80</v>
      </c>
      <c r="B33" s="7">
        <v>1733</v>
      </c>
      <c r="C33" s="7">
        <v>3102.2200923254472</v>
      </c>
      <c r="D33" s="7">
        <v>78.517801500288527</v>
      </c>
      <c r="E33" s="7">
        <v>434.74046739757642</v>
      </c>
      <c r="F33" s="7">
        <v>50.726266589728795</v>
      </c>
      <c r="G33" s="7">
        <v>570.81653202538951</v>
      </c>
      <c r="H33" s="7">
        <v>400.28398153491059</v>
      </c>
      <c r="I33" s="7">
        <v>95.39148297749567</v>
      </c>
      <c r="J33" s="7">
        <v>72.952417772648587</v>
      </c>
      <c r="K33" s="7">
        <v>4805.6490421234857</v>
      </c>
      <c r="L33" s="6"/>
    </row>
    <row r="34" spans="1:12" x14ac:dyDescent="0.2">
      <c r="A34" s="1" t="s">
        <v>103</v>
      </c>
      <c r="B34" s="6">
        <v>102671</v>
      </c>
      <c r="C34" s="6">
        <v>2957.6023193501583</v>
      </c>
      <c r="D34" s="6">
        <v>371.46335313769225</v>
      </c>
      <c r="E34" s="6">
        <v>233.88229246817502</v>
      </c>
      <c r="F34" s="6">
        <v>257.64010704093664</v>
      </c>
      <c r="G34" s="6">
        <v>468.1305501066513</v>
      </c>
      <c r="H34" s="6">
        <v>216.75613366968278</v>
      </c>
      <c r="I34" s="6">
        <v>243.06189352397465</v>
      </c>
      <c r="J34" s="6">
        <v>230.62784544808173</v>
      </c>
      <c r="K34" s="6">
        <v>4979.1644947453524</v>
      </c>
      <c r="L34" s="6"/>
    </row>
    <row r="35" spans="1:12" x14ac:dyDescent="0.2">
      <c r="A35" s="1"/>
      <c r="B35" s="6"/>
      <c r="C35" s="6"/>
      <c r="D35" s="6"/>
      <c r="E35" s="6"/>
      <c r="F35" s="6"/>
      <c r="G35" s="6"/>
      <c r="H35" s="6"/>
      <c r="I35" s="6"/>
      <c r="J35" s="6"/>
      <c r="K35" s="6"/>
      <c r="L35" s="6"/>
    </row>
    <row r="36" spans="1:12" x14ac:dyDescent="0.2">
      <c r="A36" s="1" t="s">
        <v>81</v>
      </c>
      <c r="B36" s="6">
        <v>21487</v>
      </c>
      <c r="C36" s="6">
        <v>3288.1410880997814</v>
      </c>
      <c r="D36" s="6">
        <v>512.89891701959323</v>
      </c>
      <c r="E36" s="6">
        <v>272.29637269046401</v>
      </c>
      <c r="F36" s="6">
        <v>268.08847768418116</v>
      </c>
      <c r="G36" s="6">
        <v>612.10186345232</v>
      </c>
      <c r="H36" s="6">
        <v>192.69721692185973</v>
      </c>
      <c r="I36" s="6">
        <v>395.53031088565177</v>
      </c>
      <c r="J36" s="6">
        <v>281.63601433424861</v>
      </c>
      <c r="K36" s="6">
        <v>5823.3902610881005</v>
      </c>
      <c r="L36" s="6"/>
    </row>
    <row r="37" spans="1:12" x14ac:dyDescent="0.2">
      <c r="A37" s="1" t="s">
        <v>82</v>
      </c>
      <c r="B37" s="6">
        <v>10286</v>
      </c>
      <c r="C37" s="6">
        <v>3003.9663426015945</v>
      </c>
      <c r="D37" s="6">
        <v>464.8225170134163</v>
      </c>
      <c r="E37" s="6">
        <v>271.09342115496793</v>
      </c>
      <c r="F37" s="6">
        <v>374.35366614816257</v>
      </c>
      <c r="G37" s="6">
        <v>658.49708341434962</v>
      </c>
      <c r="H37" s="6">
        <v>353.01199494458484</v>
      </c>
      <c r="I37" s="6">
        <v>502.03644370989696</v>
      </c>
      <c r="J37" s="6">
        <v>230.1538936418433</v>
      </c>
      <c r="K37" s="6">
        <v>5857.9353626288166</v>
      </c>
      <c r="L37" s="6"/>
    </row>
    <row r="38" spans="1:12" x14ac:dyDescent="0.2">
      <c r="A38" s="1" t="s">
        <v>83</v>
      </c>
      <c r="B38" s="6">
        <v>4524</v>
      </c>
      <c r="C38" s="6">
        <v>3154.4580194518126</v>
      </c>
      <c r="D38" s="6">
        <v>413.35225022104333</v>
      </c>
      <c r="E38" s="6">
        <v>411.19012378426174</v>
      </c>
      <c r="F38" s="6">
        <v>390.53278956675513</v>
      </c>
      <c r="G38" s="6">
        <v>735.55928603006191</v>
      </c>
      <c r="H38" s="6">
        <v>423.9820026525199</v>
      </c>
      <c r="I38" s="6">
        <v>682.49469274977901</v>
      </c>
      <c r="J38" s="6">
        <v>149.5445822281167</v>
      </c>
      <c r="K38" s="6">
        <v>6361.113746684352</v>
      </c>
      <c r="L38" s="6"/>
    </row>
    <row r="39" spans="1:12" x14ac:dyDescent="0.2">
      <c r="A39" s="1" t="s">
        <v>84</v>
      </c>
      <c r="B39" s="6">
        <v>5074</v>
      </c>
      <c r="C39" s="6">
        <v>3869.859921166732</v>
      </c>
      <c r="D39" s="6">
        <v>379.04328931809221</v>
      </c>
      <c r="E39" s="6">
        <v>706.11478517934563</v>
      </c>
      <c r="F39" s="6">
        <v>440.78828340559716</v>
      </c>
      <c r="G39" s="6">
        <v>842.95043949546709</v>
      </c>
      <c r="H39" s="6">
        <v>649.18981868348442</v>
      </c>
      <c r="I39" s="6">
        <v>691.04032912889238</v>
      </c>
      <c r="J39" s="6">
        <v>278.3340618841151</v>
      </c>
      <c r="K39" s="6">
        <v>7857.3209282617263</v>
      </c>
      <c r="L39" s="6"/>
    </row>
    <row r="40" spans="1:12" x14ac:dyDescent="0.2">
      <c r="A40" s="14" t="s">
        <v>85</v>
      </c>
      <c r="B40" s="7">
        <v>1489</v>
      </c>
      <c r="C40" s="7">
        <v>5396.4358226997992</v>
      </c>
      <c r="D40" s="7">
        <v>424.25909335124248</v>
      </c>
      <c r="E40" s="7">
        <v>1341.6116722632639</v>
      </c>
      <c r="F40" s="7">
        <v>364.20304902619205</v>
      </c>
      <c r="G40" s="7">
        <v>1457.1956682337141</v>
      </c>
      <c r="H40" s="7">
        <v>963.3787441235728</v>
      </c>
      <c r="I40" s="7">
        <v>1079.6303828072532</v>
      </c>
      <c r="J40" s="7">
        <v>395.01155809267965</v>
      </c>
      <c r="K40" s="7">
        <v>11421.725990597717</v>
      </c>
      <c r="L40" s="6"/>
    </row>
    <row r="41" spans="1:12" x14ac:dyDescent="0.2">
      <c r="A41" s="1" t="s">
        <v>104</v>
      </c>
      <c r="B41" s="6">
        <v>42860</v>
      </c>
      <c r="C41" s="6">
        <v>3347.9425016332248</v>
      </c>
      <c r="D41" s="6">
        <v>471.92758889407366</v>
      </c>
      <c r="E41" s="6">
        <v>375.17520788614092</v>
      </c>
      <c r="F41" s="6">
        <v>330.29975174988334</v>
      </c>
      <c r="G41" s="6">
        <v>692.95610895940285</v>
      </c>
      <c r="H41" s="6">
        <v>336.40040013999067</v>
      </c>
      <c r="I41" s="6">
        <v>510.13114582361175</v>
      </c>
      <c r="J41" s="6">
        <v>258.88602239850673</v>
      </c>
      <c r="K41" s="6">
        <v>6323.7187274848347</v>
      </c>
      <c r="L41" s="6"/>
    </row>
    <row r="42" spans="1:12" x14ac:dyDescent="0.2">
      <c r="A42" s="1"/>
      <c r="B42" s="6"/>
      <c r="C42" s="6"/>
      <c r="D42" s="6"/>
      <c r="E42" s="6"/>
      <c r="F42" s="6"/>
      <c r="G42" s="6"/>
      <c r="H42" s="6"/>
      <c r="I42" s="6"/>
      <c r="J42" s="6"/>
      <c r="K42" s="6"/>
      <c r="L42" s="6"/>
    </row>
    <row r="43" spans="1:12" x14ac:dyDescent="0.2">
      <c r="A43" s="1" t="s">
        <v>86</v>
      </c>
      <c r="B43" s="6">
        <v>11491</v>
      </c>
      <c r="C43" s="6">
        <v>2819.3692063353928</v>
      </c>
      <c r="D43" s="6">
        <v>290.73158906970673</v>
      </c>
      <c r="E43" s="6">
        <v>240.0677147332695</v>
      </c>
      <c r="F43" s="6">
        <v>294.32610651814463</v>
      </c>
      <c r="G43" s="6">
        <v>502.33232355756684</v>
      </c>
      <c r="H43" s="6">
        <v>303.74601340179271</v>
      </c>
      <c r="I43" s="6">
        <v>327.29714472195633</v>
      </c>
      <c r="J43" s="6">
        <v>188.26931685667046</v>
      </c>
      <c r="K43" s="6">
        <v>4966.1394151945005</v>
      </c>
      <c r="L43" s="6"/>
    </row>
    <row r="44" spans="1:12" x14ac:dyDescent="0.2">
      <c r="A44" s="14" t="s">
        <v>87</v>
      </c>
      <c r="B44" s="7">
        <v>6746</v>
      </c>
      <c r="C44" s="7">
        <v>3806.482426623184</v>
      </c>
      <c r="D44" s="7">
        <v>302.18861844055738</v>
      </c>
      <c r="E44" s="7">
        <v>732.56313963830428</v>
      </c>
      <c r="F44" s="7">
        <v>251.83894900681886</v>
      </c>
      <c r="G44" s="7">
        <v>799.62536466053962</v>
      </c>
      <c r="H44" s="7">
        <v>490.09257782389562</v>
      </c>
      <c r="I44" s="7">
        <v>648.84457752742355</v>
      </c>
      <c r="J44" s="7">
        <v>227.06091016898901</v>
      </c>
      <c r="K44" s="7">
        <v>7258.6965638897127</v>
      </c>
      <c r="L44" s="6"/>
    </row>
    <row r="45" spans="1:12" x14ac:dyDescent="0.2">
      <c r="A45" s="1" t="s">
        <v>105</v>
      </c>
      <c r="B45" s="6">
        <v>18237</v>
      </c>
      <c r="C45" s="6">
        <v>3184.5096232933047</v>
      </c>
      <c r="D45" s="6">
        <v>294.969628228327</v>
      </c>
      <c r="E45" s="6">
        <v>422.24538301255694</v>
      </c>
      <c r="F45" s="6">
        <v>278.60979547074629</v>
      </c>
      <c r="G45" s="6">
        <v>612.30319899106223</v>
      </c>
      <c r="H45" s="6">
        <v>372.67697373471515</v>
      </c>
      <c r="I45" s="6">
        <v>446.2398974612052</v>
      </c>
      <c r="J45" s="6">
        <v>202.61861161375228</v>
      </c>
      <c r="K45" s="6">
        <v>5814.1731118056705</v>
      </c>
      <c r="L45" s="6"/>
    </row>
    <row r="46" spans="1:12" x14ac:dyDescent="0.2">
      <c r="A46" s="1"/>
      <c r="B46" s="6"/>
      <c r="C46" s="6"/>
      <c r="D46" s="6"/>
      <c r="E46" s="6"/>
      <c r="F46" s="6"/>
      <c r="G46" s="6"/>
      <c r="H46" s="6"/>
      <c r="I46" s="6"/>
      <c r="J46" s="6"/>
      <c r="K46" s="6"/>
      <c r="L46" s="6"/>
    </row>
    <row r="47" spans="1:12" ht="13.5" thickBot="1" x14ac:dyDescent="0.25">
      <c r="A47" s="15" t="s">
        <v>114</v>
      </c>
      <c r="B47" s="8">
        <v>163768</v>
      </c>
      <c r="C47" s="8">
        <v>3085.027022067804</v>
      </c>
      <c r="D47" s="8">
        <v>389.23777233647598</v>
      </c>
      <c r="E47" s="8">
        <v>291.83617867959555</v>
      </c>
      <c r="F47" s="8">
        <v>278.99114375213725</v>
      </c>
      <c r="G47" s="8">
        <v>543.02491316984992</v>
      </c>
      <c r="H47" s="8">
        <v>265.43158687899955</v>
      </c>
      <c r="I47" s="8">
        <v>335.58268764349566</v>
      </c>
      <c r="J47" s="8">
        <v>234.90426737824237</v>
      </c>
      <c r="K47" s="8">
        <v>5424.0355719066001</v>
      </c>
      <c r="L47" s="6"/>
    </row>
    <row r="48" spans="1:12" ht="13.5" thickTop="1" x14ac:dyDescent="0.2">
      <c r="A48" s="1"/>
      <c r="B48" s="6"/>
      <c r="C48" s="6"/>
      <c r="D48" s="6"/>
      <c r="E48" s="6"/>
      <c r="F48" s="6"/>
      <c r="G48" s="6"/>
      <c r="H48" s="6"/>
      <c r="I48" s="6"/>
      <c r="J48" s="6"/>
      <c r="K48" s="6"/>
      <c r="L48" s="6"/>
    </row>
    <row r="49" spans="1:12" x14ac:dyDescent="0.2">
      <c r="A49" s="1"/>
      <c r="B49" s="6"/>
      <c r="C49" s="6"/>
      <c r="D49" s="6"/>
      <c r="E49" s="6"/>
      <c r="F49" s="6"/>
      <c r="G49" s="6"/>
      <c r="H49" s="6"/>
      <c r="I49" s="6"/>
      <c r="J49" s="6"/>
      <c r="K49" s="6"/>
      <c r="L49" s="6"/>
    </row>
    <row r="50" spans="1:12" x14ac:dyDescent="0.2">
      <c r="A50" s="36" t="s">
        <v>247</v>
      </c>
    </row>
    <row r="51" spans="1:12" x14ac:dyDescent="0.2">
      <c r="A51" s="22" t="s">
        <v>267</v>
      </c>
      <c r="B51" s="6"/>
      <c r="C51" s="6"/>
      <c r="D51" s="6"/>
      <c r="E51" s="6"/>
      <c r="F51" s="6"/>
      <c r="G51" s="6"/>
      <c r="H51" s="6"/>
      <c r="I51" s="6"/>
      <c r="J51" s="6"/>
      <c r="K51" s="1"/>
      <c r="L51" s="1"/>
    </row>
    <row r="52" spans="1:12" ht="22.5" x14ac:dyDescent="0.2">
      <c r="A52" s="155" t="s">
        <v>245</v>
      </c>
      <c r="B52" s="161"/>
      <c r="C52" s="141" t="s">
        <v>94</v>
      </c>
      <c r="D52" s="141" t="s">
        <v>95</v>
      </c>
      <c r="E52" s="141" t="s">
        <v>96</v>
      </c>
      <c r="F52" s="141" t="s">
        <v>97</v>
      </c>
      <c r="G52" s="141" t="s">
        <v>98</v>
      </c>
      <c r="H52" s="141" t="s">
        <v>99</v>
      </c>
      <c r="I52" s="141" t="s">
        <v>93</v>
      </c>
      <c r="J52" s="141" t="s">
        <v>115</v>
      </c>
      <c r="K52" s="13"/>
      <c r="L52" s="13"/>
    </row>
    <row r="53" spans="1:12" x14ac:dyDescent="0.2">
      <c r="A53" s="1" t="s">
        <v>102</v>
      </c>
      <c r="B53" s="6"/>
      <c r="C53" s="9">
        <v>0.61321786766297026</v>
      </c>
      <c r="D53" s="9">
        <v>9.7003413015868442E-2</v>
      </c>
      <c r="E53" s="9">
        <v>2.9186948871634269E-2</v>
      </c>
      <c r="F53" s="9">
        <v>5.5213937629012069E-2</v>
      </c>
      <c r="G53" s="9">
        <v>9.4736587654544666E-2</v>
      </c>
      <c r="H53" s="9">
        <v>3.3879042110128592E-2</v>
      </c>
      <c r="I53" s="9">
        <v>3.4744991185275263E-2</v>
      </c>
      <c r="J53" s="9">
        <v>4.201721187056652E-2</v>
      </c>
      <c r="K53" s="9"/>
      <c r="L53" s="9"/>
    </row>
    <row r="54" spans="1:12" x14ac:dyDescent="0.2">
      <c r="A54" s="1" t="s">
        <v>76</v>
      </c>
      <c r="B54" s="6"/>
      <c r="C54" s="9">
        <v>0.59183180146152892</v>
      </c>
      <c r="D54" s="9">
        <v>8.1609156235097471E-2</v>
      </c>
      <c r="E54" s="9">
        <v>4.0481103407764743E-2</v>
      </c>
      <c r="F54" s="9">
        <v>6.025967216660208E-2</v>
      </c>
      <c r="G54" s="9">
        <v>9.2972494642716091E-2</v>
      </c>
      <c r="H54" s="9">
        <v>4.0865177301946748E-2</v>
      </c>
      <c r="I54" s="9">
        <v>4.674990088058685E-2</v>
      </c>
      <c r="J54" s="9">
        <v>4.5230693903757016E-2</v>
      </c>
      <c r="K54" s="9"/>
      <c r="L54" s="9"/>
    </row>
    <row r="55" spans="1:12" x14ac:dyDescent="0.2">
      <c r="A55" s="1" t="s">
        <v>77</v>
      </c>
      <c r="B55" s="6"/>
      <c r="C55" s="9">
        <v>0.59107548631628615</v>
      </c>
      <c r="D55" s="9">
        <v>6.5159194033366605E-2</v>
      </c>
      <c r="E55" s="9">
        <v>5.4624955319969318E-2</v>
      </c>
      <c r="F55" s="9">
        <v>5.5237503228743143E-2</v>
      </c>
      <c r="G55" s="9">
        <v>9.2083883946940434E-2</v>
      </c>
      <c r="H55" s="9">
        <v>4.8473841860646516E-2</v>
      </c>
      <c r="I55" s="9">
        <v>6.2517424334229327E-2</v>
      </c>
      <c r="J55" s="9">
        <v>3.0827710959818476E-2</v>
      </c>
      <c r="K55" s="9"/>
      <c r="L55" s="9"/>
    </row>
    <row r="56" spans="1:12" x14ac:dyDescent="0.2">
      <c r="A56" s="1" t="s">
        <v>78</v>
      </c>
      <c r="B56" s="6"/>
      <c r="C56" s="9">
        <v>0.55838457059484337</v>
      </c>
      <c r="D56" s="9">
        <v>4.3554444049503621E-2</v>
      </c>
      <c r="E56" s="9">
        <v>6.9855791037674322E-2</v>
      </c>
      <c r="F56" s="9">
        <v>4.0156843695046809E-2</v>
      </c>
      <c r="G56" s="9">
        <v>9.0750473866563722E-2</v>
      </c>
      <c r="H56" s="9">
        <v>4.7542753846240987E-2</v>
      </c>
      <c r="I56" s="9">
        <v>6.5106540648432257E-2</v>
      </c>
      <c r="J56" s="9">
        <v>8.4648582261694874E-2</v>
      </c>
      <c r="K56" s="9"/>
      <c r="L56" s="9"/>
    </row>
    <row r="57" spans="1:12" x14ac:dyDescent="0.2">
      <c r="A57" s="1" t="s">
        <v>79</v>
      </c>
      <c r="B57" s="6"/>
      <c r="C57" s="9">
        <v>0.56692670714059779</v>
      </c>
      <c r="D57" s="9">
        <v>2.9759158661442225E-2</v>
      </c>
      <c r="E57" s="9">
        <v>8.9475233930598974E-2</v>
      </c>
      <c r="F57" s="9">
        <v>3.1497054300708836E-2</v>
      </c>
      <c r="G57" s="9">
        <v>9.8637305541853834E-2</v>
      </c>
      <c r="H57" s="9">
        <v>7.5597743849320831E-2</v>
      </c>
      <c r="I57" s="9">
        <v>7.4814329647511016E-2</v>
      </c>
      <c r="J57" s="9">
        <v>3.3292466927966467E-2</v>
      </c>
      <c r="K57" s="9"/>
      <c r="L57" s="9"/>
    </row>
    <row r="58" spans="1:12" x14ac:dyDescent="0.2">
      <c r="A58" s="14" t="s">
        <v>80</v>
      </c>
      <c r="B58" s="7"/>
      <c r="C58" s="10">
        <v>0.64553613156791423</v>
      </c>
      <c r="D58" s="10">
        <v>1.6338646624430495E-2</v>
      </c>
      <c r="E58" s="10">
        <v>9.0464464547223039E-2</v>
      </c>
      <c r="F58" s="10">
        <v>1.0555549551182838E-2</v>
      </c>
      <c r="G58" s="10">
        <v>0.11878032020689576</v>
      </c>
      <c r="H58" s="10">
        <v>8.3294468244821299E-2</v>
      </c>
      <c r="I58" s="10">
        <v>1.984986463667034E-2</v>
      </c>
      <c r="J58" s="10">
        <v>1.5180554620861972E-2</v>
      </c>
      <c r="K58" s="9"/>
      <c r="L58" s="9"/>
    </row>
    <row r="59" spans="1:12" x14ac:dyDescent="0.2">
      <c r="A59" s="1" t="s">
        <v>108</v>
      </c>
      <c r="B59" s="6"/>
      <c r="C59" s="9">
        <v>0.59399570399238599</v>
      </c>
      <c r="D59" s="9">
        <v>7.4603551163997014E-2</v>
      </c>
      <c r="E59" s="9">
        <v>4.6972196382545177E-2</v>
      </c>
      <c r="F59" s="9">
        <v>5.1743642394789575E-2</v>
      </c>
      <c r="G59" s="9">
        <v>9.4017892078215565E-2</v>
      </c>
      <c r="H59" s="9">
        <v>4.353263160886358E-2</v>
      </c>
      <c r="I59" s="9">
        <v>4.8815799072411542E-2</v>
      </c>
      <c r="J59" s="9">
        <v>4.6318583306791644E-2</v>
      </c>
      <c r="K59" s="9"/>
      <c r="L59" s="9"/>
    </row>
    <row r="60" spans="1:12" x14ac:dyDescent="0.2">
      <c r="A60" s="1"/>
      <c r="B60" s="6"/>
      <c r="C60" s="9"/>
      <c r="D60" s="9"/>
      <c r="E60" s="9"/>
      <c r="F60" s="9"/>
      <c r="G60" s="9"/>
      <c r="H60" s="9"/>
      <c r="I60" s="9"/>
      <c r="J60" s="9"/>
      <c r="K60" s="9"/>
      <c r="L60" s="9"/>
    </row>
    <row r="61" spans="1:12" x14ac:dyDescent="0.2">
      <c r="A61" s="1" t="s">
        <v>81</v>
      </c>
      <c r="B61" s="6"/>
      <c r="C61" s="9">
        <v>0.56464377977054769</v>
      </c>
      <c r="D61" s="9">
        <v>8.8075655936505626E-2</v>
      </c>
      <c r="E61" s="9">
        <v>4.675908027492999E-2</v>
      </c>
      <c r="F61" s="9">
        <v>4.603649517971492E-2</v>
      </c>
      <c r="G61" s="9">
        <v>0.10511091237391133</v>
      </c>
      <c r="H61" s="9">
        <v>3.3090211763663294E-2</v>
      </c>
      <c r="I61" s="9">
        <v>6.7920969255415645E-2</v>
      </c>
      <c r="J61" s="9">
        <v>4.836289544531143E-2</v>
      </c>
      <c r="K61" s="9"/>
      <c r="L61" s="9"/>
    </row>
    <row r="62" spans="1:12" x14ac:dyDescent="0.2">
      <c r="A62" s="1" t="s">
        <v>82</v>
      </c>
      <c r="B62" s="6"/>
      <c r="C62" s="9">
        <v>0.51280291717891702</v>
      </c>
      <c r="D62" s="9">
        <v>7.9349205520223051E-2</v>
      </c>
      <c r="E62" s="9">
        <v>4.6277980956299182E-2</v>
      </c>
      <c r="F62" s="9">
        <v>6.3905393790512396E-2</v>
      </c>
      <c r="G62" s="9">
        <v>0.11241112143628047</v>
      </c>
      <c r="H62" s="9">
        <v>6.0262186776019085E-2</v>
      </c>
      <c r="I62" s="9">
        <v>8.5701943198738584E-2</v>
      </c>
      <c r="J62" s="9">
        <v>3.9289251143010059E-2</v>
      </c>
      <c r="K62" s="9"/>
      <c r="L62" s="9"/>
    </row>
    <row r="63" spans="1:12" x14ac:dyDescent="0.2">
      <c r="A63" s="1" t="s">
        <v>83</v>
      </c>
      <c r="B63" s="6"/>
      <c r="C63" s="9">
        <v>0.49589712510580919</v>
      </c>
      <c r="D63" s="9">
        <v>6.4981112849380795E-2</v>
      </c>
      <c r="E63" s="9">
        <v>6.4641215384426867E-2</v>
      </c>
      <c r="F63" s="9">
        <v>6.1393775542893769E-2</v>
      </c>
      <c r="G63" s="9">
        <v>0.11563372631301597</v>
      </c>
      <c r="H63" s="9">
        <v>6.6652164941008174E-2</v>
      </c>
      <c r="I63" s="9">
        <v>0.10729169763793651</v>
      </c>
      <c r="J63" s="9">
        <v>2.3509182225528488E-2</v>
      </c>
      <c r="K63" s="9"/>
      <c r="L63" s="9"/>
    </row>
    <row r="64" spans="1:12" x14ac:dyDescent="0.2">
      <c r="A64" s="1" t="s">
        <v>84</v>
      </c>
      <c r="B64" s="6"/>
      <c r="C64" s="9">
        <v>0.4925164641356784</v>
      </c>
      <c r="D64" s="9">
        <v>4.8240779876347485E-2</v>
      </c>
      <c r="E64" s="9">
        <v>8.9867117765235441E-2</v>
      </c>
      <c r="F64" s="9">
        <v>5.6099055572509583E-2</v>
      </c>
      <c r="G64" s="9">
        <v>0.10728216999047191</v>
      </c>
      <c r="H64" s="9">
        <v>8.2622286223340571E-2</v>
      </c>
      <c r="I64" s="9">
        <v>8.7948594112188194E-2</v>
      </c>
      <c r="J64" s="9">
        <v>3.5423532324228339E-2</v>
      </c>
      <c r="K64" s="9"/>
      <c r="L64" s="9"/>
    </row>
    <row r="65" spans="1:12" x14ac:dyDescent="0.2">
      <c r="A65" s="14" t="s">
        <v>85</v>
      </c>
      <c r="B65" s="7"/>
      <c r="C65" s="10">
        <v>0.47247113327198592</v>
      </c>
      <c r="D65" s="10">
        <v>3.7144919576996463E-2</v>
      </c>
      <c r="E65" s="10">
        <v>0.11746137784846783</v>
      </c>
      <c r="F65" s="10">
        <v>3.1886866251738255E-2</v>
      </c>
      <c r="G65" s="10">
        <v>0.12758103892820288</v>
      </c>
      <c r="H65" s="10">
        <v>8.4346161422242077E-2</v>
      </c>
      <c r="I65" s="10">
        <v>9.4524276251767653E-2</v>
      </c>
      <c r="J65" s="10">
        <v>3.4584226448598952E-2</v>
      </c>
      <c r="K65" s="9"/>
      <c r="L65" s="9"/>
    </row>
    <row r="66" spans="1:12" x14ac:dyDescent="0.2">
      <c r="A66" s="1" t="s">
        <v>109</v>
      </c>
      <c r="B66" s="6"/>
      <c r="C66" s="9">
        <v>0.52942621990475836</v>
      </c>
      <c r="D66" s="9">
        <v>7.4628175165813521E-2</v>
      </c>
      <c r="E66" s="9">
        <v>5.9328256687874746E-2</v>
      </c>
      <c r="F66" s="9">
        <v>5.2231885380084761E-2</v>
      </c>
      <c r="G66" s="9">
        <v>0.10958047611251297</v>
      </c>
      <c r="H66" s="9">
        <v>5.3196610196764541E-2</v>
      </c>
      <c r="I66" s="9">
        <v>8.06694870229481E-2</v>
      </c>
      <c r="J66" s="9">
        <v>4.0938889529242996E-2</v>
      </c>
      <c r="K66" s="9"/>
      <c r="L66" s="9"/>
    </row>
    <row r="67" spans="1:12" x14ac:dyDescent="0.2">
      <c r="A67" s="1"/>
      <c r="B67" s="6"/>
      <c r="C67" s="9"/>
      <c r="D67" s="9"/>
      <c r="E67" s="9"/>
      <c r="F67" s="9"/>
      <c r="G67" s="9"/>
      <c r="H67" s="9"/>
      <c r="I67" s="9"/>
      <c r="J67" s="9"/>
      <c r="K67" s="9"/>
      <c r="L67" s="9"/>
    </row>
    <row r="68" spans="1:12" x14ac:dyDescent="0.2">
      <c r="A68" s="1" t="s">
        <v>86</v>
      </c>
      <c r="B68" s="6"/>
      <c r="C68" s="9">
        <v>0.56771849733199065</v>
      </c>
      <c r="D68" s="9">
        <v>5.8542776342560679E-2</v>
      </c>
      <c r="E68" s="9">
        <v>4.8340913265292849E-2</v>
      </c>
      <c r="F68" s="9">
        <v>5.9266581525604885E-2</v>
      </c>
      <c r="G68" s="9">
        <v>0.10115147432643971</v>
      </c>
      <c r="H68" s="9">
        <v>6.1163408436026842E-2</v>
      </c>
      <c r="I68" s="9">
        <v>6.5905750394471677E-2</v>
      </c>
      <c r="J68" s="9">
        <v>3.791059837761257E-2</v>
      </c>
      <c r="K68" s="9"/>
      <c r="L68" s="9"/>
    </row>
    <row r="69" spans="1:12" x14ac:dyDescent="0.2">
      <c r="A69" s="14" t="s">
        <v>87</v>
      </c>
      <c r="B69" s="7"/>
      <c r="C69" s="10">
        <v>0.52440302375491599</v>
      </c>
      <c r="D69" s="10">
        <v>4.163125098022058E-2</v>
      </c>
      <c r="E69" s="10">
        <v>0.10092213294637931</v>
      </c>
      <c r="F69" s="10">
        <v>3.4694789455679644E-2</v>
      </c>
      <c r="G69" s="10">
        <v>0.11016101274139016</v>
      </c>
      <c r="H69" s="10">
        <v>6.7517986667467209E-2</v>
      </c>
      <c r="I69" s="10">
        <v>8.9388579866428203E-2</v>
      </c>
      <c r="J69" s="10">
        <v>3.1281223587518864E-2</v>
      </c>
      <c r="K69" s="9"/>
      <c r="L69" s="9"/>
    </row>
    <row r="70" spans="1:12" x14ac:dyDescent="0.2">
      <c r="A70" s="1" t="s">
        <v>110</v>
      </c>
      <c r="B70" s="6"/>
      <c r="C70" s="9">
        <v>0.54771496514735041</v>
      </c>
      <c r="D70" s="9">
        <v>5.0732859609802734E-2</v>
      </c>
      <c r="E70" s="9">
        <v>7.2623462510118295E-2</v>
      </c>
      <c r="F70" s="9">
        <v>4.7919074666873868E-2</v>
      </c>
      <c r="G70" s="9">
        <v>0.1053121720348817</v>
      </c>
      <c r="H70" s="9">
        <v>6.4098018164955403E-2</v>
      </c>
      <c r="I70" s="9">
        <v>7.6750363100664423E-2</v>
      </c>
      <c r="J70" s="9">
        <v>3.484908476535304E-2</v>
      </c>
      <c r="K70" s="9"/>
      <c r="L70" s="9"/>
    </row>
    <row r="71" spans="1:12" x14ac:dyDescent="0.2">
      <c r="A71" s="1"/>
      <c r="B71" s="6"/>
      <c r="C71" s="9"/>
      <c r="D71" s="9"/>
      <c r="E71" s="9"/>
      <c r="F71" s="9"/>
      <c r="G71" s="9"/>
      <c r="H71" s="9"/>
      <c r="I71" s="9"/>
      <c r="J71" s="9"/>
      <c r="K71" s="9"/>
      <c r="L71" s="9"/>
    </row>
    <row r="72" spans="1:12" ht="13.5" thickBot="1" x14ac:dyDescent="0.25">
      <c r="A72" s="15" t="s">
        <v>111</v>
      </c>
      <c r="B72" s="8"/>
      <c r="C72" s="11">
        <v>0.56876968839335762</v>
      </c>
      <c r="D72" s="11">
        <v>7.1761655537899649E-2</v>
      </c>
      <c r="E72" s="11">
        <v>5.3804252352462424E-2</v>
      </c>
      <c r="F72" s="11">
        <v>5.1436082977986297E-2</v>
      </c>
      <c r="G72" s="11">
        <v>0.10011455602953789</v>
      </c>
      <c r="H72" s="11">
        <v>4.8936181070379267E-2</v>
      </c>
      <c r="I72" s="11">
        <v>6.1869558780481074E-2</v>
      </c>
      <c r="J72" s="11">
        <v>4.3308024857895852E-2</v>
      </c>
      <c r="K72" s="9"/>
      <c r="L72" s="9"/>
    </row>
    <row r="73" spans="1:12" ht="13.5" thickTop="1" x14ac:dyDescent="0.2">
      <c r="A73" s="1"/>
      <c r="B73" s="6"/>
      <c r="C73" s="6"/>
      <c r="D73" s="6"/>
      <c r="E73" s="6"/>
      <c r="F73" s="6"/>
      <c r="G73" s="6"/>
      <c r="H73" s="6"/>
      <c r="I73" s="6"/>
      <c r="J73" s="6"/>
      <c r="K73" s="1"/>
      <c r="L73" s="1"/>
    </row>
  </sheetData>
  <phoneticPr fontId="0"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55"/>
  <dimension ref="A1:U73"/>
  <sheetViews>
    <sheetView workbookViewId="0">
      <selection activeCell="C32" sqref="C32"/>
    </sheetView>
  </sheetViews>
  <sheetFormatPr defaultRowHeight="12.75" x14ac:dyDescent="0.2"/>
  <cols>
    <col min="1" max="1" width="27.140625" bestFit="1" customWidth="1"/>
    <col min="2" max="2" width="6.5703125" style="122" bestFit="1" customWidth="1"/>
    <col min="3" max="3" width="9.5703125" bestFit="1" customWidth="1"/>
    <col min="4" max="10" width="8.7109375" bestFit="1" customWidth="1"/>
    <col min="11" max="11" width="9.5703125" bestFit="1" customWidth="1"/>
    <col min="13" max="13" width="16.5703125" bestFit="1" customWidth="1"/>
    <col min="14" max="14" width="6.28515625" bestFit="1" customWidth="1"/>
    <col min="15" max="15" width="12.85546875" bestFit="1" customWidth="1"/>
    <col min="16" max="16" width="11.140625" bestFit="1" customWidth="1"/>
    <col min="17" max="18" width="8.7109375" bestFit="1" customWidth="1"/>
    <col min="19" max="19" width="8.5703125" bestFit="1" customWidth="1"/>
    <col min="20" max="20" width="7.85546875" bestFit="1" customWidth="1"/>
    <col min="21" max="21" width="11.7109375" bestFit="1" customWidth="1"/>
  </cols>
  <sheetData>
    <row r="1" spans="1:21" x14ac:dyDescent="0.2">
      <c r="A1" s="36" t="s">
        <v>247</v>
      </c>
    </row>
    <row r="2" spans="1:21" x14ac:dyDescent="0.2">
      <c r="A2" s="22" t="s">
        <v>254</v>
      </c>
    </row>
    <row r="3" spans="1:21" ht="22.5" x14ac:dyDescent="0.2">
      <c r="A3" s="155" t="s">
        <v>245</v>
      </c>
      <c r="B3" s="141" t="s">
        <v>121</v>
      </c>
      <c r="C3" s="141" t="s">
        <v>94</v>
      </c>
      <c r="D3" s="141" t="s">
        <v>95</v>
      </c>
      <c r="E3" s="141" t="s">
        <v>96</v>
      </c>
      <c r="F3" s="141" t="s">
        <v>97</v>
      </c>
      <c r="G3" s="141" t="s">
        <v>98</v>
      </c>
      <c r="H3" s="141" t="s">
        <v>99</v>
      </c>
      <c r="I3" s="141" t="s">
        <v>93</v>
      </c>
      <c r="J3" s="141" t="s">
        <v>115</v>
      </c>
      <c r="K3" s="160" t="s">
        <v>113</v>
      </c>
      <c r="L3" s="141" t="s">
        <v>451</v>
      </c>
      <c r="M3" s="1"/>
      <c r="N3" s="2"/>
      <c r="O3" s="6"/>
      <c r="P3" s="6"/>
      <c r="Q3" s="6"/>
      <c r="R3" s="6"/>
      <c r="S3" s="6"/>
      <c r="T3" s="6"/>
      <c r="U3" s="6"/>
    </row>
    <row r="4" spans="1:21" x14ac:dyDescent="0.2">
      <c r="A4" s="1" t="s">
        <v>102</v>
      </c>
      <c r="B4" s="6">
        <v>41482</v>
      </c>
      <c r="C4" s="6">
        <v>116826444.89</v>
      </c>
      <c r="D4" s="6">
        <v>17796495.359999999</v>
      </c>
      <c r="E4" s="6">
        <v>5721787.4699999997</v>
      </c>
      <c r="F4" s="6">
        <v>10450324.23</v>
      </c>
      <c r="G4" s="6">
        <v>18740491.109999999</v>
      </c>
      <c r="H4" s="6">
        <v>6288244.9500000002</v>
      </c>
      <c r="I4" s="6">
        <v>6792085.1699999999</v>
      </c>
      <c r="J4" s="6">
        <v>8594966.3100000005</v>
      </c>
      <c r="K4" s="6">
        <v>191210839.48999998</v>
      </c>
      <c r="L4" s="6">
        <f>K4/B4</f>
        <v>4609.4894048020824</v>
      </c>
      <c r="M4" s="1"/>
      <c r="N4" s="1"/>
      <c r="O4" s="6"/>
      <c r="P4" s="6"/>
      <c r="Q4" s="6"/>
      <c r="R4" s="6"/>
      <c r="S4" s="6"/>
      <c r="T4" s="6"/>
      <c r="U4" s="6"/>
    </row>
    <row r="5" spans="1:21" x14ac:dyDescent="0.2">
      <c r="A5" s="1" t="s">
        <v>76</v>
      </c>
      <c r="B5" s="6">
        <v>24927</v>
      </c>
      <c r="C5" s="6">
        <v>70056593.140000001</v>
      </c>
      <c r="D5" s="6">
        <v>9549204.6300000008</v>
      </c>
      <c r="E5" s="6">
        <v>4825640.82</v>
      </c>
      <c r="F5" s="6">
        <v>6696466.1900000004</v>
      </c>
      <c r="G5" s="6">
        <v>10971065.82</v>
      </c>
      <c r="H5" s="6">
        <v>5211893.47</v>
      </c>
      <c r="I5" s="6">
        <v>5552267.5999999996</v>
      </c>
      <c r="J5" s="6">
        <v>6006172.2000000002</v>
      </c>
      <c r="K5" s="6">
        <v>118869303.86999999</v>
      </c>
      <c r="L5" s="6">
        <f t="shared" ref="L5:L23" si="0">K5/B5</f>
        <v>4768.6967493079792</v>
      </c>
      <c r="M5" s="1"/>
      <c r="N5" s="1"/>
      <c r="O5" s="6"/>
      <c r="P5" s="6"/>
      <c r="Q5" s="6"/>
      <c r="R5" s="6"/>
      <c r="S5" s="6"/>
      <c r="T5" s="6"/>
      <c r="U5" s="6"/>
    </row>
    <row r="6" spans="1:21" x14ac:dyDescent="0.2">
      <c r="A6" s="1" t="s">
        <v>77</v>
      </c>
      <c r="B6" s="6">
        <v>14333</v>
      </c>
      <c r="C6" s="6">
        <v>44103723.25</v>
      </c>
      <c r="D6" s="6">
        <v>4993830.76</v>
      </c>
      <c r="E6" s="6">
        <v>4197718.21</v>
      </c>
      <c r="F6" s="6">
        <v>3933218.51</v>
      </c>
      <c r="G6" s="6">
        <v>6847239.79</v>
      </c>
      <c r="H6" s="6">
        <v>3317462.86</v>
      </c>
      <c r="I6" s="6">
        <v>4804013.7</v>
      </c>
      <c r="J6" s="6">
        <v>2180816.91</v>
      </c>
      <c r="K6" s="6">
        <v>74378023.989999995</v>
      </c>
      <c r="L6" s="6">
        <f t="shared" si="0"/>
        <v>5189.2851454684987</v>
      </c>
      <c r="M6" s="1"/>
      <c r="N6" s="1"/>
      <c r="O6" s="6"/>
      <c r="P6" s="6"/>
      <c r="Q6" s="6"/>
      <c r="R6" s="6"/>
      <c r="S6" s="6"/>
      <c r="T6" s="6"/>
      <c r="U6" s="6"/>
    </row>
    <row r="7" spans="1:21" x14ac:dyDescent="0.2">
      <c r="A7" s="1" t="s">
        <v>78</v>
      </c>
      <c r="B7" s="6">
        <v>14333</v>
      </c>
      <c r="C7" s="6">
        <v>41540522.479999997</v>
      </c>
      <c r="D7" s="6">
        <v>3282761.66</v>
      </c>
      <c r="E7" s="6">
        <v>5191647.3899999997</v>
      </c>
      <c r="F7" s="6">
        <v>3020955.51</v>
      </c>
      <c r="G7" s="6">
        <v>6242336.0800000001</v>
      </c>
      <c r="H7" s="6">
        <v>3412715.9</v>
      </c>
      <c r="I7" s="6">
        <v>4548832.4800000004</v>
      </c>
      <c r="J7" s="6">
        <v>3838317.37</v>
      </c>
      <c r="K7" s="6">
        <v>71078088.870000005</v>
      </c>
      <c r="L7" s="6">
        <f t="shared" si="0"/>
        <v>4959.0517595758047</v>
      </c>
      <c r="M7" s="1"/>
      <c r="N7" s="1"/>
      <c r="O7" s="6"/>
      <c r="P7" s="6"/>
      <c r="Q7" s="6"/>
      <c r="R7" s="6"/>
      <c r="S7" s="6"/>
      <c r="T7" s="6"/>
      <c r="U7" s="6"/>
    </row>
    <row r="8" spans="1:21" x14ac:dyDescent="0.2">
      <c r="A8" s="1" t="s">
        <v>79</v>
      </c>
      <c r="B8" s="6">
        <v>6853</v>
      </c>
      <c r="C8" s="6">
        <v>22678726.649999999</v>
      </c>
      <c r="D8" s="6">
        <v>1205749.68</v>
      </c>
      <c r="E8" s="6">
        <v>3689474.8</v>
      </c>
      <c r="F8" s="6">
        <v>1204034.82</v>
      </c>
      <c r="G8" s="6">
        <v>3884953.22</v>
      </c>
      <c r="H8" s="6">
        <v>2898214.55</v>
      </c>
      <c r="I8" s="6">
        <v>2657063.39</v>
      </c>
      <c r="J8" s="6">
        <v>1750072.3200000001</v>
      </c>
      <c r="K8" s="6">
        <v>39968289.43</v>
      </c>
      <c r="L8" s="6">
        <f t="shared" si="0"/>
        <v>5832.2325156865609</v>
      </c>
      <c r="M8" s="1"/>
      <c r="N8" s="1"/>
      <c r="O8" s="6"/>
      <c r="P8" s="6"/>
      <c r="Q8" s="6"/>
      <c r="R8" s="6"/>
      <c r="S8" s="6"/>
      <c r="T8" s="6"/>
      <c r="U8" s="6"/>
    </row>
    <row r="9" spans="1:21" x14ac:dyDescent="0.2">
      <c r="A9" s="14" t="s">
        <v>80</v>
      </c>
      <c r="B9" s="7">
        <v>1707</v>
      </c>
      <c r="C9" s="7">
        <v>5041810.1399999997</v>
      </c>
      <c r="D9" s="7">
        <v>128551.85</v>
      </c>
      <c r="E9" s="7">
        <v>736189.89</v>
      </c>
      <c r="F9" s="7">
        <v>86271.97</v>
      </c>
      <c r="G9" s="7">
        <v>1007785.39</v>
      </c>
      <c r="H9" s="7">
        <v>693600.6</v>
      </c>
      <c r="I9" s="7">
        <v>179512.26</v>
      </c>
      <c r="J9" s="7">
        <v>101748.71</v>
      </c>
      <c r="K9" s="7">
        <v>7975470.8099999977</v>
      </c>
      <c r="L9" s="6">
        <f t="shared" si="0"/>
        <v>4672.2148857644979</v>
      </c>
      <c r="M9" s="1"/>
      <c r="N9" s="1"/>
      <c r="O9" s="6"/>
      <c r="P9" s="6"/>
      <c r="Q9" s="6"/>
      <c r="R9" s="6"/>
      <c r="S9" s="6"/>
      <c r="T9" s="6"/>
      <c r="U9" s="6"/>
    </row>
    <row r="10" spans="1:21" ht="13.5" thickBot="1" x14ac:dyDescent="0.25">
      <c r="A10" s="1" t="s">
        <v>103</v>
      </c>
      <c r="B10" s="8">
        <v>103635</v>
      </c>
      <c r="C10" s="8">
        <v>300247820.54999995</v>
      </c>
      <c r="D10" s="8">
        <v>36956593.939999998</v>
      </c>
      <c r="E10" s="8">
        <v>24362458.580000002</v>
      </c>
      <c r="F10" s="8">
        <v>25391271.229999997</v>
      </c>
      <c r="G10" s="8">
        <v>47693871.409999996</v>
      </c>
      <c r="H10" s="8">
        <v>21822132.330000002</v>
      </c>
      <c r="I10" s="8">
        <v>24533774.600000001</v>
      </c>
      <c r="J10" s="8">
        <v>22472093.820000004</v>
      </c>
      <c r="K10" s="8">
        <v>503480016.45999992</v>
      </c>
      <c r="L10" s="8">
        <f t="shared" si="0"/>
        <v>4858.204433444299</v>
      </c>
      <c r="M10" s="1"/>
      <c r="N10" s="1"/>
      <c r="O10" s="6"/>
      <c r="P10" s="6"/>
      <c r="Q10" s="6"/>
      <c r="R10" s="6"/>
      <c r="S10" s="6"/>
      <c r="T10" s="6"/>
      <c r="U10" s="6"/>
    </row>
    <row r="11" spans="1:21" ht="13.5" thickTop="1" x14ac:dyDescent="0.2">
      <c r="A11" s="1"/>
      <c r="B11" s="6"/>
      <c r="C11" s="6"/>
      <c r="D11" s="6"/>
      <c r="E11" s="6"/>
      <c r="F11" s="6"/>
      <c r="G11" s="6"/>
      <c r="H11" s="6"/>
      <c r="I11" s="6"/>
      <c r="J11" s="6"/>
      <c r="K11" s="6"/>
      <c r="L11" s="6"/>
      <c r="M11" s="1"/>
      <c r="N11" s="1"/>
      <c r="O11" s="6"/>
      <c r="P11" s="6"/>
      <c r="Q11" s="6"/>
      <c r="R11" s="6"/>
      <c r="S11" s="6"/>
      <c r="T11" s="6"/>
      <c r="U11" s="6"/>
    </row>
    <row r="12" spans="1:21" x14ac:dyDescent="0.2">
      <c r="A12" s="1" t="s">
        <v>81</v>
      </c>
      <c r="B12" s="6">
        <v>20897</v>
      </c>
      <c r="C12" s="6">
        <v>67673165.609999999</v>
      </c>
      <c r="D12" s="6">
        <v>9783013.1099999994</v>
      </c>
      <c r="E12" s="6">
        <v>5413508.9400000004</v>
      </c>
      <c r="F12" s="6">
        <v>5487464</v>
      </c>
      <c r="G12" s="6">
        <v>12297024.48</v>
      </c>
      <c r="H12" s="6">
        <v>3916227.8</v>
      </c>
      <c r="I12" s="6">
        <v>8448017.6600000001</v>
      </c>
      <c r="J12" s="6">
        <v>6483318.7800000003</v>
      </c>
      <c r="K12" s="6">
        <v>119501740.38</v>
      </c>
      <c r="L12" s="6">
        <f t="shared" si="0"/>
        <v>5718.6074738000671</v>
      </c>
      <c r="M12" s="1"/>
      <c r="N12" s="1"/>
      <c r="O12" s="6"/>
      <c r="P12" s="6"/>
      <c r="Q12" s="6"/>
      <c r="R12" s="6"/>
      <c r="S12" s="6"/>
      <c r="T12" s="6"/>
      <c r="U12" s="6"/>
    </row>
    <row r="13" spans="1:21" x14ac:dyDescent="0.2">
      <c r="A13" s="1" t="s">
        <v>82</v>
      </c>
      <c r="B13" s="6">
        <v>10092</v>
      </c>
      <c r="C13" s="6">
        <v>29605974.289999999</v>
      </c>
      <c r="D13" s="6">
        <v>4566570.88</v>
      </c>
      <c r="E13" s="6">
        <v>2893882.13</v>
      </c>
      <c r="F13" s="6">
        <v>3706482.21</v>
      </c>
      <c r="G13" s="6">
        <v>6606331.3399999999</v>
      </c>
      <c r="H13" s="6">
        <v>3904898.19</v>
      </c>
      <c r="I13" s="6">
        <v>5138565.51</v>
      </c>
      <c r="J13" s="6">
        <v>2117234.33</v>
      </c>
      <c r="K13" s="6">
        <v>58539938.880000003</v>
      </c>
      <c r="L13" s="6">
        <f t="shared" si="0"/>
        <v>5800.6281093935795</v>
      </c>
      <c r="M13" s="1"/>
      <c r="N13" s="1"/>
      <c r="O13" s="6"/>
      <c r="P13" s="6"/>
      <c r="Q13" s="6"/>
      <c r="R13" s="6"/>
      <c r="S13" s="6"/>
      <c r="T13" s="6"/>
      <c r="U13" s="6"/>
    </row>
    <row r="14" spans="1:21" x14ac:dyDescent="0.2">
      <c r="A14" s="1" t="s">
        <v>83</v>
      </c>
      <c r="B14" s="6">
        <v>4243</v>
      </c>
      <c r="C14" s="6">
        <v>12738529.310000001</v>
      </c>
      <c r="D14" s="6">
        <v>1555469.31</v>
      </c>
      <c r="E14" s="6">
        <v>1624730.49</v>
      </c>
      <c r="F14" s="6">
        <v>1461115.93</v>
      </c>
      <c r="G14" s="6">
        <v>3042667.03</v>
      </c>
      <c r="H14" s="6">
        <v>1783932.93</v>
      </c>
      <c r="I14" s="6">
        <v>2573645.7400000002</v>
      </c>
      <c r="J14" s="6">
        <v>1076684.76</v>
      </c>
      <c r="K14" s="6">
        <v>25856775.500000004</v>
      </c>
      <c r="L14" s="6">
        <f t="shared" si="0"/>
        <v>6093.9843271270338</v>
      </c>
      <c r="M14" s="1"/>
      <c r="N14" s="1"/>
      <c r="O14" s="6"/>
      <c r="P14" s="6"/>
      <c r="Q14" s="6"/>
      <c r="R14" s="6"/>
      <c r="S14" s="6"/>
      <c r="T14" s="6"/>
      <c r="U14" s="6"/>
    </row>
    <row r="15" spans="1:21" x14ac:dyDescent="0.2">
      <c r="A15" s="1" t="s">
        <v>84</v>
      </c>
      <c r="B15" s="6">
        <v>5294</v>
      </c>
      <c r="C15" s="6">
        <v>19780171.120000001</v>
      </c>
      <c r="D15" s="6">
        <v>2215686</v>
      </c>
      <c r="E15" s="6">
        <v>3555142.6</v>
      </c>
      <c r="F15" s="6">
        <v>2436987.7000000002</v>
      </c>
      <c r="G15" s="6">
        <v>4398912.76</v>
      </c>
      <c r="H15" s="6">
        <v>3482309.31</v>
      </c>
      <c r="I15" s="6">
        <v>3857040.74</v>
      </c>
      <c r="J15" s="6">
        <v>1798142.13</v>
      </c>
      <c r="K15" s="6">
        <v>41524392.360000007</v>
      </c>
      <c r="L15" s="6">
        <f t="shared" si="0"/>
        <v>7843.6706384586341</v>
      </c>
      <c r="M15" s="1"/>
      <c r="N15" s="1"/>
      <c r="O15" s="6"/>
      <c r="P15" s="6"/>
      <c r="Q15" s="6"/>
      <c r="R15" s="6"/>
      <c r="S15" s="6"/>
      <c r="T15" s="6"/>
      <c r="U15" s="6"/>
    </row>
    <row r="16" spans="1:21" x14ac:dyDescent="0.2">
      <c r="A16" s="14" t="s">
        <v>85</v>
      </c>
      <c r="B16" s="7">
        <v>1450</v>
      </c>
      <c r="C16" s="7">
        <v>7853989.0800000001</v>
      </c>
      <c r="D16" s="7">
        <v>796220.4</v>
      </c>
      <c r="E16" s="7">
        <v>2038939.35</v>
      </c>
      <c r="F16" s="7">
        <v>482145.3</v>
      </c>
      <c r="G16" s="7">
        <v>2051665.77</v>
      </c>
      <c r="H16" s="7">
        <v>1311361.1299999999</v>
      </c>
      <c r="I16" s="7">
        <v>1539308.61</v>
      </c>
      <c r="J16" s="7">
        <v>543723.73</v>
      </c>
      <c r="K16" s="7">
        <v>16617353.370000001</v>
      </c>
      <c r="L16" s="6">
        <f t="shared" si="0"/>
        <v>11460.243703448277</v>
      </c>
      <c r="M16" s="1"/>
      <c r="N16" s="1"/>
      <c r="O16" s="6"/>
      <c r="P16" s="6"/>
      <c r="Q16" s="6"/>
      <c r="R16" s="6"/>
      <c r="S16" s="6"/>
      <c r="T16" s="6"/>
      <c r="U16" s="6"/>
    </row>
    <row r="17" spans="1:21" ht="13.5" thickBot="1" x14ac:dyDescent="0.25">
      <c r="A17" s="1" t="s">
        <v>104</v>
      </c>
      <c r="B17" s="8">
        <v>41976</v>
      </c>
      <c r="C17" s="8">
        <v>137651829.41000003</v>
      </c>
      <c r="D17" s="8">
        <v>18916959.699999996</v>
      </c>
      <c r="E17" s="8">
        <v>15526203.51</v>
      </c>
      <c r="F17" s="8">
        <v>13574195.140000001</v>
      </c>
      <c r="G17" s="8">
        <v>28396601.379999999</v>
      </c>
      <c r="H17" s="8">
        <v>14398729.359999999</v>
      </c>
      <c r="I17" s="8">
        <v>21556578.259999998</v>
      </c>
      <c r="J17" s="8">
        <v>12019103.73</v>
      </c>
      <c r="K17" s="8">
        <v>262040200.48999998</v>
      </c>
      <c r="L17" s="8">
        <f t="shared" si="0"/>
        <v>6242.6196038212311</v>
      </c>
      <c r="M17" s="6"/>
      <c r="N17" s="6"/>
      <c r="O17" s="6"/>
      <c r="P17" s="6"/>
      <c r="Q17" s="6"/>
      <c r="R17" s="6"/>
      <c r="S17" s="6"/>
      <c r="T17" s="6"/>
      <c r="U17" s="6"/>
    </row>
    <row r="18" spans="1:21" ht="13.5" thickTop="1" x14ac:dyDescent="0.2">
      <c r="A18" s="1"/>
      <c r="B18" s="6"/>
      <c r="C18" s="6"/>
      <c r="D18" s="6"/>
      <c r="E18" s="6"/>
      <c r="F18" s="6"/>
      <c r="G18" s="6"/>
      <c r="H18" s="6"/>
      <c r="I18" s="6"/>
      <c r="J18" s="6"/>
      <c r="K18" s="6"/>
      <c r="L18" s="6"/>
      <c r="M18" s="6"/>
      <c r="N18" s="6"/>
      <c r="O18" s="6"/>
      <c r="P18" s="6"/>
      <c r="Q18" s="6"/>
      <c r="R18" s="6"/>
      <c r="S18" s="6"/>
      <c r="T18" s="6"/>
      <c r="U18" s="6"/>
    </row>
    <row r="19" spans="1:21" x14ac:dyDescent="0.2">
      <c r="A19" s="1" t="s">
        <v>86</v>
      </c>
      <c r="B19" s="6">
        <v>10074</v>
      </c>
      <c r="C19" s="6">
        <v>27905319.890000001</v>
      </c>
      <c r="D19" s="6">
        <v>3154428.33</v>
      </c>
      <c r="E19" s="6">
        <v>2412795.15</v>
      </c>
      <c r="F19" s="6">
        <v>2843510.49</v>
      </c>
      <c r="G19" s="6">
        <v>4919223.5599999996</v>
      </c>
      <c r="H19" s="6">
        <v>2608481.4700000002</v>
      </c>
      <c r="I19" s="6">
        <v>3229808.44</v>
      </c>
      <c r="J19" s="6">
        <v>2864618.22</v>
      </c>
      <c r="K19" s="6">
        <v>49938185.549999997</v>
      </c>
      <c r="L19" s="6">
        <f t="shared" si="0"/>
        <v>4957.1357504466941</v>
      </c>
    </row>
    <row r="20" spans="1:21" x14ac:dyDescent="0.2">
      <c r="A20" s="14" t="s">
        <v>87</v>
      </c>
      <c r="B20" s="7">
        <v>6884</v>
      </c>
      <c r="C20" s="7">
        <v>26218460.25</v>
      </c>
      <c r="D20" s="7">
        <v>2075690.79</v>
      </c>
      <c r="E20" s="7">
        <v>4836780.13</v>
      </c>
      <c r="F20" s="7">
        <v>1735766.99</v>
      </c>
      <c r="G20" s="7">
        <v>5506823.4400000004</v>
      </c>
      <c r="H20" s="7">
        <v>3631243.89</v>
      </c>
      <c r="I20" s="7">
        <v>4199221.55</v>
      </c>
      <c r="J20" s="7">
        <v>1263228.99</v>
      </c>
      <c r="K20" s="7">
        <v>49467216.029999994</v>
      </c>
      <c r="L20" s="6">
        <f t="shared" si="0"/>
        <v>7185.8245249854726</v>
      </c>
    </row>
    <row r="21" spans="1:21" ht="13.5" thickBot="1" x14ac:dyDescent="0.25">
      <c r="A21" s="1" t="s">
        <v>105</v>
      </c>
      <c r="B21" s="8">
        <v>16958</v>
      </c>
      <c r="C21" s="8">
        <v>54123780.140000001</v>
      </c>
      <c r="D21" s="8">
        <v>5230119.12</v>
      </c>
      <c r="E21" s="8">
        <v>7249575.2799999993</v>
      </c>
      <c r="F21" s="8">
        <v>4579277.4800000004</v>
      </c>
      <c r="G21" s="8">
        <v>10426047</v>
      </c>
      <c r="H21" s="8">
        <v>6239725.3600000003</v>
      </c>
      <c r="I21" s="8">
        <v>7429029.9900000002</v>
      </c>
      <c r="J21" s="8">
        <v>4127847.21</v>
      </c>
      <c r="K21" s="8">
        <v>99405401.579999983</v>
      </c>
      <c r="L21" s="8">
        <f t="shared" si="0"/>
        <v>5861.8588029248722</v>
      </c>
    </row>
    <row r="22" spans="1:21" ht="13.5" thickTop="1" x14ac:dyDescent="0.2">
      <c r="L22" s="6"/>
    </row>
    <row r="23" spans="1:21" ht="13.5" thickBot="1" x14ac:dyDescent="0.25">
      <c r="A23" s="15" t="s">
        <v>114</v>
      </c>
      <c r="B23" s="8">
        <v>162569</v>
      </c>
      <c r="C23" s="8">
        <v>492023430.09999996</v>
      </c>
      <c r="D23" s="8">
        <v>61103672.75999999</v>
      </c>
      <c r="E23" s="8">
        <v>47138237.370000005</v>
      </c>
      <c r="F23" s="8">
        <v>43544743.849999994</v>
      </c>
      <c r="G23" s="8">
        <v>86516519.789999992</v>
      </c>
      <c r="H23" s="8">
        <v>42460587.049999997</v>
      </c>
      <c r="I23" s="8">
        <v>53519382.850000001</v>
      </c>
      <c r="J23" s="8">
        <v>38619044.760000005</v>
      </c>
      <c r="K23" s="8">
        <v>864925618.52999997</v>
      </c>
      <c r="L23" s="8">
        <f t="shared" si="0"/>
        <v>5320.360084210397</v>
      </c>
    </row>
    <row r="24" spans="1:21" ht="13.5" thickTop="1" x14ac:dyDescent="0.2">
      <c r="A24" s="1"/>
      <c r="B24" s="6"/>
      <c r="C24" s="6"/>
      <c r="D24" s="6"/>
      <c r="E24" s="6"/>
      <c r="F24" s="6"/>
      <c r="G24" s="6"/>
      <c r="H24" s="6"/>
      <c r="I24" s="6"/>
      <c r="J24" s="6"/>
      <c r="K24" s="6"/>
    </row>
    <row r="25" spans="1:21" x14ac:dyDescent="0.2">
      <c r="A25" s="36" t="s">
        <v>247</v>
      </c>
      <c r="B25" s="6"/>
      <c r="C25" s="6"/>
      <c r="D25" s="6"/>
      <c r="E25" s="6"/>
      <c r="F25" s="6"/>
      <c r="G25" s="6"/>
      <c r="H25" s="6"/>
      <c r="I25" s="6"/>
      <c r="J25" s="6"/>
      <c r="K25" s="1"/>
    </row>
    <row r="26" spans="1:21" x14ac:dyDescent="0.2">
      <c r="A26" s="36" t="s">
        <v>259</v>
      </c>
      <c r="B26" s="6"/>
      <c r="C26" s="6"/>
      <c r="D26" s="6"/>
      <c r="E26" s="6"/>
      <c r="F26" s="6"/>
      <c r="G26" s="6"/>
      <c r="H26" s="6"/>
      <c r="I26" s="6"/>
      <c r="J26" s="6"/>
      <c r="K26" s="1"/>
    </row>
    <row r="27" spans="1:21" ht="22.5" x14ac:dyDescent="0.2">
      <c r="A27" s="155" t="s">
        <v>245</v>
      </c>
      <c r="B27" s="141" t="s">
        <v>121</v>
      </c>
      <c r="C27" s="141" t="s">
        <v>94</v>
      </c>
      <c r="D27" s="141" t="s">
        <v>95</v>
      </c>
      <c r="E27" s="141" t="s">
        <v>96</v>
      </c>
      <c r="F27" s="141" t="s">
        <v>97</v>
      </c>
      <c r="G27" s="141" t="s">
        <v>98</v>
      </c>
      <c r="H27" s="141" t="s">
        <v>99</v>
      </c>
      <c r="I27" s="141" t="s">
        <v>93</v>
      </c>
      <c r="J27" s="141" t="s">
        <v>115</v>
      </c>
      <c r="K27" s="160" t="s">
        <v>113</v>
      </c>
    </row>
    <row r="28" spans="1:21" x14ac:dyDescent="0.2">
      <c r="A28" s="1" t="s">
        <v>102</v>
      </c>
      <c r="B28" s="6">
        <v>41482</v>
      </c>
      <c r="C28" s="6">
        <v>2816.3165924979508</v>
      </c>
      <c r="D28" s="6">
        <v>429.01729328383396</v>
      </c>
      <c r="E28" s="6">
        <v>137.934223759703</v>
      </c>
      <c r="F28" s="6">
        <v>251.92431006219567</v>
      </c>
      <c r="G28" s="6">
        <v>451.77404922617035</v>
      </c>
      <c r="H28" s="6">
        <v>151.58972445880141</v>
      </c>
      <c r="I28" s="6">
        <v>163.7357207945615</v>
      </c>
      <c r="J28" s="6">
        <v>207.19749071886602</v>
      </c>
      <c r="K28" s="6">
        <v>4609.4894048020824</v>
      </c>
    </row>
    <row r="29" spans="1:21" x14ac:dyDescent="0.2">
      <c r="A29" s="1" t="s">
        <v>76</v>
      </c>
      <c r="B29" s="6">
        <v>24927</v>
      </c>
      <c r="C29" s="6">
        <v>2810.4702988727086</v>
      </c>
      <c r="D29" s="6">
        <v>383.08679865206403</v>
      </c>
      <c r="E29" s="6">
        <v>193.59091828138165</v>
      </c>
      <c r="F29" s="6">
        <v>268.64308540939544</v>
      </c>
      <c r="G29" s="6">
        <v>440.12780599350106</v>
      </c>
      <c r="H29" s="6">
        <v>209.08627071047457</v>
      </c>
      <c r="I29" s="6">
        <v>222.74110803546353</v>
      </c>
      <c r="J29" s="6">
        <v>240.95046335299074</v>
      </c>
      <c r="K29" s="6">
        <v>4768.6967493079792</v>
      </c>
    </row>
    <row r="30" spans="1:21" x14ac:dyDescent="0.2">
      <c r="A30" s="1" t="s">
        <v>77</v>
      </c>
      <c r="B30" s="6">
        <v>14333</v>
      </c>
      <c r="C30" s="6">
        <v>3077.0755075699435</v>
      </c>
      <c r="D30" s="6">
        <v>348.41489988139256</v>
      </c>
      <c r="E30" s="6">
        <v>292.87087211330498</v>
      </c>
      <c r="F30" s="6">
        <v>274.41697551105835</v>
      </c>
      <c r="G30" s="6">
        <v>477.72551384915931</v>
      </c>
      <c r="H30" s="6">
        <v>231.45627991348636</v>
      </c>
      <c r="I30" s="6">
        <v>335.17154119863255</v>
      </c>
      <c r="J30" s="6">
        <v>152.15355543152168</v>
      </c>
      <c r="K30" s="6">
        <v>5189.2851454684987</v>
      </c>
    </row>
    <row r="31" spans="1:21" x14ac:dyDescent="0.2">
      <c r="A31" s="1" t="s">
        <v>78</v>
      </c>
      <c r="B31" s="6">
        <v>14333</v>
      </c>
      <c r="C31" s="6">
        <v>2898.2433879857667</v>
      </c>
      <c r="D31" s="6">
        <v>229.03520965603852</v>
      </c>
      <c r="E31" s="6">
        <v>362.21638107862969</v>
      </c>
      <c r="F31" s="6">
        <v>210.76923951719806</v>
      </c>
      <c r="G31" s="6">
        <v>435.52194795227797</v>
      </c>
      <c r="H31" s="6">
        <v>238.10199539524174</v>
      </c>
      <c r="I31" s="6">
        <v>317.36778622758669</v>
      </c>
      <c r="J31" s="6">
        <v>267.79581176306425</v>
      </c>
      <c r="K31" s="6">
        <v>4959.0517595758047</v>
      </c>
    </row>
    <row r="32" spans="1:21" x14ac:dyDescent="0.2">
      <c r="A32" s="1" t="s">
        <v>79</v>
      </c>
      <c r="B32" s="6">
        <v>6853</v>
      </c>
      <c r="C32" s="6">
        <v>3309.3136801400842</v>
      </c>
      <c r="D32" s="6">
        <v>175.9447949803006</v>
      </c>
      <c r="E32" s="6">
        <v>538.3736757624398</v>
      </c>
      <c r="F32" s="6">
        <v>175.69456004669487</v>
      </c>
      <c r="G32" s="6">
        <v>566.898178899752</v>
      </c>
      <c r="H32" s="6">
        <v>422.91179775280898</v>
      </c>
      <c r="I32" s="6">
        <v>387.72266014883996</v>
      </c>
      <c r="J32" s="6">
        <v>255.37316795563987</v>
      </c>
      <c r="K32" s="6">
        <v>5832.2325156865609</v>
      </c>
    </row>
    <row r="33" spans="1:11" x14ac:dyDescent="0.2">
      <c r="A33" s="14" t="s">
        <v>80</v>
      </c>
      <c r="B33" s="7">
        <v>1707</v>
      </c>
      <c r="C33" s="7">
        <v>2953.6087521968366</v>
      </c>
      <c r="D33" s="7">
        <v>75.308640890451088</v>
      </c>
      <c r="E33" s="7">
        <v>431.27702987697717</v>
      </c>
      <c r="F33" s="7">
        <v>50.540111306385469</v>
      </c>
      <c r="G33" s="7">
        <v>590.38394258933806</v>
      </c>
      <c r="H33" s="7">
        <v>406.32724077328646</v>
      </c>
      <c r="I33" s="7">
        <v>105.16242530755713</v>
      </c>
      <c r="J33" s="7">
        <v>59.606742823667254</v>
      </c>
      <c r="K33" s="7">
        <v>4672.2148857644979</v>
      </c>
    </row>
    <row r="34" spans="1:11" x14ac:dyDescent="0.2">
      <c r="A34" s="1" t="s">
        <v>103</v>
      </c>
      <c r="B34" s="6">
        <v>103635</v>
      </c>
      <c r="C34" s="6">
        <v>2897.1662136343894</v>
      </c>
      <c r="D34" s="6">
        <v>356.6034056062141</v>
      </c>
      <c r="E34" s="6">
        <v>235.07944786992815</v>
      </c>
      <c r="F34" s="6">
        <v>245.00671809716792</v>
      </c>
      <c r="G34" s="6">
        <v>460.21007777295313</v>
      </c>
      <c r="H34" s="6">
        <v>210.56720538428138</v>
      </c>
      <c r="I34" s="6">
        <v>236.7325189366527</v>
      </c>
      <c r="J34" s="6">
        <v>216.83884614271244</v>
      </c>
      <c r="K34" s="6">
        <v>4858.204433444299</v>
      </c>
    </row>
    <row r="35" spans="1:11" x14ac:dyDescent="0.2">
      <c r="A35" s="1"/>
      <c r="B35" s="6"/>
      <c r="C35" s="6"/>
      <c r="D35" s="6"/>
      <c r="E35" s="6"/>
      <c r="F35" s="6"/>
      <c r="G35" s="6"/>
      <c r="H35" s="6"/>
      <c r="I35" s="6"/>
      <c r="J35" s="6"/>
      <c r="K35" s="6"/>
    </row>
    <row r="36" spans="1:11" x14ac:dyDescent="0.2">
      <c r="A36" s="1" t="s">
        <v>81</v>
      </c>
      <c r="B36" s="6">
        <v>20897</v>
      </c>
      <c r="C36" s="6">
        <v>3238.4153519643969</v>
      </c>
      <c r="D36" s="6">
        <v>468.15395080633579</v>
      </c>
      <c r="E36" s="6">
        <v>259.05675168684502</v>
      </c>
      <c r="F36" s="6">
        <v>262.59577929846387</v>
      </c>
      <c r="G36" s="6">
        <v>588.45884481025985</v>
      </c>
      <c r="H36" s="6">
        <v>187.40622098865865</v>
      </c>
      <c r="I36" s="6">
        <v>404.26940039240083</v>
      </c>
      <c r="J36" s="6">
        <v>310.25117385270613</v>
      </c>
      <c r="K36" s="6">
        <v>5718.6074738000671</v>
      </c>
    </row>
    <row r="37" spans="1:11" x14ac:dyDescent="0.2">
      <c r="A37" s="1" t="s">
        <v>82</v>
      </c>
      <c r="B37" s="6">
        <v>10092</v>
      </c>
      <c r="C37" s="6">
        <v>2933.6082332540627</v>
      </c>
      <c r="D37" s="6">
        <v>452.49414189456996</v>
      </c>
      <c r="E37" s="6">
        <v>286.75011196987714</v>
      </c>
      <c r="F37" s="6">
        <v>367.26934304399526</v>
      </c>
      <c r="G37" s="6">
        <v>654.61071541815295</v>
      </c>
      <c r="H37" s="6">
        <v>386.93006242568373</v>
      </c>
      <c r="I37" s="6">
        <v>509.1721670630202</v>
      </c>
      <c r="J37" s="6">
        <v>209.7933343242172</v>
      </c>
      <c r="K37" s="6">
        <v>5800.6281093935795</v>
      </c>
    </row>
    <row r="38" spans="1:11" x14ac:dyDescent="0.2">
      <c r="A38" s="1" t="s">
        <v>83</v>
      </c>
      <c r="B38" s="6">
        <v>4243</v>
      </c>
      <c r="C38" s="6">
        <v>3002.2458897006836</v>
      </c>
      <c r="D38" s="6">
        <v>366.59658496346924</v>
      </c>
      <c r="E38" s="6">
        <v>382.92021918453923</v>
      </c>
      <c r="F38" s="6">
        <v>344.35916332783404</v>
      </c>
      <c r="G38" s="6">
        <v>717.10276455338203</v>
      </c>
      <c r="H38" s="6">
        <v>420.44141645062456</v>
      </c>
      <c r="I38" s="6">
        <v>606.56274805562111</v>
      </c>
      <c r="J38" s="6">
        <v>253.7555408908791</v>
      </c>
      <c r="K38" s="6">
        <v>6093.9843271270338</v>
      </c>
    </row>
    <row r="39" spans="1:11" x14ac:dyDescent="0.2">
      <c r="A39" s="1" t="s">
        <v>84</v>
      </c>
      <c r="B39" s="6">
        <v>5294</v>
      </c>
      <c r="C39" s="6">
        <v>3736.3375746127695</v>
      </c>
      <c r="D39" s="6">
        <v>418.52776728371742</v>
      </c>
      <c r="E39" s="6">
        <v>671.5418587079713</v>
      </c>
      <c r="F39" s="6">
        <v>460.33012844729888</v>
      </c>
      <c r="G39" s="6">
        <v>830.9242085379675</v>
      </c>
      <c r="H39" s="6">
        <v>657.78415375897248</v>
      </c>
      <c r="I39" s="6">
        <v>728.56833018511531</v>
      </c>
      <c r="J39" s="6">
        <v>339.65661692482053</v>
      </c>
      <c r="K39" s="6">
        <v>7843.6706384586341</v>
      </c>
    </row>
    <row r="40" spans="1:11" x14ac:dyDescent="0.2">
      <c r="A40" s="14" t="s">
        <v>85</v>
      </c>
      <c r="B40" s="7">
        <v>1450</v>
      </c>
      <c r="C40" s="7">
        <v>5416.5441931034484</v>
      </c>
      <c r="D40" s="7">
        <v>549.11751724137935</v>
      </c>
      <c r="E40" s="7">
        <v>1406.1650689655173</v>
      </c>
      <c r="F40" s="7">
        <v>332.51400000000001</v>
      </c>
      <c r="G40" s="7">
        <v>1414.9419103448276</v>
      </c>
      <c r="H40" s="7">
        <v>904.38698620689649</v>
      </c>
      <c r="I40" s="7">
        <v>1061.5921448275863</v>
      </c>
      <c r="J40" s="7">
        <v>374.98188275862066</v>
      </c>
      <c r="K40" s="7">
        <v>11460.243703448277</v>
      </c>
    </row>
    <row r="41" spans="1:11" x14ac:dyDescent="0.2">
      <c r="A41" s="1" t="s">
        <v>104</v>
      </c>
      <c r="B41" s="6">
        <v>41976</v>
      </c>
      <c r="C41" s="6">
        <v>3279.2983945587962</v>
      </c>
      <c r="D41" s="6">
        <v>450.66132313703059</v>
      </c>
      <c r="E41" s="6">
        <v>369.88287378502002</v>
      </c>
      <c r="F41" s="6">
        <v>323.3799109014675</v>
      </c>
      <c r="G41" s="6">
        <v>676.49612588145601</v>
      </c>
      <c r="H41" s="6">
        <v>343.02290261101581</v>
      </c>
      <c r="I41" s="6">
        <v>513.54531780064792</v>
      </c>
      <c r="J41" s="6">
        <v>286.33275514579759</v>
      </c>
      <c r="K41" s="6">
        <v>6242.6196038212311</v>
      </c>
    </row>
    <row r="42" spans="1:11" x14ac:dyDescent="0.2">
      <c r="A42" s="1"/>
      <c r="B42" s="6"/>
      <c r="C42" s="6"/>
      <c r="D42" s="6"/>
      <c r="E42" s="6"/>
      <c r="F42" s="6"/>
      <c r="G42" s="6"/>
      <c r="H42" s="6"/>
      <c r="I42" s="6"/>
      <c r="J42" s="6"/>
      <c r="K42" s="6"/>
    </row>
    <row r="43" spans="1:11" x14ac:dyDescent="0.2">
      <c r="A43" s="1" t="s">
        <v>86</v>
      </c>
      <c r="B43" s="6">
        <v>10074</v>
      </c>
      <c r="C43" s="6">
        <v>2770.0337393289656</v>
      </c>
      <c r="D43" s="6">
        <v>313.12570279928531</v>
      </c>
      <c r="E43" s="6">
        <v>239.50716200119118</v>
      </c>
      <c r="F43" s="6">
        <v>282.26230792138182</v>
      </c>
      <c r="G43" s="6">
        <v>488.30887035934086</v>
      </c>
      <c r="H43" s="6">
        <v>258.93204983124878</v>
      </c>
      <c r="I43" s="6">
        <v>320.60834226722255</v>
      </c>
      <c r="J43" s="6">
        <v>284.3575759380584</v>
      </c>
      <c r="K43" s="6">
        <v>4957.1357504466941</v>
      </c>
    </row>
    <row r="44" spans="1:11" x14ac:dyDescent="0.2">
      <c r="A44" s="14" t="s">
        <v>87</v>
      </c>
      <c r="B44" s="7">
        <v>6884</v>
      </c>
      <c r="C44" s="7">
        <v>3808.608403544451</v>
      </c>
      <c r="D44" s="7">
        <v>301.52393811737363</v>
      </c>
      <c r="E44" s="7">
        <v>702.61187245787335</v>
      </c>
      <c r="F44" s="7">
        <v>252.14511766414876</v>
      </c>
      <c r="G44" s="7">
        <v>799.94529924462529</v>
      </c>
      <c r="H44" s="7">
        <v>527.49039657176058</v>
      </c>
      <c r="I44" s="7">
        <v>609.99731987216728</v>
      </c>
      <c r="J44" s="7">
        <v>183.5021775130738</v>
      </c>
      <c r="K44" s="7">
        <v>7185.8245249854726</v>
      </c>
    </row>
    <row r="45" spans="1:11" x14ac:dyDescent="0.2">
      <c r="A45" s="1" t="s">
        <v>105</v>
      </c>
      <c r="B45" s="6">
        <v>16958</v>
      </c>
      <c r="C45" s="6">
        <v>3191.6369937492627</v>
      </c>
      <c r="D45" s="6">
        <v>308.41603490977712</v>
      </c>
      <c r="E45" s="6">
        <v>427.50178558792305</v>
      </c>
      <c r="F45" s="6">
        <v>270.03641231277277</v>
      </c>
      <c r="G45" s="6">
        <v>614.81583913197312</v>
      </c>
      <c r="H45" s="6">
        <v>367.95172543932068</v>
      </c>
      <c r="I45" s="6">
        <v>438.08408951527304</v>
      </c>
      <c r="J45" s="6">
        <v>243.41592227857058</v>
      </c>
      <c r="K45" s="6">
        <v>5861.8588029248722</v>
      </c>
    </row>
    <row r="46" spans="1:11" x14ac:dyDescent="0.2">
      <c r="A46" s="1"/>
      <c r="B46" s="6"/>
      <c r="C46" s="6"/>
      <c r="D46" s="6"/>
      <c r="E46" s="6"/>
      <c r="F46" s="6"/>
      <c r="G46" s="6"/>
      <c r="H46" s="6"/>
      <c r="I46" s="6"/>
      <c r="J46" s="6"/>
      <c r="K46" s="6"/>
    </row>
    <row r="47" spans="1:11" ht="13.5" thickBot="1" x14ac:dyDescent="0.25">
      <c r="A47" s="15" t="s">
        <v>114</v>
      </c>
      <c r="B47" s="8">
        <v>162569</v>
      </c>
      <c r="C47" s="8">
        <v>3026.5513726479217</v>
      </c>
      <c r="D47" s="8">
        <v>375.86300438582998</v>
      </c>
      <c r="E47" s="8">
        <v>289.95833996641431</v>
      </c>
      <c r="F47" s="8">
        <v>267.853919566461</v>
      </c>
      <c r="G47" s="8">
        <v>532.18337930355722</v>
      </c>
      <c r="H47" s="8">
        <v>261.18501713118735</v>
      </c>
      <c r="I47" s="8">
        <v>329.21026056628261</v>
      </c>
      <c r="J47" s="8">
        <v>237.55479064274249</v>
      </c>
      <c r="K47" s="8">
        <v>5320.360084210397</v>
      </c>
    </row>
    <row r="48" spans="1:11" ht="13.5" thickTop="1" x14ac:dyDescent="0.2">
      <c r="A48" s="1"/>
      <c r="B48" s="6"/>
      <c r="C48" s="6"/>
      <c r="D48" s="6"/>
      <c r="E48" s="6"/>
      <c r="F48" s="6"/>
      <c r="G48" s="6"/>
      <c r="H48" s="6"/>
      <c r="I48" s="6"/>
      <c r="J48" s="6"/>
      <c r="K48" s="6"/>
    </row>
    <row r="49" spans="1:11" x14ac:dyDescent="0.2">
      <c r="A49" s="1"/>
      <c r="B49" s="6"/>
      <c r="C49" s="6"/>
      <c r="D49" s="6"/>
      <c r="E49" s="6"/>
      <c r="F49" s="6"/>
      <c r="G49" s="6"/>
      <c r="H49" s="6"/>
      <c r="I49" s="6"/>
      <c r="J49" s="6"/>
      <c r="K49" s="6"/>
    </row>
    <row r="50" spans="1:11" x14ac:dyDescent="0.2">
      <c r="A50" s="36" t="s">
        <v>247</v>
      </c>
    </row>
    <row r="51" spans="1:11" x14ac:dyDescent="0.2">
      <c r="A51" s="22" t="s">
        <v>266</v>
      </c>
      <c r="B51" s="6"/>
      <c r="C51" s="6"/>
      <c r="D51" s="6"/>
      <c r="E51" s="6"/>
      <c r="F51" s="6"/>
      <c r="G51" s="6"/>
      <c r="H51" s="6"/>
      <c r="I51" s="6"/>
      <c r="J51" s="6"/>
      <c r="K51" s="1"/>
    </row>
    <row r="52" spans="1:11" ht="22.5" x14ac:dyDescent="0.2">
      <c r="A52" s="155" t="s">
        <v>245</v>
      </c>
      <c r="B52" s="141" t="s">
        <v>121</v>
      </c>
      <c r="C52" s="141" t="s">
        <v>94</v>
      </c>
      <c r="D52" s="141" t="s">
        <v>95</v>
      </c>
      <c r="E52" s="141" t="s">
        <v>96</v>
      </c>
      <c r="F52" s="141" t="s">
        <v>97</v>
      </c>
      <c r="G52" s="141" t="s">
        <v>98</v>
      </c>
      <c r="H52" s="141" t="s">
        <v>99</v>
      </c>
      <c r="I52" s="141" t="s">
        <v>93</v>
      </c>
      <c r="J52" s="141" t="s">
        <v>115</v>
      </c>
      <c r="K52" s="13"/>
    </row>
    <row r="53" spans="1:11" x14ac:dyDescent="0.2">
      <c r="A53" s="1" t="s">
        <v>102</v>
      </c>
      <c r="B53" s="6">
        <v>41482</v>
      </c>
      <c r="C53" s="9">
        <v>0.61098233343674968</v>
      </c>
      <c r="D53" s="9">
        <v>9.3072628139006353E-2</v>
      </c>
      <c r="E53" s="9">
        <v>2.9923970237572439E-2</v>
      </c>
      <c r="F53" s="9">
        <v>5.4653409073843515E-2</v>
      </c>
      <c r="G53" s="9">
        <v>9.8009564520426126E-2</v>
      </c>
      <c r="H53" s="9">
        <v>3.2886446013061225E-2</v>
      </c>
      <c r="I53" s="9">
        <v>3.5521444224166046E-2</v>
      </c>
      <c r="J53" s="9">
        <v>4.4950204355174661E-2</v>
      </c>
      <c r="K53" s="9"/>
    </row>
    <row r="54" spans="1:11" x14ac:dyDescent="0.2">
      <c r="A54" s="1" t="s">
        <v>76</v>
      </c>
      <c r="B54" s="6">
        <v>24927</v>
      </c>
      <c r="C54" s="9">
        <v>0.58935815100437172</v>
      </c>
      <c r="D54" s="9">
        <v>8.0333646442847642E-2</v>
      </c>
      <c r="E54" s="9">
        <v>4.0596189789060301E-2</v>
      </c>
      <c r="F54" s="9">
        <v>5.633469678028493E-2</v>
      </c>
      <c r="G54" s="9">
        <v>9.2295197017376138E-2</v>
      </c>
      <c r="H54" s="9">
        <v>4.3845579138748259E-2</v>
      </c>
      <c r="I54" s="9">
        <v>4.6709010814702599E-2</v>
      </c>
      <c r="J54" s="9">
        <v>5.0527529012608492E-2</v>
      </c>
      <c r="K54" s="9"/>
    </row>
    <row r="55" spans="1:11" x14ac:dyDescent="0.2">
      <c r="A55" s="1" t="s">
        <v>77</v>
      </c>
      <c r="B55" s="6">
        <v>14333</v>
      </c>
      <c r="C55" s="9">
        <v>0.5929671277087124</v>
      </c>
      <c r="D55" s="9">
        <v>6.7141213117888315E-2</v>
      </c>
      <c r="E55" s="9">
        <v>5.6437614026481488E-2</v>
      </c>
      <c r="F55" s="9">
        <v>5.2881460127642194E-2</v>
      </c>
      <c r="G55" s="9">
        <v>9.2059985230591779E-2</v>
      </c>
      <c r="H55" s="9">
        <v>4.4602729166965067E-2</v>
      </c>
      <c r="I55" s="9">
        <v>6.4589154729976325E-2</v>
      </c>
      <c r="J55" s="9">
        <v>2.9320715891742535E-2</v>
      </c>
      <c r="K55" s="9"/>
    </row>
    <row r="56" spans="1:11" x14ac:dyDescent="0.2">
      <c r="A56" s="1" t="s">
        <v>78</v>
      </c>
      <c r="B56" s="6">
        <v>14333</v>
      </c>
      <c r="C56" s="9">
        <v>0.5844349945308257</v>
      </c>
      <c r="D56" s="9">
        <v>4.6185283146879294E-2</v>
      </c>
      <c r="E56" s="9">
        <v>7.3041460069296307E-2</v>
      </c>
      <c r="F56" s="9">
        <v>4.2501923701483445E-2</v>
      </c>
      <c r="G56" s="9">
        <v>8.7823634248482288E-2</v>
      </c>
      <c r="H56" s="9">
        <v>4.8013613678355493E-2</v>
      </c>
      <c r="I56" s="9">
        <v>6.3997675687646832E-2</v>
      </c>
      <c r="J56" s="9">
        <v>5.4001414937030499E-2</v>
      </c>
      <c r="K56" s="9"/>
    </row>
    <row r="57" spans="1:11" x14ac:dyDescent="0.2">
      <c r="A57" s="1" t="s">
        <v>79</v>
      </c>
      <c r="B57" s="6">
        <v>6853</v>
      </c>
      <c r="C57" s="9">
        <v>0.56741799495120393</v>
      </c>
      <c r="D57" s="9">
        <v>3.0167657840642292E-2</v>
      </c>
      <c r="E57" s="9">
        <v>9.231005010764104E-2</v>
      </c>
      <c r="F57" s="9">
        <v>3.0124752326684698E-2</v>
      </c>
      <c r="G57" s="9">
        <v>9.7200887888986648E-2</v>
      </c>
      <c r="H57" s="9">
        <v>7.2512849344626054E-2</v>
      </c>
      <c r="I57" s="9">
        <v>6.6479287152219763E-2</v>
      </c>
      <c r="J57" s="9">
        <v>4.3786520387995499E-2</v>
      </c>
      <c r="K57" s="9"/>
    </row>
    <row r="58" spans="1:11" x14ac:dyDescent="0.2">
      <c r="A58" s="14" t="s">
        <v>80</v>
      </c>
      <c r="B58" s="7">
        <v>1707</v>
      </c>
      <c r="C58" s="10">
        <v>0.63216457813103089</v>
      </c>
      <c r="D58" s="10">
        <v>1.6118402670199233E-2</v>
      </c>
      <c r="E58" s="10">
        <v>9.2306762514500415E-2</v>
      </c>
      <c r="F58" s="10">
        <v>1.0817163281674655E-2</v>
      </c>
      <c r="G58" s="10">
        <v>0.12636061418924563</v>
      </c>
      <c r="H58" s="10">
        <v>8.6966727924116138E-2</v>
      </c>
      <c r="I58" s="10">
        <v>2.2508045515622677E-2</v>
      </c>
      <c r="J58" s="10">
        <v>1.2757705773610628E-2</v>
      </c>
      <c r="K58" s="9"/>
    </row>
    <row r="59" spans="1:11" x14ac:dyDescent="0.2">
      <c r="A59" s="1" t="s">
        <v>108</v>
      </c>
      <c r="B59" s="6">
        <v>103635</v>
      </c>
      <c r="C59" s="9">
        <v>0.59634505985175246</v>
      </c>
      <c r="D59" s="9">
        <v>7.3402305417887614E-2</v>
      </c>
      <c r="E59" s="9">
        <v>4.8388134153355286E-2</v>
      </c>
      <c r="F59" s="9">
        <v>5.0431537300184508E-2</v>
      </c>
      <c r="G59" s="9">
        <v>9.4728429829923827E-2</v>
      </c>
      <c r="H59" s="9">
        <v>4.3342598745890262E-2</v>
      </c>
      <c r="I59" s="9">
        <v>4.8728397946155903E-2</v>
      </c>
      <c r="J59" s="9">
        <v>4.4633536754850225E-2</v>
      </c>
      <c r="K59" s="9"/>
    </row>
    <row r="60" spans="1:11" x14ac:dyDescent="0.2">
      <c r="A60" s="1"/>
      <c r="B60" s="6"/>
      <c r="C60" s="9"/>
      <c r="D60" s="9"/>
      <c r="E60" s="9"/>
      <c r="F60" s="9"/>
      <c r="G60" s="9"/>
      <c r="H60" s="9"/>
      <c r="I60" s="9"/>
      <c r="J60" s="9"/>
      <c r="K60" s="9"/>
    </row>
    <row r="61" spans="1:11" x14ac:dyDescent="0.2">
      <c r="A61" s="1" t="s">
        <v>81</v>
      </c>
      <c r="B61" s="6">
        <v>20897</v>
      </c>
      <c r="C61" s="9">
        <v>0.56629439366161638</v>
      </c>
      <c r="D61" s="9">
        <v>8.1865026223813045E-2</v>
      </c>
      <c r="E61" s="9">
        <v>4.5300670289702437E-2</v>
      </c>
      <c r="F61" s="9">
        <v>4.5919532071671737E-2</v>
      </c>
      <c r="G61" s="9">
        <v>0.10290247188783243</v>
      </c>
      <c r="H61" s="9">
        <v>3.2771303476810502E-2</v>
      </c>
      <c r="I61" s="9">
        <v>7.0693678879792055E-2</v>
      </c>
      <c r="J61" s="9">
        <v>5.4252923508761368E-2</v>
      </c>
      <c r="K61" s="9"/>
    </row>
    <row r="62" spans="1:11" x14ac:dyDescent="0.2">
      <c r="A62" s="1" t="s">
        <v>82</v>
      </c>
      <c r="B62" s="6">
        <v>10092</v>
      </c>
      <c r="C62" s="9">
        <v>0.50573975402825022</v>
      </c>
      <c r="D62" s="9">
        <v>7.8007783529821129E-2</v>
      </c>
      <c r="E62" s="9">
        <v>4.943432100146395E-2</v>
      </c>
      <c r="F62" s="9">
        <v>6.3315443796377255E-2</v>
      </c>
      <c r="G62" s="9">
        <v>0.11285169520832952</v>
      </c>
      <c r="H62" s="9">
        <v>6.670485594466681E-2</v>
      </c>
      <c r="I62" s="9">
        <v>8.777879868534634E-2</v>
      </c>
      <c r="J62" s="9">
        <v>3.6167347805744751E-2</v>
      </c>
      <c r="K62" s="9"/>
    </row>
    <row r="63" spans="1:11" x14ac:dyDescent="0.2">
      <c r="A63" s="1" t="s">
        <v>83</v>
      </c>
      <c r="B63" s="6">
        <v>4243</v>
      </c>
      <c r="C63" s="9">
        <v>0.49265730407877034</v>
      </c>
      <c r="D63" s="9">
        <v>6.0157126320720067E-2</v>
      </c>
      <c r="E63" s="9">
        <v>6.2835773548020307E-2</v>
      </c>
      <c r="F63" s="9">
        <v>5.6508048731753101E-2</v>
      </c>
      <c r="G63" s="9">
        <v>0.11767387739434097</v>
      </c>
      <c r="H63" s="9">
        <v>6.8992861464879859E-2</v>
      </c>
      <c r="I63" s="9">
        <v>9.9534674770255085E-2</v>
      </c>
      <c r="J63" s="9">
        <v>4.1640333691260141E-2</v>
      </c>
      <c r="K63" s="9"/>
    </row>
    <row r="64" spans="1:11" x14ac:dyDescent="0.2">
      <c r="A64" s="1" t="s">
        <v>84</v>
      </c>
      <c r="B64" s="6">
        <v>5294</v>
      </c>
      <c r="C64" s="9">
        <v>0.47635064586890918</v>
      </c>
      <c r="D64" s="9">
        <v>5.3358661598004405E-2</v>
      </c>
      <c r="E64" s="9">
        <v>8.561576456503743E-2</v>
      </c>
      <c r="F64" s="9">
        <v>5.8688100210408468E-2</v>
      </c>
      <c r="G64" s="9">
        <v>0.10593563228723907</v>
      </c>
      <c r="H64" s="9">
        <v>8.3861776466462409E-2</v>
      </c>
      <c r="I64" s="9">
        <v>9.2886145245931293E-2</v>
      </c>
      <c r="J64" s="9">
        <v>4.3303273758007604E-2</v>
      </c>
      <c r="K64" s="9"/>
    </row>
    <row r="65" spans="1:11" x14ac:dyDescent="0.2">
      <c r="A65" s="14" t="s">
        <v>85</v>
      </c>
      <c r="B65" s="7">
        <v>1450</v>
      </c>
      <c r="C65" s="10">
        <v>0.47263778443678839</v>
      </c>
      <c r="D65" s="10">
        <v>4.7914994781145463E-2</v>
      </c>
      <c r="E65" s="10">
        <v>0.12269940372580522</v>
      </c>
      <c r="F65" s="10">
        <v>2.901456623474331E-2</v>
      </c>
      <c r="G65" s="10">
        <v>0.12346525492464748</v>
      </c>
      <c r="H65" s="10">
        <v>7.8915161807141601E-2</v>
      </c>
      <c r="I65" s="10">
        <v>9.2632597726361038E-2</v>
      </c>
      <c r="J65" s="10">
        <v>3.2720236363367405E-2</v>
      </c>
      <c r="K65" s="9"/>
    </row>
    <row r="66" spans="1:11" x14ac:dyDescent="0.2">
      <c r="A66" s="1" t="s">
        <v>109</v>
      </c>
      <c r="B66" s="6">
        <v>41976</v>
      </c>
      <c r="C66" s="9">
        <v>0.52530806018541842</v>
      </c>
      <c r="D66" s="9">
        <v>7.2191059481050535E-2</v>
      </c>
      <c r="E66" s="9">
        <v>5.9251227410782391E-2</v>
      </c>
      <c r="F66" s="9">
        <v>5.1801956778452472E-2</v>
      </c>
      <c r="G66" s="9">
        <v>0.10836734717383058</v>
      </c>
      <c r="H66" s="9">
        <v>5.4948551150072432E-2</v>
      </c>
      <c r="I66" s="9">
        <v>8.2264393858997378E-2</v>
      </c>
      <c r="J66" s="9">
        <v>4.5867403961395894E-2</v>
      </c>
      <c r="K66" s="9"/>
    </row>
    <row r="67" spans="1:11" x14ac:dyDescent="0.2">
      <c r="A67" s="1"/>
      <c r="B67" s="6"/>
      <c r="C67" s="9"/>
      <c r="D67" s="9"/>
      <c r="E67" s="9"/>
      <c r="F67" s="9"/>
      <c r="G67" s="9"/>
      <c r="H67" s="9"/>
      <c r="I67" s="9"/>
      <c r="J67" s="9"/>
      <c r="K67" s="9"/>
    </row>
    <row r="68" spans="1:11" x14ac:dyDescent="0.2">
      <c r="A68" s="1" t="s">
        <v>86</v>
      </c>
      <c r="B68" s="6">
        <v>10074</v>
      </c>
      <c r="C68" s="9">
        <v>0.55879723267198278</v>
      </c>
      <c r="D68" s="9">
        <v>6.316665884549745E-2</v>
      </c>
      <c r="E68" s="9">
        <v>4.8315635088187543E-2</v>
      </c>
      <c r="F68" s="9">
        <v>5.6940604843421283E-2</v>
      </c>
      <c r="G68" s="9">
        <v>9.8506253397506557E-2</v>
      </c>
      <c r="H68" s="9">
        <v>5.2234205974269733E-2</v>
      </c>
      <c r="I68" s="9">
        <v>6.4676127184600932E-2</v>
      </c>
      <c r="J68" s="9">
        <v>5.7363281994533749E-2</v>
      </c>
      <c r="K68" s="9"/>
    </row>
    <row r="69" spans="1:11" x14ac:dyDescent="0.2">
      <c r="A69" s="14" t="s">
        <v>87</v>
      </c>
      <c r="B69" s="7">
        <v>6884</v>
      </c>
      <c r="C69" s="10">
        <v>0.53001689511088512</v>
      </c>
      <c r="D69" s="10">
        <v>4.1960938103756881E-2</v>
      </c>
      <c r="E69" s="10">
        <v>9.7777488166438886E-2</v>
      </c>
      <c r="F69" s="10">
        <v>3.5089239486356442E-2</v>
      </c>
      <c r="G69" s="10">
        <v>0.11132268766975527</v>
      </c>
      <c r="H69" s="10">
        <v>7.3407080111356743E-2</v>
      </c>
      <c r="I69" s="10">
        <v>8.4888980763609789E-2</v>
      </c>
      <c r="J69" s="10">
        <v>2.5536690587841037E-2</v>
      </c>
      <c r="K69" s="9"/>
    </row>
    <row r="70" spans="1:11" x14ac:dyDescent="0.2">
      <c r="A70" s="1" t="s">
        <v>110</v>
      </c>
      <c r="B70" s="6">
        <v>16958</v>
      </c>
      <c r="C70" s="9">
        <v>0.54447524258972979</v>
      </c>
      <c r="D70" s="9">
        <v>5.2614033411362247E-2</v>
      </c>
      <c r="E70" s="9">
        <v>7.2929389799463257E-2</v>
      </c>
      <c r="F70" s="9">
        <v>4.6066686590614157E-2</v>
      </c>
      <c r="G70" s="9">
        <v>0.10488410925647007</v>
      </c>
      <c r="H70" s="9">
        <v>6.2770485917491736E-2</v>
      </c>
      <c r="I70" s="9">
        <v>7.4734671073394612E-2</v>
      </c>
      <c r="J70" s="9">
        <v>4.1525381361474309E-2</v>
      </c>
      <c r="K70" s="9"/>
    </row>
    <row r="71" spans="1:11" x14ac:dyDescent="0.2">
      <c r="A71" s="1"/>
      <c r="B71" s="6"/>
      <c r="C71" s="9"/>
      <c r="D71" s="9"/>
      <c r="E71" s="9"/>
      <c r="F71" s="9"/>
      <c r="G71" s="9"/>
      <c r="H71" s="9"/>
      <c r="I71" s="9"/>
      <c r="J71" s="9"/>
      <c r="K71" s="9"/>
    </row>
    <row r="72" spans="1:11" ht="13.5" thickBot="1" x14ac:dyDescent="0.25">
      <c r="A72" s="15" t="s">
        <v>111</v>
      </c>
      <c r="B72" s="8">
        <v>162569</v>
      </c>
      <c r="C72" s="11">
        <v>0.56886213052196011</v>
      </c>
      <c r="D72" s="11">
        <v>7.0646158988618979E-2</v>
      </c>
      <c r="E72" s="11">
        <v>5.4499758545844268E-2</v>
      </c>
      <c r="F72" s="11">
        <v>5.0345073515115968E-2</v>
      </c>
      <c r="G72" s="11">
        <v>0.10002769941887107</v>
      </c>
      <c r="H72" s="11">
        <v>4.909160526677965E-2</v>
      </c>
      <c r="I72" s="11">
        <v>6.1877439751362472E-2</v>
      </c>
      <c r="J72" s="11">
        <v>4.4650133991447377E-2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56"/>
  <dimension ref="A1:L73"/>
  <sheetViews>
    <sheetView topLeftCell="A60" workbookViewId="0">
      <selection activeCell="A78" sqref="A78"/>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s>
  <sheetData>
    <row r="1" spans="1:12" x14ac:dyDescent="0.2">
      <c r="A1" s="36" t="s">
        <v>247</v>
      </c>
    </row>
    <row r="2" spans="1:12" x14ac:dyDescent="0.2">
      <c r="A2" s="22" t="s">
        <v>253</v>
      </c>
    </row>
    <row r="4" spans="1:12" ht="22.5" x14ac:dyDescent="0.2">
      <c r="A4" s="155" t="s">
        <v>245</v>
      </c>
      <c r="B4" s="141" t="s">
        <v>101</v>
      </c>
      <c r="K4" s="160" t="s">
        <v>113</v>
      </c>
      <c r="L4" s="141" t="s">
        <v>451</v>
      </c>
    </row>
    <row r="5" spans="1:12" x14ac:dyDescent="0.2">
      <c r="A5" s="1" t="s">
        <v>102</v>
      </c>
      <c r="B5" s="6">
        <v>40537</v>
      </c>
      <c r="C5" s="6">
        <v>114402616.8</v>
      </c>
      <c r="D5" s="6">
        <v>16354132.630000001</v>
      </c>
      <c r="E5" s="6">
        <v>5934165.1299999999</v>
      </c>
      <c r="F5" s="6">
        <v>10138110.26</v>
      </c>
      <c r="G5" s="6">
        <v>17852827.829999998</v>
      </c>
      <c r="H5" s="6">
        <v>6343458.8499999996</v>
      </c>
      <c r="I5" s="6">
        <v>7226418.46</v>
      </c>
      <c r="J5" s="6">
        <v>7663271.8600000003</v>
      </c>
      <c r="K5" s="6">
        <v>185915001.81999999</v>
      </c>
      <c r="L5" s="6">
        <f>K5/B5</f>
        <v>4586.3039154352809</v>
      </c>
    </row>
    <row r="6" spans="1:12" x14ac:dyDescent="0.2">
      <c r="A6" s="1" t="s">
        <v>76</v>
      </c>
      <c r="B6" s="6">
        <v>24977</v>
      </c>
      <c r="C6" s="6">
        <v>69852083.5</v>
      </c>
      <c r="D6" s="6">
        <v>9501781.8300000001</v>
      </c>
      <c r="E6" s="6">
        <v>5036714.47</v>
      </c>
      <c r="F6" s="6">
        <v>7009042.5</v>
      </c>
      <c r="G6" s="6">
        <v>11042775.609999999</v>
      </c>
      <c r="H6" s="6">
        <v>4894856.3099999996</v>
      </c>
      <c r="I6" s="6">
        <v>6056105.9800000004</v>
      </c>
      <c r="J6" s="6">
        <v>6375257.6100000003</v>
      </c>
      <c r="K6" s="6">
        <v>119768617.81</v>
      </c>
      <c r="L6" s="6">
        <f t="shared" ref="L6:L24" si="0">K6/B6</f>
        <v>4795.156256155663</v>
      </c>
    </row>
    <row r="7" spans="1:12" x14ac:dyDescent="0.2">
      <c r="A7" s="1" t="s">
        <v>77</v>
      </c>
      <c r="B7" s="6">
        <v>14910</v>
      </c>
      <c r="C7" s="6">
        <v>45456234.880000003</v>
      </c>
      <c r="D7" s="6">
        <v>3973459.9</v>
      </c>
      <c r="E7" s="6">
        <v>4379732.53</v>
      </c>
      <c r="F7" s="6">
        <v>4359157.8600000003</v>
      </c>
      <c r="G7" s="6">
        <v>7297150.3600000003</v>
      </c>
      <c r="H7" s="6">
        <v>3432105.77</v>
      </c>
      <c r="I7" s="6">
        <v>4209156.9800000004</v>
      </c>
      <c r="J7" s="6">
        <v>3152058.1</v>
      </c>
      <c r="K7" s="6">
        <v>76259056.379999995</v>
      </c>
      <c r="L7" s="6">
        <f t="shared" si="0"/>
        <v>5114.6248410462777</v>
      </c>
    </row>
    <row r="8" spans="1:12" x14ac:dyDescent="0.2">
      <c r="A8" s="1" t="s">
        <v>78</v>
      </c>
      <c r="B8" s="6">
        <v>14190</v>
      </c>
      <c r="C8" s="6">
        <v>40305924.579999998</v>
      </c>
      <c r="D8" s="6">
        <v>3400220.54</v>
      </c>
      <c r="E8" s="6">
        <v>5454440.3300000001</v>
      </c>
      <c r="F8" s="6">
        <v>3099466.55</v>
      </c>
      <c r="G8" s="6">
        <v>6471603.0899999999</v>
      </c>
      <c r="H8" s="6">
        <v>3476064.17</v>
      </c>
      <c r="I8" s="6">
        <v>5162966.66</v>
      </c>
      <c r="J8" s="6">
        <v>4344184.97</v>
      </c>
      <c r="K8" s="6">
        <v>71714870.889999986</v>
      </c>
      <c r="L8" s="6">
        <f t="shared" si="0"/>
        <v>5053.9021064129656</v>
      </c>
    </row>
    <row r="9" spans="1:12" x14ac:dyDescent="0.2">
      <c r="A9" s="1" t="s">
        <v>79</v>
      </c>
      <c r="B9" s="6">
        <v>6867</v>
      </c>
      <c r="C9" s="6">
        <v>22644893.510000002</v>
      </c>
      <c r="D9" s="6">
        <v>1184867.6100000001</v>
      </c>
      <c r="E9" s="6">
        <v>3781300.47</v>
      </c>
      <c r="F9" s="6">
        <v>1360070.73</v>
      </c>
      <c r="G9" s="6">
        <v>4053379.39</v>
      </c>
      <c r="H9" s="6">
        <v>2970206.74</v>
      </c>
      <c r="I9" s="6">
        <v>2805354.83</v>
      </c>
      <c r="J9" s="6">
        <v>1528825.08</v>
      </c>
      <c r="K9" s="6">
        <v>40328898.359999999</v>
      </c>
      <c r="L9" s="6">
        <f t="shared" si="0"/>
        <v>5872.855447793796</v>
      </c>
    </row>
    <row r="10" spans="1:12" x14ac:dyDescent="0.2">
      <c r="A10" s="14" t="s">
        <v>80</v>
      </c>
      <c r="B10" s="7">
        <v>1788</v>
      </c>
      <c r="C10" s="7">
        <v>5325438.28</v>
      </c>
      <c r="D10" s="7">
        <v>156047.07999999999</v>
      </c>
      <c r="E10" s="7">
        <v>781059.64</v>
      </c>
      <c r="F10" s="7">
        <v>91756.83</v>
      </c>
      <c r="G10" s="7">
        <v>1112655.24</v>
      </c>
      <c r="H10" s="7">
        <v>811665.68</v>
      </c>
      <c r="I10" s="7">
        <v>194812.59</v>
      </c>
      <c r="J10" s="7">
        <v>217291.23</v>
      </c>
      <c r="K10" s="7">
        <v>8690726.5700000003</v>
      </c>
      <c r="L10" s="6">
        <f t="shared" si="0"/>
        <v>4860.585329977629</v>
      </c>
    </row>
    <row r="11" spans="1:12" ht="13.5" thickBot="1" x14ac:dyDescent="0.25">
      <c r="A11" s="1" t="s">
        <v>103</v>
      </c>
      <c r="B11" s="8">
        <v>103269</v>
      </c>
      <c r="C11" s="8">
        <v>297987191.54999995</v>
      </c>
      <c r="D11" s="8">
        <v>34570509.589999996</v>
      </c>
      <c r="E11" s="8">
        <v>25367412.57</v>
      </c>
      <c r="F11" s="8">
        <v>26057604.729999997</v>
      </c>
      <c r="G11" s="8">
        <v>47830391.520000003</v>
      </c>
      <c r="H11" s="8">
        <v>21928357.520000003</v>
      </c>
      <c r="I11" s="8">
        <v>25654815.500000004</v>
      </c>
      <c r="J11" s="8">
        <v>23280888.849999998</v>
      </c>
      <c r="K11" s="8">
        <v>502677171.82999992</v>
      </c>
      <c r="L11" s="8">
        <f t="shared" si="0"/>
        <v>4867.6482955194679</v>
      </c>
    </row>
    <row r="12" spans="1:12" ht="13.5" thickTop="1" x14ac:dyDescent="0.2">
      <c r="A12" s="1"/>
      <c r="B12" s="6"/>
      <c r="C12" s="6"/>
      <c r="D12" s="6"/>
      <c r="E12" s="6"/>
      <c r="F12" s="6"/>
      <c r="G12" s="6"/>
      <c r="H12" s="6"/>
      <c r="I12" s="6"/>
      <c r="J12" s="6"/>
      <c r="K12" s="6"/>
      <c r="L12" s="6"/>
    </row>
    <row r="13" spans="1:12" x14ac:dyDescent="0.2">
      <c r="A13" s="1" t="s">
        <v>81</v>
      </c>
      <c r="B13" s="6">
        <v>19757</v>
      </c>
      <c r="C13" s="6">
        <v>65734408.939999998</v>
      </c>
      <c r="D13" s="6">
        <v>9720187.5899999999</v>
      </c>
      <c r="E13" s="6">
        <v>5258985.6399999997</v>
      </c>
      <c r="F13" s="6">
        <v>5317459.7</v>
      </c>
      <c r="G13" s="6">
        <v>11572232.699999999</v>
      </c>
      <c r="H13" s="6">
        <v>3852380.66</v>
      </c>
      <c r="I13" s="6">
        <v>8694116.1400000006</v>
      </c>
      <c r="J13" s="6">
        <v>10570838.710000001</v>
      </c>
      <c r="K13" s="6">
        <v>120720610.08000001</v>
      </c>
      <c r="L13" s="6">
        <f t="shared" si="0"/>
        <v>6110.2702879991912</v>
      </c>
    </row>
    <row r="14" spans="1:12" x14ac:dyDescent="0.2">
      <c r="A14" s="1" t="s">
        <v>82</v>
      </c>
      <c r="B14" s="6">
        <v>9163</v>
      </c>
      <c r="C14" s="6">
        <v>27526200.890000001</v>
      </c>
      <c r="D14" s="6">
        <v>4160833.82</v>
      </c>
      <c r="E14" s="6">
        <v>2523188.12</v>
      </c>
      <c r="F14" s="6">
        <v>3407801.85</v>
      </c>
      <c r="G14" s="6">
        <v>6097969.5099999998</v>
      </c>
      <c r="H14" s="6">
        <v>3387496.83</v>
      </c>
      <c r="I14" s="6">
        <v>4775656.18</v>
      </c>
      <c r="J14" s="6">
        <v>2506547.4</v>
      </c>
      <c r="K14" s="6">
        <v>54385694.599999994</v>
      </c>
      <c r="L14" s="6">
        <f t="shared" si="0"/>
        <v>5935.3590090581683</v>
      </c>
    </row>
    <row r="15" spans="1:12" x14ac:dyDescent="0.2">
      <c r="A15" s="1" t="s">
        <v>83</v>
      </c>
      <c r="B15" s="6">
        <v>4345</v>
      </c>
      <c r="C15" s="6">
        <v>13108162.390000001</v>
      </c>
      <c r="D15" s="6">
        <v>1624947.63</v>
      </c>
      <c r="E15" s="6">
        <v>1705341.71</v>
      </c>
      <c r="F15" s="6">
        <v>1517759.51</v>
      </c>
      <c r="G15" s="6">
        <v>3132639.72</v>
      </c>
      <c r="H15" s="6">
        <v>1601900.57</v>
      </c>
      <c r="I15" s="6">
        <v>2818203.26</v>
      </c>
      <c r="J15" s="6">
        <v>1482759.83</v>
      </c>
      <c r="K15" s="6">
        <v>26991714.619999997</v>
      </c>
      <c r="L15" s="6">
        <f t="shared" si="0"/>
        <v>6212.1322485615647</v>
      </c>
    </row>
    <row r="16" spans="1:12" x14ac:dyDescent="0.2">
      <c r="A16" s="1" t="s">
        <v>84</v>
      </c>
      <c r="B16" s="6">
        <v>5247</v>
      </c>
      <c r="C16" s="6">
        <v>19514907.390000001</v>
      </c>
      <c r="D16" s="6">
        <v>2170946.46</v>
      </c>
      <c r="E16" s="6">
        <v>3484319.53</v>
      </c>
      <c r="F16" s="6">
        <v>2387622.9</v>
      </c>
      <c r="G16" s="6">
        <v>4578461.93</v>
      </c>
      <c r="H16" s="6">
        <v>3239822.76</v>
      </c>
      <c r="I16" s="6">
        <v>3907442.19</v>
      </c>
      <c r="J16" s="6">
        <v>2760435.85</v>
      </c>
      <c r="K16" s="6">
        <v>42043959.009999998</v>
      </c>
      <c r="L16" s="6">
        <f t="shared" si="0"/>
        <v>8012.9519744615964</v>
      </c>
    </row>
    <row r="17" spans="1:12" x14ac:dyDescent="0.2">
      <c r="A17" s="14" t="s">
        <v>85</v>
      </c>
      <c r="B17" s="7">
        <v>1333</v>
      </c>
      <c r="C17" s="7">
        <v>7671635.0499999998</v>
      </c>
      <c r="D17" s="7">
        <v>881715.84</v>
      </c>
      <c r="E17" s="7">
        <v>1811602.58</v>
      </c>
      <c r="F17" s="7">
        <v>420028.43</v>
      </c>
      <c r="G17" s="7">
        <v>1998563.62</v>
      </c>
      <c r="H17" s="7">
        <v>1305952.24</v>
      </c>
      <c r="I17" s="7">
        <v>1451757.94</v>
      </c>
      <c r="J17" s="7">
        <v>636131.46</v>
      </c>
      <c r="K17" s="7">
        <v>16177387.16</v>
      </c>
      <c r="L17" s="6">
        <f t="shared" si="0"/>
        <v>12136.07438859715</v>
      </c>
    </row>
    <row r="18" spans="1:12" ht="13.5" thickBot="1" x14ac:dyDescent="0.25">
      <c r="A18" s="1" t="s">
        <v>104</v>
      </c>
      <c r="B18" s="8">
        <v>39845</v>
      </c>
      <c r="C18" s="8">
        <v>133555314.66</v>
      </c>
      <c r="D18" s="8">
        <v>18558631.34</v>
      </c>
      <c r="E18" s="8">
        <v>14783437.579999998</v>
      </c>
      <c r="F18" s="8">
        <v>13050672.390000001</v>
      </c>
      <c r="G18" s="8">
        <v>27379867.48</v>
      </c>
      <c r="H18" s="8">
        <v>13387553.060000001</v>
      </c>
      <c r="I18" s="8">
        <v>21647175.710000001</v>
      </c>
      <c r="J18" s="8">
        <v>17956713.250000004</v>
      </c>
      <c r="K18" s="8">
        <v>260319365.46999997</v>
      </c>
      <c r="L18" s="8">
        <f t="shared" si="0"/>
        <v>6533.3006768728819</v>
      </c>
    </row>
    <row r="19" spans="1:12" ht="13.5" thickTop="1" x14ac:dyDescent="0.2">
      <c r="A19" s="1"/>
      <c r="B19" s="6"/>
      <c r="C19" s="6"/>
      <c r="D19" s="6"/>
      <c r="E19" s="6"/>
      <c r="F19" s="6"/>
      <c r="G19" s="6"/>
      <c r="H19" s="6"/>
      <c r="I19" s="6"/>
      <c r="J19" s="6"/>
      <c r="K19" s="6"/>
      <c r="L19" s="6"/>
    </row>
    <row r="20" spans="1:12" x14ac:dyDescent="0.2">
      <c r="A20" s="1" t="s">
        <v>86</v>
      </c>
      <c r="B20" s="6">
        <v>8237</v>
      </c>
      <c r="C20" s="6">
        <v>22731160.309999999</v>
      </c>
      <c r="D20" s="6">
        <v>2546403.16</v>
      </c>
      <c r="E20" s="6">
        <v>1914830.27</v>
      </c>
      <c r="F20" s="6">
        <v>2380233.5299999998</v>
      </c>
      <c r="G20" s="6">
        <v>3854890.57</v>
      </c>
      <c r="H20" s="6">
        <v>2121287.98</v>
      </c>
      <c r="I20" s="6">
        <v>2619647.46</v>
      </c>
      <c r="J20" s="6">
        <v>3000050.81</v>
      </c>
      <c r="K20" s="6">
        <v>41168504.090000004</v>
      </c>
      <c r="L20" s="6">
        <f t="shared" si="0"/>
        <v>4997.9973400509898</v>
      </c>
    </row>
    <row r="21" spans="1:12" x14ac:dyDescent="0.2">
      <c r="A21" s="14" t="s">
        <v>87</v>
      </c>
      <c r="B21" s="7">
        <v>5599</v>
      </c>
      <c r="C21" s="7">
        <v>23141744.989999998</v>
      </c>
      <c r="D21" s="7">
        <v>2024680.99</v>
      </c>
      <c r="E21" s="7">
        <v>4525819.54</v>
      </c>
      <c r="F21" s="7">
        <v>1563825.32</v>
      </c>
      <c r="G21" s="7">
        <v>5170023.72</v>
      </c>
      <c r="H21" s="7">
        <v>3188763.75</v>
      </c>
      <c r="I21" s="7">
        <v>3999509.1</v>
      </c>
      <c r="J21" s="7">
        <v>2599082.6800000002</v>
      </c>
      <c r="K21" s="7">
        <v>46213450.089999996</v>
      </c>
      <c r="L21" s="6">
        <f t="shared" si="0"/>
        <v>8253.8757081621716</v>
      </c>
    </row>
    <row r="22" spans="1:12" ht="13.5" thickBot="1" x14ac:dyDescent="0.25">
      <c r="A22" s="1" t="s">
        <v>105</v>
      </c>
      <c r="B22" s="8">
        <v>13836</v>
      </c>
      <c r="C22" s="8">
        <v>45872905.299999997</v>
      </c>
      <c r="D22" s="8">
        <v>4571084.1500000004</v>
      </c>
      <c r="E22" s="8">
        <v>6440649.8100000005</v>
      </c>
      <c r="F22" s="8">
        <v>3944058.85</v>
      </c>
      <c r="G22" s="8">
        <v>9024914.2899999991</v>
      </c>
      <c r="H22" s="8">
        <v>5310051.7300000004</v>
      </c>
      <c r="I22" s="8">
        <v>6619156.5600000005</v>
      </c>
      <c r="J22" s="8">
        <v>5599133.4900000002</v>
      </c>
      <c r="K22" s="8">
        <v>87381954.180000007</v>
      </c>
      <c r="L22" s="8">
        <f t="shared" si="0"/>
        <v>6315.5503165654818</v>
      </c>
    </row>
    <row r="23" spans="1:12" ht="13.5" thickTop="1" x14ac:dyDescent="0.2">
      <c r="L23" s="6"/>
    </row>
    <row r="24" spans="1:12" ht="13.5" thickBot="1" x14ac:dyDescent="0.25">
      <c r="A24" s="15" t="s">
        <v>114</v>
      </c>
      <c r="B24" s="8">
        <v>156950</v>
      </c>
      <c r="C24" s="8">
        <v>477415411.50999993</v>
      </c>
      <c r="D24" s="8">
        <v>57700225.079999991</v>
      </c>
      <c r="E24" s="8">
        <v>46591499.960000001</v>
      </c>
      <c r="F24" s="8">
        <v>43052335.969999999</v>
      </c>
      <c r="G24" s="8">
        <v>84235173.289999992</v>
      </c>
      <c r="H24" s="8">
        <v>40625962.310000002</v>
      </c>
      <c r="I24" s="8">
        <v>53921147.770000011</v>
      </c>
      <c r="J24" s="8">
        <v>46836735.590000004</v>
      </c>
      <c r="K24" s="8">
        <v>850378491.48000002</v>
      </c>
      <c r="L24" s="8">
        <f t="shared" si="0"/>
        <v>5418.1490377827331</v>
      </c>
    </row>
    <row r="25" spans="1:12" ht="13.5" thickTop="1" x14ac:dyDescent="0.2">
      <c r="A25" s="1"/>
      <c r="B25" s="6"/>
      <c r="C25" s="6"/>
      <c r="D25" s="6"/>
      <c r="E25" s="6"/>
      <c r="F25" s="6"/>
      <c r="G25" s="6"/>
      <c r="H25" s="6"/>
      <c r="I25" s="6"/>
      <c r="J25" s="6"/>
      <c r="K25" s="6"/>
    </row>
    <row r="26" spans="1:12" x14ac:dyDescent="0.2">
      <c r="A26" s="36" t="s">
        <v>247</v>
      </c>
      <c r="B26" s="6"/>
      <c r="C26" s="6"/>
      <c r="D26" s="6"/>
      <c r="E26" s="6"/>
      <c r="F26" s="6"/>
      <c r="G26" s="6"/>
      <c r="H26" s="6"/>
      <c r="I26" s="6"/>
      <c r="J26" s="6"/>
      <c r="K26" s="1"/>
    </row>
    <row r="27" spans="1:12" x14ac:dyDescent="0.2">
      <c r="A27" s="36" t="s">
        <v>258</v>
      </c>
      <c r="B27" s="6"/>
      <c r="C27" s="6"/>
      <c r="D27" s="6"/>
      <c r="E27" s="6"/>
      <c r="F27" s="6"/>
      <c r="G27" s="6"/>
      <c r="H27" s="6"/>
      <c r="I27" s="6"/>
      <c r="J27" s="6"/>
      <c r="K27" s="1"/>
    </row>
    <row r="28" spans="1:12" ht="22.5" x14ac:dyDescent="0.2">
      <c r="A28" s="155" t="s">
        <v>245</v>
      </c>
      <c r="B28" s="141" t="s">
        <v>101</v>
      </c>
      <c r="C28" s="141" t="s">
        <v>94</v>
      </c>
      <c r="D28" s="141" t="s">
        <v>95</v>
      </c>
      <c r="E28" s="141" t="s">
        <v>96</v>
      </c>
      <c r="F28" s="141" t="s">
        <v>97</v>
      </c>
      <c r="G28" s="141" t="s">
        <v>98</v>
      </c>
      <c r="H28" s="141" t="s">
        <v>99</v>
      </c>
      <c r="I28" s="141" t="s">
        <v>93</v>
      </c>
      <c r="J28" s="141" t="s">
        <v>115</v>
      </c>
      <c r="K28" s="160" t="s">
        <v>113</v>
      </c>
    </row>
    <row r="29" spans="1:12" x14ac:dyDescent="0.2">
      <c r="A29" s="1" t="s">
        <v>102</v>
      </c>
      <c r="B29" s="6">
        <v>40537</v>
      </c>
      <c r="C29" s="6">
        <v>2822.1776845844538</v>
      </c>
      <c r="D29" s="6">
        <v>403.43717171966352</v>
      </c>
      <c r="E29" s="6">
        <v>146.38885783358413</v>
      </c>
      <c r="F29" s="6">
        <v>250.09522806325086</v>
      </c>
      <c r="G29" s="6">
        <v>440.40821545748327</v>
      </c>
      <c r="H29" s="6">
        <v>156.48565138022053</v>
      </c>
      <c r="I29" s="6">
        <v>178.26722401756419</v>
      </c>
      <c r="J29" s="6">
        <v>189.0438823790611</v>
      </c>
      <c r="K29" s="6">
        <v>4586.3039154352809</v>
      </c>
    </row>
    <row r="30" spans="1:12" x14ac:dyDescent="0.2">
      <c r="A30" s="1" t="s">
        <v>76</v>
      </c>
      <c r="B30" s="6">
        <v>24977</v>
      </c>
      <c r="C30" s="6">
        <v>2796.6562637626616</v>
      </c>
      <c r="D30" s="6">
        <v>380.4212607598991</v>
      </c>
      <c r="E30" s="6">
        <v>201.65410057252672</v>
      </c>
      <c r="F30" s="6">
        <v>280.61987028065823</v>
      </c>
      <c r="G30" s="6">
        <v>442.11777275093084</v>
      </c>
      <c r="H30" s="6">
        <v>195.97454898506624</v>
      </c>
      <c r="I30" s="6">
        <v>242.46730912439446</v>
      </c>
      <c r="J30" s="6">
        <v>255.24512991952597</v>
      </c>
      <c r="K30" s="6">
        <v>4795.156256155663</v>
      </c>
    </row>
    <row r="31" spans="1:12" x14ac:dyDescent="0.2">
      <c r="A31" s="1" t="s">
        <v>77</v>
      </c>
      <c r="B31" s="6">
        <v>14910</v>
      </c>
      <c r="C31" s="6">
        <v>3048.7079061032864</v>
      </c>
      <c r="D31" s="6">
        <v>266.49630449362843</v>
      </c>
      <c r="E31" s="6">
        <v>293.74463648558014</v>
      </c>
      <c r="F31" s="6">
        <v>292.36471227364189</v>
      </c>
      <c r="G31" s="6">
        <v>489.41316968477537</v>
      </c>
      <c r="H31" s="6">
        <v>230.1881804158283</v>
      </c>
      <c r="I31" s="6">
        <v>282.30429107981223</v>
      </c>
      <c r="J31" s="6">
        <v>211.40564050972503</v>
      </c>
      <c r="K31" s="6">
        <v>5114.6248410462777</v>
      </c>
    </row>
    <row r="32" spans="1:12" x14ac:dyDescent="0.2">
      <c r="A32" s="1" t="s">
        <v>78</v>
      </c>
      <c r="B32" s="6">
        <v>14190</v>
      </c>
      <c r="C32" s="6">
        <v>2840.4457068357997</v>
      </c>
      <c r="D32" s="6">
        <v>239.62089781536292</v>
      </c>
      <c r="E32" s="6">
        <v>384.38621071176885</v>
      </c>
      <c r="F32" s="6">
        <v>218.42611346018322</v>
      </c>
      <c r="G32" s="6">
        <v>456.06787103594081</v>
      </c>
      <c r="H32" s="6">
        <v>244.96576250880901</v>
      </c>
      <c r="I32" s="6">
        <v>363.84543058491897</v>
      </c>
      <c r="J32" s="6">
        <v>306.14411346018323</v>
      </c>
      <c r="K32" s="6">
        <v>5053.9021064129656</v>
      </c>
    </row>
    <row r="33" spans="1:11" x14ac:dyDescent="0.2">
      <c r="A33" s="1" t="s">
        <v>79</v>
      </c>
      <c r="B33" s="6">
        <v>6867</v>
      </c>
      <c r="C33" s="6">
        <v>3297.6399461191209</v>
      </c>
      <c r="D33" s="6">
        <v>172.54515945827873</v>
      </c>
      <c r="E33" s="6">
        <v>550.64809523809527</v>
      </c>
      <c r="F33" s="6">
        <v>198.05893840104849</v>
      </c>
      <c r="G33" s="6">
        <v>590.26931556720547</v>
      </c>
      <c r="H33" s="6">
        <v>432.53338284549295</v>
      </c>
      <c r="I33" s="6">
        <v>408.52698849570413</v>
      </c>
      <c r="J33" s="6">
        <v>222.63362166885105</v>
      </c>
      <c r="K33" s="6">
        <v>5872.855447793796</v>
      </c>
    </row>
    <row r="34" spans="1:11" x14ac:dyDescent="0.2">
      <c r="A34" s="14" t="s">
        <v>80</v>
      </c>
      <c r="B34" s="7">
        <v>1788</v>
      </c>
      <c r="C34" s="7">
        <v>2978.4330425055928</v>
      </c>
      <c r="D34" s="7">
        <v>87.274653243847865</v>
      </c>
      <c r="E34" s="7">
        <v>436.8342505592841</v>
      </c>
      <c r="F34" s="7">
        <v>51.318137583892621</v>
      </c>
      <c r="G34" s="7">
        <v>622.29040268456379</v>
      </c>
      <c r="H34" s="7">
        <v>453.95172259507831</v>
      </c>
      <c r="I34" s="7">
        <v>108.95558724832215</v>
      </c>
      <c r="J34" s="7">
        <v>121.52753355704698</v>
      </c>
      <c r="K34" s="7">
        <v>4860.585329977629</v>
      </c>
    </row>
    <row r="35" spans="1:11" x14ac:dyDescent="0.2">
      <c r="A35" s="1" t="s">
        <v>103</v>
      </c>
      <c r="B35" s="6">
        <v>103269</v>
      </c>
      <c r="C35" s="6">
        <v>2885.5434985329571</v>
      </c>
      <c r="D35" s="6">
        <v>334.7617347897239</v>
      </c>
      <c r="E35" s="6">
        <v>245.64402260116782</v>
      </c>
      <c r="F35" s="6">
        <v>252.32746254926451</v>
      </c>
      <c r="G35" s="6">
        <v>463.16311303488948</v>
      </c>
      <c r="H35" s="6">
        <v>212.34211157268882</v>
      </c>
      <c r="I35" s="6">
        <v>248.42707395249303</v>
      </c>
      <c r="J35" s="6">
        <v>225.43927848628337</v>
      </c>
      <c r="K35" s="6">
        <v>4867.6482955194679</v>
      </c>
    </row>
    <row r="36" spans="1:11" x14ac:dyDescent="0.2">
      <c r="A36" s="1"/>
      <c r="B36" s="6"/>
      <c r="C36" s="6"/>
      <c r="D36" s="6"/>
      <c r="E36" s="6"/>
      <c r="F36" s="6"/>
      <c r="G36" s="6"/>
      <c r="H36" s="6"/>
      <c r="I36" s="6"/>
      <c r="J36" s="6"/>
      <c r="K36" s="6"/>
    </row>
    <row r="37" spans="1:11" x14ac:dyDescent="0.2">
      <c r="A37" s="1" t="s">
        <v>81</v>
      </c>
      <c r="B37" s="6">
        <v>19757</v>
      </c>
      <c r="C37" s="6">
        <v>3327.1452619324796</v>
      </c>
      <c r="D37" s="6">
        <v>491.98702181505291</v>
      </c>
      <c r="E37" s="6">
        <v>266.18341043680721</v>
      </c>
      <c r="F37" s="6">
        <v>269.14307334109429</v>
      </c>
      <c r="G37" s="6">
        <v>585.72823303133066</v>
      </c>
      <c r="H37" s="6">
        <v>194.98813888748293</v>
      </c>
      <c r="I37" s="6">
        <v>440.05244419699352</v>
      </c>
      <c r="J37" s="6">
        <v>535.04270435794911</v>
      </c>
      <c r="K37" s="6">
        <v>6110.2702879991912</v>
      </c>
    </row>
    <row r="38" spans="1:11" x14ac:dyDescent="0.2">
      <c r="A38" s="1" t="s">
        <v>82</v>
      </c>
      <c r="B38" s="6">
        <v>9163</v>
      </c>
      <c r="C38" s="6">
        <v>3004.0599028702391</v>
      </c>
      <c r="D38" s="6">
        <v>454.09078031212482</v>
      </c>
      <c r="E38" s="6">
        <v>275.36703263123434</v>
      </c>
      <c r="F38" s="6">
        <v>371.90896540434358</v>
      </c>
      <c r="G38" s="6">
        <v>665.49923714940519</v>
      </c>
      <c r="H38" s="6">
        <v>369.69298592164137</v>
      </c>
      <c r="I38" s="6">
        <v>521.1891498417549</v>
      </c>
      <c r="J38" s="6">
        <v>273.55095492742549</v>
      </c>
      <c r="K38" s="6">
        <v>5935.3590090581683</v>
      </c>
    </row>
    <row r="39" spans="1:11" x14ac:dyDescent="0.2">
      <c r="A39" s="1" t="s">
        <v>83</v>
      </c>
      <c r="B39" s="6">
        <v>4345</v>
      </c>
      <c r="C39" s="6">
        <v>3016.8382945914846</v>
      </c>
      <c r="D39" s="6">
        <v>373.98104257767545</v>
      </c>
      <c r="E39" s="6">
        <v>392.48370771001152</v>
      </c>
      <c r="F39" s="6">
        <v>349.31173993095513</v>
      </c>
      <c r="G39" s="6">
        <v>720.9757698504028</v>
      </c>
      <c r="H39" s="6">
        <v>368.67677100115077</v>
      </c>
      <c r="I39" s="6">
        <v>648.60834522439586</v>
      </c>
      <c r="J39" s="6">
        <v>341.2565776754891</v>
      </c>
      <c r="K39" s="6">
        <v>6212.1322485615647</v>
      </c>
    </row>
    <row r="40" spans="1:11" x14ac:dyDescent="0.2">
      <c r="A40" s="1" t="s">
        <v>84</v>
      </c>
      <c r="B40" s="6">
        <v>5247</v>
      </c>
      <c r="C40" s="6">
        <v>3719.250503144654</v>
      </c>
      <c r="D40" s="6">
        <v>413.75004002287022</v>
      </c>
      <c r="E40" s="6">
        <v>664.05937297503328</v>
      </c>
      <c r="F40" s="6">
        <v>455.04534019439677</v>
      </c>
      <c r="G40" s="6">
        <v>872.58660758528674</v>
      </c>
      <c r="H40" s="6">
        <v>617.46193253287584</v>
      </c>
      <c r="I40" s="6">
        <v>744.70024585477415</v>
      </c>
      <c r="J40" s="6">
        <v>526.09793215170578</v>
      </c>
      <c r="K40" s="6">
        <v>8012.9519744615964</v>
      </c>
    </row>
    <row r="41" spans="1:11" x14ac:dyDescent="0.2">
      <c r="A41" s="14" t="s">
        <v>85</v>
      </c>
      <c r="B41" s="7">
        <v>1333</v>
      </c>
      <c r="C41" s="7">
        <v>5755.1650787696926</v>
      </c>
      <c r="D41" s="7">
        <v>661.45224306076511</v>
      </c>
      <c r="E41" s="7">
        <v>1359.041695423856</v>
      </c>
      <c r="F41" s="7">
        <v>315.10009752438111</v>
      </c>
      <c r="G41" s="7">
        <v>1499.2975393848462</v>
      </c>
      <c r="H41" s="7">
        <v>979.70910727681917</v>
      </c>
      <c r="I41" s="7">
        <v>1089.0907276819205</v>
      </c>
      <c r="J41" s="7">
        <v>477.21789947486872</v>
      </c>
      <c r="K41" s="7">
        <v>12136.07438859715</v>
      </c>
    </row>
    <row r="42" spans="1:11" x14ac:dyDescent="0.2">
      <c r="A42" s="1" t="s">
        <v>104</v>
      </c>
      <c r="B42" s="6">
        <v>39845</v>
      </c>
      <c r="C42" s="6">
        <v>3351.8713680511983</v>
      </c>
      <c r="D42" s="6">
        <v>465.77064474840006</v>
      </c>
      <c r="E42" s="6">
        <v>371.02365616764962</v>
      </c>
      <c r="F42" s="6">
        <v>327.53601179570836</v>
      </c>
      <c r="G42" s="6">
        <v>687.15942979043791</v>
      </c>
      <c r="H42" s="6">
        <v>335.99079081440584</v>
      </c>
      <c r="I42" s="6">
        <v>543.28462065503834</v>
      </c>
      <c r="J42" s="6">
        <v>450.66415485004399</v>
      </c>
      <c r="K42" s="6">
        <v>6533.3006768728819</v>
      </c>
    </row>
    <row r="43" spans="1:11" x14ac:dyDescent="0.2">
      <c r="A43" s="1"/>
      <c r="B43" s="6"/>
      <c r="C43" s="6"/>
      <c r="D43" s="6"/>
      <c r="E43" s="6"/>
      <c r="F43" s="6"/>
      <c r="G43" s="6"/>
      <c r="H43" s="6"/>
      <c r="I43" s="6"/>
      <c r="J43" s="6"/>
      <c r="K43" s="6"/>
    </row>
    <row r="44" spans="1:11" x14ac:dyDescent="0.2">
      <c r="A44" s="1" t="s">
        <v>86</v>
      </c>
      <c r="B44" s="6">
        <v>8237</v>
      </c>
      <c r="C44" s="6">
        <v>2759.6406835012745</v>
      </c>
      <c r="D44" s="6">
        <v>309.14206143013234</v>
      </c>
      <c r="E44" s="6">
        <v>232.46695034599975</v>
      </c>
      <c r="F44" s="6">
        <v>288.96849945368456</v>
      </c>
      <c r="G44" s="6">
        <v>467.99691271093843</v>
      </c>
      <c r="H44" s="6">
        <v>257.53162316377319</v>
      </c>
      <c r="I44" s="6">
        <v>318.03417020759986</v>
      </c>
      <c r="J44" s="6">
        <v>364.21643923758648</v>
      </c>
      <c r="K44" s="6">
        <v>4997.9973400509898</v>
      </c>
    </row>
    <row r="45" spans="1:11" x14ac:dyDescent="0.2">
      <c r="A45" s="14" t="s">
        <v>87</v>
      </c>
      <c r="B45" s="7">
        <v>5599</v>
      </c>
      <c r="C45" s="7">
        <v>4133.1925325951061</v>
      </c>
      <c r="D45" s="7">
        <v>361.61475084836576</v>
      </c>
      <c r="E45" s="7">
        <v>808.32640471512775</v>
      </c>
      <c r="F45" s="7">
        <v>279.30439721378821</v>
      </c>
      <c r="G45" s="7">
        <v>923.38341132345056</v>
      </c>
      <c r="H45" s="7">
        <v>569.52379889265944</v>
      </c>
      <c r="I45" s="7">
        <v>714.32561171637792</v>
      </c>
      <c r="J45" s="7">
        <v>464.20480085729599</v>
      </c>
      <c r="K45" s="7">
        <v>8253.8757081621716</v>
      </c>
    </row>
    <row r="46" spans="1:11" x14ac:dyDescent="0.2">
      <c r="A46" s="1" t="s">
        <v>105</v>
      </c>
      <c r="B46" s="6">
        <v>13836</v>
      </c>
      <c r="C46" s="6">
        <v>3315.4745085284762</v>
      </c>
      <c r="D46" s="6">
        <v>330.37613110725647</v>
      </c>
      <c r="E46" s="6">
        <v>465.49940806591502</v>
      </c>
      <c r="F46" s="6">
        <v>285.05773706273487</v>
      </c>
      <c r="G46" s="6">
        <v>652.27770237062725</v>
      </c>
      <c r="H46" s="6">
        <v>383.78517851980342</v>
      </c>
      <c r="I46" s="6">
        <v>478.40102341717261</v>
      </c>
      <c r="J46" s="6">
        <v>404.67862749349524</v>
      </c>
      <c r="K46" s="6">
        <v>6315.5503165654818</v>
      </c>
    </row>
    <row r="47" spans="1:11" x14ac:dyDescent="0.2">
      <c r="A47" s="1"/>
      <c r="B47" s="6"/>
      <c r="C47" s="6"/>
      <c r="D47" s="6"/>
      <c r="E47" s="6"/>
      <c r="F47" s="6"/>
      <c r="G47" s="6"/>
      <c r="H47" s="6"/>
      <c r="I47" s="6"/>
      <c r="J47" s="6"/>
      <c r="K47" s="6"/>
    </row>
    <row r="48" spans="1:11" ht="13.5" thickBot="1" x14ac:dyDescent="0.25">
      <c r="A48" s="15" t="s">
        <v>114</v>
      </c>
      <c r="B48" s="8">
        <v>156950</v>
      </c>
      <c r="C48" s="8">
        <v>3041.8312297546986</v>
      </c>
      <c r="D48" s="8">
        <v>367.63443822873523</v>
      </c>
      <c r="E48" s="8">
        <v>296.8556862695126</v>
      </c>
      <c r="F48" s="8">
        <v>274.30605906339599</v>
      </c>
      <c r="G48" s="8">
        <v>536.70068996495695</v>
      </c>
      <c r="H48" s="8">
        <v>258.84652634597006</v>
      </c>
      <c r="I48" s="8">
        <v>343.55621388977386</v>
      </c>
      <c r="J48" s="8">
        <v>298.41819426568975</v>
      </c>
      <c r="K48" s="8">
        <v>5418.1490377827331</v>
      </c>
    </row>
    <row r="49" spans="1:11" ht="13.5" thickTop="1" x14ac:dyDescent="0.2">
      <c r="A49" s="1"/>
      <c r="B49" s="6"/>
      <c r="C49" s="6"/>
      <c r="D49" s="6"/>
      <c r="E49" s="6"/>
      <c r="F49" s="6"/>
      <c r="G49" s="6"/>
      <c r="H49" s="6"/>
      <c r="I49" s="6"/>
      <c r="J49" s="6"/>
      <c r="K49" s="6"/>
    </row>
    <row r="50" spans="1:11" x14ac:dyDescent="0.2">
      <c r="A50" s="36" t="s">
        <v>247</v>
      </c>
      <c r="B50" s="6"/>
      <c r="C50" s="6"/>
      <c r="D50" s="6"/>
      <c r="E50" s="6"/>
      <c r="F50" s="6"/>
      <c r="G50" s="6"/>
      <c r="H50" s="6"/>
      <c r="I50" s="6"/>
      <c r="J50" s="6"/>
      <c r="K50" s="6"/>
    </row>
    <row r="51" spans="1:11" x14ac:dyDescent="0.2">
      <c r="A51" s="22" t="s">
        <v>265</v>
      </c>
      <c r="B51" s="6"/>
      <c r="C51" s="6"/>
      <c r="D51" s="6"/>
      <c r="E51" s="6"/>
      <c r="F51" s="6"/>
      <c r="G51" s="6"/>
      <c r="H51" s="6"/>
      <c r="I51" s="6"/>
      <c r="J51" s="6"/>
      <c r="K51" s="1"/>
    </row>
    <row r="52" spans="1:11" ht="22.5" x14ac:dyDescent="0.2">
      <c r="A52" s="155" t="s">
        <v>245</v>
      </c>
      <c r="B52" s="161"/>
      <c r="C52" s="141" t="s">
        <v>94</v>
      </c>
      <c r="D52" s="141" t="s">
        <v>95</v>
      </c>
      <c r="E52" s="141" t="s">
        <v>96</v>
      </c>
      <c r="F52" s="141" t="s">
        <v>97</v>
      </c>
      <c r="G52" s="141" t="s">
        <v>98</v>
      </c>
      <c r="H52" s="141" t="s">
        <v>99</v>
      </c>
      <c r="I52" s="141" t="s">
        <v>93</v>
      </c>
      <c r="J52" s="141" t="s">
        <v>115</v>
      </c>
      <c r="K52" s="13"/>
    </row>
    <row r="53" spans="1:11" x14ac:dyDescent="0.2">
      <c r="A53" s="1" t="s">
        <v>102</v>
      </c>
      <c r="B53" s="6"/>
      <c r="C53" s="9">
        <v>0.615349034128848</v>
      </c>
      <c r="D53" s="9">
        <v>8.796564273943755E-2</v>
      </c>
      <c r="E53" s="9">
        <v>3.1918699792421089E-2</v>
      </c>
      <c r="F53" s="9">
        <v>5.4530888635956128E-2</v>
      </c>
      <c r="G53" s="9">
        <v>9.602682761063483E-2</v>
      </c>
      <c r="H53" s="9">
        <v>3.4120209708206541E-2</v>
      </c>
      <c r="I53" s="9">
        <v>3.8869474702189474E-2</v>
      </c>
      <c r="J53" s="9">
        <v>4.121922268230651E-2</v>
      </c>
      <c r="K53" s="9"/>
    </row>
    <row r="54" spans="1:11" x14ac:dyDescent="0.2">
      <c r="A54" s="1" t="s">
        <v>76</v>
      </c>
      <c r="B54" s="6"/>
      <c r="C54" s="9">
        <v>0.5832252619865147</v>
      </c>
      <c r="D54" s="9">
        <v>7.9334486810840155E-2</v>
      </c>
      <c r="E54" s="9">
        <v>4.2053707908612625E-2</v>
      </c>
      <c r="F54" s="9">
        <v>5.8521527827256815E-2</v>
      </c>
      <c r="G54" s="9">
        <v>9.2200910488239696E-2</v>
      </c>
      <c r="H54" s="9">
        <v>4.0869272765301189E-2</v>
      </c>
      <c r="I54" s="9">
        <v>5.0565048597349269E-2</v>
      </c>
      <c r="J54" s="9">
        <v>5.3229783615885581E-2</v>
      </c>
      <c r="K54" s="9"/>
    </row>
    <row r="55" spans="1:11" x14ac:dyDescent="0.2">
      <c r="A55" s="1" t="s">
        <v>77</v>
      </c>
      <c r="B55" s="6"/>
      <c r="C55" s="9">
        <v>0.59607654536781718</v>
      </c>
      <c r="D55" s="9">
        <v>5.2104760911283646E-2</v>
      </c>
      <c r="E55" s="9">
        <v>5.7432293787845055E-2</v>
      </c>
      <c r="F55" s="9">
        <v>5.7162494094842357E-2</v>
      </c>
      <c r="G55" s="9">
        <v>9.5688967401303698E-2</v>
      </c>
      <c r="H55" s="9">
        <v>4.5005877766147097E-2</v>
      </c>
      <c r="I55" s="9">
        <v>5.5195503062950443E-2</v>
      </c>
      <c r="J55" s="9">
        <v>4.1333557607810517E-2</v>
      </c>
      <c r="K55" s="9"/>
    </row>
    <row r="56" spans="1:11" x14ac:dyDescent="0.2">
      <c r="A56" s="1" t="s">
        <v>78</v>
      </c>
      <c r="B56" s="6"/>
      <c r="C56" s="9">
        <v>0.56203021883457516</v>
      </c>
      <c r="D56" s="9">
        <v>4.7413046942738499E-2</v>
      </c>
      <c r="E56" s="9">
        <v>7.6057312274413855E-2</v>
      </c>
      <c r="F56" s="9">
        <v>4.3219300425906416E-2</v>
      </c>
      <c r="G56" s="9">
        <v>9.0240741002329677E-2</v>
      </c>
      <c r="H56" s="9">
        <v>4.8470618811149627E-2</v>
      </c>
      <c r="I56" s="9">
        <v>7.1992971554243307E-2</v>
      </c>
      <c r="J56" s="9">
        <v>6.0575790154643629E-2</v>
      </c>
      <c r="K56" s="9"/>
    </row>
    <row r="57" spans="1:11" x14ac:dyDescent="0.2">
      <c r="A57" s="1" t="s">
        <v>79</v>
      </c>
      <c r="B57" s="6"/>
      <c r="C57" s="9">
        <v>0.5615053827619606</v>
      </c>
      <c r="D57" s="9">
        <v>2.9380113471564714E-2</v>
      </c>
      <c r="E57" s="9">
        <v>9.3761561157605602E-2</v>
      </c>
      <c r="F57" s="9">
        <v>3.3724470176675563E-2</v>
      </c>
      <c r="G57" s="9">
        <v>0.10050806133649122</v>
      </c>
      <c r="H57" s="9">
        <v>7.3649587784078527E-2</v>
      </c>
      <c r="I57" s="9">
        <v>6.9561900872116972E-2</v>
      </c>
      <c r="J57" s="9">
        <v>3.7908922439506984E-2</v>
      </c>
      <c r="K57" s="9"/>
    </row>
    <row r="58" spans="1:11" x14ac:dyDescent="0.2">
      <c r="A58" s="14" t="s">
        <v>80</v>
      </c>
      <c r="B58" s="7"/>
      <c r="C58" s="10">
        <v>0.61277250378388093</v>
      </c>
      <c r="D58" s="10">
        <v>1.7955585041493253E-2</v>
      </c>
      <c r="E58" s="10">
        <v>8.9872766529806941E-2</v>
      </c>
      <c r="F58" s="10">
        <v>1.0558015979554631E-2</v>
      </c>
      <c r="G58" s="10">
        <v>0.12802787327826376</v>
      </c>
      <c r="H58" s="10">
        <v>9.3394455971245682E-2</v>
      </c>
      <c r="I58" s="10">
        <v>2.2416145351124534E-2</v>
      </c>
      <c r="J58" s="10">
        <v>2.5002654064630179E-2</v>
      </c>
      <c r="K58" s="9"/>
    </row>
    <row r="59" spans="1:11" x14ac:dyDescent="0.2">
      <c r="A59" s="1" t="s">
        <v>108</v>
      </c>
      <c r="B59" s="6"/>
      <c r="C59" s="9">
        <v>0.59280032643053071</v>
      </c>
      <c r="D59" s="9">
        <v>6.8772786049037804E-2</v>
      </c>
      <c r="E59" s="9">
        <v>5.0464620220667167E-2</v>
      </c>
      <c r="F59" s="9">
        <v>5.1837652852102067E-2</v>
      </c>
      <c r="G59" s="9">
        <v>9.5151310225354196E-2</v>
      </c>
      <c r="H59" s="9">
        <v>4.362314174755471E-2</v>
      </c>
      <c r="I59" s="9">
        <v>5.1036364763896995E-2</v>
      </c>
      <c r="J59" s="9">
        <v>4.6313797710856357E-2</v>
      </c>
      <c r="K59" s="9"/>
    </row>
    <row r="60" spans="1:11" x14ac:dyDescent="0.2">
      <c r="A60" s="1"/>
      <c r="B60" s="6"/>
      <c r="C60" s="9"/>
      <c r="D60" s="9"/>
      <c r="E60" s="9"/>
      <c r="F60" s="9"/>
      <c r="G60" s="9"/>
      <c r="H60" s="9"/>
      <c r="I60" s="9"/>
      <c r="J60" s="9"/>
      <c r="K60" s="9"/>
    </row>
    <row r="61" spans="1:11" x14ac:dyDescent="0.2">
      <c r="A61" s="1" t="s">
        <v>81</v>
      </c>
      <c r="B61" s="6"/>
      <c r="C61" s="9">
        <v>0.54451687161321205</v>
      </c>
      <c r="D61" s="9">
        <v>8.051804562252092E-2</v>
      </c>
      <c r="E61" s="9">
        <v>4.3563279182526803E-2</v>
      </c>
      <c r="F61" s="9">
        <v>4.4047654302576726E-2</v>
      </c>
      <c r="G61" s="9">
        <v>9.5859627385342303E-2</v>
      </c>
      <c r="H61" s="9">
        <v>3.1911540684288094E-2</v>
      </c>
      <c r="I61" s="9">
        <v>7.2018490746845298E-2</v>
      </c>
      <c r="J61" s="9">
        <v>8.7564490462687689E-2</v>
      </c>
      <c r="K61" s="9"/>
    </row>
    <row r="62" spans="1:11" x14ac:dyDescent="0.2">
      <c r="A62" s="1" t="s">
        <v>82</v>
      </c>
      <c r="B62" s="6"/>
      <c r="C62" s="9">
        <v>0.50612943518422948</v>
      </c>
      <c r="D62" s="9">
        <v>7.650603436441171E-2</v>
      </c>
      <c r="E62" s="9">
        <v>4.6394334733751846E-2</v>
      </c>
      <c r="F62" s="9">
        <v>6.265989383906849E-2</v>
      </c>
      <c r="G62" s="9">
        <v>0.11212451279421556</v>
      </c>
      <c r="H62" s="9">
        <v>6.2286541615669648E-2</v>
      </c>
      <c r="I62" s="9">
        <v>8.7810888784713631E-2</v>
      </c>
      <c r="J62" s="9">
        <v>4.6088358683939651E-2</v>
      </c>
      <c r="K62" s="9"/>
    </row>
    <row r="63" spans="1:11" x14ac:dyDescent="0.2">
      <c r="A63" s="1" t="s">
        <v>83</v>
      </c>
      <c r="B63" s="6"/>
      <c r="C63" s="9">
        <v>0.48563652122667561</v>
      </c>
      <c r="D63" s="9">
        <v>6.0201719411925224E-2</v>
      </c>
      <c r="E63" s="9">
        <v>6.3180191922168449E-2</v>
      </c>
      <c r="F63" s="9">
        <v>5.6230570431245915E-2</v>
      </c>
      <c r="G63" s="9">
        <v>0.11605930798033906</v>
      </c>
      <c r="H63" s="9">
        <v>5.9347862577542328E-2</v>
      </c>
      <c r="I63" s="9">
        <v>0.10440993837093258</v>
      </c>
      <c r="J63" s="9">
        <v>5.4933888079170871E-2</v>
      </c>
      <c r="K63" s="9"/>
    </row>
    <row r="64" spans="1:11" x14ac:dyDescent="0.2">
      <c r="A64" s="1" t="s">
        <v>84</v>
      </c>
      <c r="B64" s="6"/>
      <c r="C64" s="9">
        <v>0.46415484767641535</v>
      </c>
      <c r="D64" s="9">
        <v>5.16351578471392E-2</v>
      </c>
      <c r="E64" s="9">
        <v>8.2873250094532433E-2</v>
      </c>
      <c r="F64" s="9">
        <v>5.6788726756966744E-2</v>
      </c>
      <c r="G64" s="9">
        <v>0.1088970220171471</v>
      </c>
      <c r="H64" s="9">
        <v>7.7057984934991969E-2</v>
      </c>
      <c r="I64" s="9">
        <v>9.2937065918807252E-2</v>
      </c>
      <c r="J64" s="9">
        <v>6.5655944753999995E-2</v>
      </c>
      <c r="K64" s="9"/>
    </row>
    <row r="65" spans="1:11" x14ac:dyDescent="0.2">
      <c r="A65" s="14" t="s">
        <v>85</v>
      </c>
      <c r="B65" s="7"/>
      <c r="C65" s="10">
        <v>0.47421966069828547</v>
      </c>
      <c r="D65" s="10">
        <v>5.4502981926532558E-2</v>
      </c>
      <c r="E65" s="10">
        <v>0.11198363259051779</v>
      </c>
      <c r="F65" s="10">
        <v>2.5963922717913122E-2</v>
      </c>
      <c r="G65" s="10">
        <v>0.123540569328873</v>
      </c>
      <c r="H65" s="10">
        <v>8.0727018960705887E-2</v>
      </c>
      <c r="I65" s="10">
        <v>8.9739951553462108E-2</v>
      </c>
      <c r="J65" s="10">
        <v>3.9322262223710047E-2</v>
      </c>
      <c r="K65" s="9"/>
    </row>
    <row r="66" spans="1:11" x14ac:dyDescent="0.2">
      <c r="A66" s="1" t="s">
        <v>109</v>
      </c>
      <c r="B66" s="6"/>
      <c r="C66" s="9">
        <v>0.51304410034524051</v>
      </c>
      <c r="D66" s="9">
        <v>7.1291781564129367E-2</v>
      </c>
      <c r="E66" s="9">
        <v>5.6789618987081042E-2</v>
      </c>
      <c r="F66" s="9">
        <v>5.0133313618206402E-2</v>
      </c>
      <c r="G66" s="9">
        <v>0.10517798946907521</v>
      </c>
      <c r="H66" s="9">
        <v>5.1427418916103744E-2</v>
      </c>
      <c r="I66" s="9">
        <v>8.3156224935154469E-2</v>
      </c>
      <c r="J66" s="9">
        <v>6.8979552165009367E-2</v>
      </c>
      <c r="K66" s="9"/>
    </row>
    <row r="67" spans="1:11" x14ac:dyDescent="0.2">
      <c r="A67" s="1"/>
      <c r="B67" s="6"/>
      <c r="C67" s="9"/>
      <c r="D67" s="9"/>
      <c r="E67" s="9"/>
      <c r="F67" s="9"/>
      <c r="G67" s="9"/>
      <c r="H67" s="9"/>
      <c r="I67" s="9"/>
      <c r="J67" s="9"/>
      <c r="K67" s="9"/>
    </row>
    <row r="68" spans="1:11" x14ac:dyDescent="0.2">
      <c r="A68" s="1" t="s">
        <v>86</v>
      </c>
      <c r="B68" s="6"/>
      <c r="C68" s="9">
        <v>0.55214929015410807</v>
      </c>
      <c r="D68" s="9">
        <v>6.1853186465877244E-2</v>
      </c>
      <c r="E68" s="9">
        <v>4.6512019620968445E-2</v>
      </c>
      <c r="F68" s="9">
        <v>5.7816857391672097E-2</v>
      </c>
      <c r="G68" s="9">
        <v>9.3636887110901082E-2</v>
      </c>
      <c r="H68" s="9">
        <v>5.1526962829705272E-2</v>
      </c>
      <c r="I68" s="9">
        <v>6.3632320821594368E-2</v>
      </c>
      <c r="J68" s="9">
        <v>7.2872475605173237E-2</v>
      </c>
      <c r="K68" s="9"/>
    </row>
    <row r="69" spans="1:11" x14ac:dyDescent="0.2">
      <c r="A69" s="14" t="s">
        <v>87</v>
      </c>
      <c r="B69" s="7"/>
      <c r="C69" s="10">
        <v>0.50075778685494809</v>
      </c>
      <c r="D69" s="10">
        <v>4.3811509118167204E-2</v>
      </c>
      <c r="E69" s="10">
        <v>9.7932950930649729E-2</v>
      </c>
      <c r="F69" s="10">
        <v>3.3839181384520606E-2</v>
      </c>
      <c r="G69" s="10">
        <v>0.11187270610463959</v>
      </c>
      <c r="H69" s="10">
        <v>6.9000772367999591E-2</v>
      </c>
      <c r="I69" s="10">
        <v>8.6544265624207153E-2</v>
      </c>
      <c r="J69" s="10">
        <v>5.6240827614868094E-2</v>
      </c>
      <c r="K69" s="9"/>
    </row>
    <row r="70" spans="1:11" x14ac:dyDescent="0.2">
      <c r="A70" s="1" t="s">
        <v>110</v>
      </c>
      <c r="B70" s="6"/>
      <c r="C70" s="9">
        <v>0.52497000931685955</v>
      </c>
      <c r="D70" s="9">
        <v>5.2311534949011598E-2</v>
      </c>
      <c r="E70" s="9">
        <v>7.3706863967962583E-2</v>
      </c>
      <c r="F70" s="9">
        <v>4.5135850840272426E-2</v>
      </c>
      <c r="G70" s="9">
        <v>0.10328121377795442</v>
      </c>
      <c r="H70" s="9">
        <v>6.0768287683996038E-2</v>
      </c>
      <c r="I70" s="9">
        <v>7.5749697086941473E-2</v>
      </c>
      <c r="J70" s="9">
        <v>6.4076542377001805E-2</v>
      </c>
      <c r="K70" s="9"/>
    </row>
    <row r="71" spans="1:11" x14ac:dyDescent="0.2">
      <c r="A71" s="1"/>
      <c r="B71" s="6"/>
      <c r="C71" s="9"/>
      <c r="D71" s="9"/>
      <c r="E71" s="9"/>
      <c r="F71" s="9"/>
      <c r="G71" s="9"/>
      <c r="H71" s="9"/>
      <c r="I71" s="9"/>
      <c r="J71" s="9"/>
      <c r="K71" s="9"/>
    </row>
    <row r="72" spans="1:11" ht="13.5" thickBot="1" x14ac:dyDescent="0.25">
      <c r="A72" s="15" t="s">
        <v>111</v>
      </c>
      <c r="B72" s="8"/>
      <c r="C72" s="11">
        <v>0.56141520075267359</v>
      </c>
      <c r="D72" s="11">
        <v>6.7852404144863113E-2</v>
      </c>
      <c r="E72" s="11">
        <v>5.4789132635412838E-2</v>
      </c>
      <c r="F72" s="11">
        <v>5.0627263508360443E-2</v>
      </c>
      <c r="G72" s="11">
        <v>9.9056095766717922E-2</v>
      </c>
      <c r="H72" s="11">
        <v>4.7773976784495707E-2</v>
      </c>
      <c r="I72" s="11">
        <v>6.3408409679030761E-2</v>
      </c>
      <c r="J72" s="11">
        <v>5.5077516728445568E-2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6383" man="1"/>
  </row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57"/>
  <dimension ref="A1:L73"/>
  <sheetViews>
    <sheetView workbookViewId="0">
      <selection activeCell="C32" sqref="C32"/>
    </sheetView>
  </sheetViews>
  <sheetFormatPr defaultRowHeight="12.75" x14ac:dyDescent="0.2"/>
  <cols>
    <col min="1" max="1" width="18.7109375" customWidth="1"/>
    <col min="3" max="3" width="11.5703125" customWidth="1"/>
    <col min="11" max="11" width="11.42578125" customWidth="1"/>
  </cols>
  <sheetData>
    <row r="1" spans="1:12" x14ac:dyDescent="0.2">
      <c r="A1" s="36" t="s">
        <v>247</v>
      </c>
    </row>
    <row r="2" spans="1:12" x14ac:dyDescent="0.2">
      <c r="A2" s="22" t="s">
        <v>348</v>
      </c>
    </row>
    <row r="3" spans="1:12" ht="22.5" x14ac:dyDescent="0.2">
      <c r="A3" s="155" t="s">
        <v>245</v>
      </c>
      <c r="B3" s="141" t="s">
        <v>349</v>
      </c>
      <c r="C3" s="141" t="s">
        <v>94</v>
      </c>
      <c r="D3" s="141" t="s">
        <v>95</v>
      </c>
      <c r="E3" s="141" t="s">
        <v>96</v>
      </c>
      <c r="F3" s="141" t="s">
        <v>97</v>
      </c>
      <c r="G3" s="141" t="s">
        <v>98</v>
      </c>
      <c r="H3" s="141" t="s">
        <v>99</v>
      </c>
      <c r="I3" s="141" t="s">
        <v>93</v>
      </c>
      <c r="J3" s="141" t="s">
        <v>115</v>
      </c>
      <c r="K3" s="141" t="s">
        <v>113</v>
      </c>
      <c r="L3" s="141" t="s">
        <v>451</v>
      </c>
    </row>
    <row r="4" spans="1:12" x14ac:dyDescent="0.2">
      <c r="A4" s="6" t="s">
        <v>102</v>
      </c>
      <c r="B4" s="6">
        <v>39396</v>
      </c>
      <c r="C4" s="6">
        <v>108580555.14</v>
      </c>
      <c r="D4" s="6">
        <v>14848079.85</v>
      </c>
      <c r="E4" s="6">
        <v>5796361.4900000002</v>
      </c>
      <c r="F4" s="6">
        <v>10071167.359999999</v>
      </c>
      <c r="G4" s="6">
        <v>18479924.460000001</v>
      </c>
      <c r="H4" s="6">
        <v>6119697.0099999998</v>
      </c>
      <c r="I4" s="6">
        <v>5903769.5700000003</v>
      </c>
      <c r="J4" s="6">
        <v>6868482.6399999997</v>
      </c>
      <c r="K4" s="6">
        <f t="shared" ref="K4:K9" si="0">SUM(C4:J4)</f>
        <v>176668037.51999995</v>
      </c>
      <c r="L4" s="6">
        <f>K4/B4</f>
        <v>4484.4156137678938</v>
      </c>
    </row>
    <row r="5" spans="1:12" x14ac:dyDescent="0.2">
      <c r="A5" s="6" t="s">
        <v>76</v>
      </c>
      <c r="B5" s="6">
        <v>23853</v>
      </c>
      <c r="C5" s="6">
        <v>63460876.130000003</v>
      </c>
      <c r="D5" s="6">
        <v>8749935.2400000002</v>
      </c>
      <c r="E5" s="6">
        <v>4770747.3</v>
      </c>
      <c r="F5" s="6">
        <v>6449447.3600000003</v>
      </c>
      <c r="G5" s="6">
        <v>10124208.949999999</v>
      </c>
      <c r="H5" s="6">
        <v>4613785.59</v>
      </c>
      <c r="I5" s="6">
        <v>5435418.3600000003</v>
      </c>
      <c r="J5" s="6">
        <v>6436062.0199999996</v>
      </c>
      <c r="K5" s="6">
        <f t="shared" si="0"/>
        <v>110040480.95</v>
      </c>
      <c r="L5" s="6">
        <f t="shared" ref="L5:L23" si="1">K5/B5</f>
        <v>4613.2763572716221</v>
      </c>
    </row>
    <row r="6" spans="1:12" x14ac:dyDescent="0.2">
      <c r="A6" s="6" t="s">
        <v>77</v>
      </c>
      <c r="B6" s="6">
        <v>15381</v>
      </c>
      <c r="C6" s="6">
        <v>43782630.530000001</v>
      </c>
      <c r="D6" s="6">
        <v>4106538.83</v>
      </c>
      <c r="E6" s="6">
        <v>4489755.54</v>
      </c>
      <c r="F6" s="6">
        <v>4076167.19</v>
      </c>
      <c r="G6" s="6">
        <v>7072616.4100000001</v>
      </c>
      <c r="H6" s="6">
        <v>3606546.85</v>
      </c>
      <c r="I6" s="6">
        <v>4484291.53</v>
      </c>
      <c r="J6" s="6">
        <v>2693899.84</v>
      </c>
      <c r="K6" s="6">
        <f t="shared" si="0"/>
        <v>74312446.719999999</v>
      </c>
      <c r="L6" s="6">
        <f t="shared" si="1"/>
        <v>4831.4444262401666</v>
      </c>
    </row>
    <row r="7" spans="1:12" x14ac:dyDescent="0.2">
      <c r="A7" s="6" t="s">
        <v>78</v>
      </c>
      <c r="B7" s="6">
        <v>15059</v>
      </c>
      <c r="C7" s="6">
        <v>42387254.789999999</v>
      </c>
      <c r="D7" s="6">
        <v>3642281.83</v>
      </c>
      <c r="E7" s="6">
        <v>5941829.4699999997</v>
      </c>
      <c r="F7" s="6">
        <v>3432451.56</v>
      </c>
      <c r="G7" s="6">
        <v>7321248.5599999996</v>
      </c>
      <c r="H7" s="6">
        <v>3864170.05</v>
      </c>
      <c r="I7" s="6">
        <v>4875194.96</v>
      </c>
      <c r="J7" s="6">
        <v>4143722.85</v>
      </c>
      <c r="K7" s="6">
        <f t="shared" si="0"/>
        <v>75608154.069999993</v>
      </c>
      <c r="L7" s="6">
        <f t="shared" si="1"/>
        <v>5020.7951437678457</v>
      </c>
    </row>
    <row r="8" spans="1:12" x14ac:dyDescent="0.2">
      <c r="A8" s="6" t="s">
        <v>79</v>
      </c>
      <c r="B8" s="6">
        <v>7546</v>
      </c>
      <c r="C8" s="6">
        <v>24922887.379999999</v>
      </c>
      <c r="D8" s="6">
        <v>1354267.42</v>
      </c>
      <c r="E8" s="6">
        <v>4212916.05</v>
      </c>
      <c r="F8" s="6">
        <v>1350754.45</v>
      </c>
      <c r="G8" s="6">
        <v>4709667.8099999996</v>
      </c>
      <c r="H8" s="6">
        <v>3657333.47</v>
      </c>
      <c r="I8" s="6">
        <v>2927473.68</v>
      </c>
      <c r="J8" s="6">
        <v>2037150.43</v>
      </c>
      <c r="K8" s="6">
        <f t="shared" si="0"/>
        <v>45172450.689999998</v>
      </c>
      <c r="L8" s="6">
        <f t="shared" si="1"/>
        <v>5986.2775894513643</v>
      </c>
    </row>
    <row r="9" spans="1:12" x14ac:dyDescent="0.2">
      <c r="A9" s="7" t="s">
        <v>80</v>
      </c>
      <c r="B9" s="6">
        <v>1787</v>
      </c>
      <c r="C9" s="6">
        <v>5130156.7699999996</v>
      </c>
      <c r="D9" s="6">
        <v>152672.70000000001</v>
      </c>
      <c r="E9" s="6">
        <v>761675.12</v>
      </c>
      <c r="F9" s="6">
        <v>130920.28</v>
      </c>
      <c r="G9" s="6">
        <v>1158675.93</v>
      </c>
      <c r="H9" s="6">
        <v>755507.04</v>
      </c>
      <c r="I9" s="6">
        <v>264785.91999999998</v>
      </c>
      <c r="J9" s="6">
        <v>98659.25</v>
      </c>
      <c r="K9" s="6">
        <f t="shared" si="0"/>
        <v>8453053.0099999998</v>
      </c>
      <c r="L9" s="6">
        <f t="shared" si="1"/>
        <v>4730.3038668158924</v>
      </c>
    </row>
    <row r="10" spans="1:12" ht="13.5" thickBot="1" x14ac:dyDescent="0.25">
      <c r="A10" s="8" t="s">
        <v>103</v>
      </c>
      <c r="B10" s="8">
        <f>SUM(B4:B9)</f>
        <v>103022</v>
      </c>
      <c r="C10" s="8">
        <f t="shared" ref="C10:K10" si="2">SUM(C4:C9)</f>
        <v>288264360.74000001</v>
      </c>
      <c r="D10" s="8">
        <f t="shared" si="2"/>
        <v>32853775.870000001</v>
      </c>
      <c r="E10" s="8">
        <f t="shared" si="2"/>
        <v>25973284.969999999</v>
      </c>
      <c r="F10" s="8">
        <f t="shared" si="2"/>
        <v>25510908.199999999</v>
      </c>
      <c r="G10" s="8">
        <f t="shared" si="2"/>
        <v>48866342.120000005</v>
      </c>
      <c r="H10" s="8">
        <f t="shared" si="2"/>
        <v>22617040.009999998</v>
      </c>
      <c r="I10" s="8">
        <f t="shared" si="2"/>
        <v>23890934.020000003</v>
      </c>
      <c r="J10" s="8">
        <f t="shared" si="2"/>
        <v>22277977.030000001</v>
      </c>
      <c r="K10" s="8">
        <f t="shared" si="2"/>
        <v>490254622.95999992</v>
      </c>
      <c r="L10" s="8">
        <f t="shared" si="1"/>
        <v>4758.7371916677985</v>
      </c>
    </row>
    <row r="11" spans="1:12" ht="13.5" thickTop="1" x14ac:dyDescent="0.2">
      <c r="A11" s="6"/>
      <c r="B11" s="6"/>
      <c r="C11" s="6"/>
      <c r="D11" s="6"/>
      <c r="E11" s="6"/>
      <c r="F11" s="6"/>
      <c r="G11" s="6"/>
      <c r="H11" s="6"/>
      <c r="I11" s="6"/>
      <c r="J11" s="6"/>
      <c r="K11" s="6"/>
      <c r="L11" s="6"/>
    </row>
    <row r="12" spans="1:12" x14ac:dyDescent="0.2">
      <c r="A12" s="6" t="s">
        <v>81</v>
      </c>
      <c r="B12" s="6">
        <v>18443</v>
      </c>
      <c r="C12" s="6">
        <v>62333790.090000004</v>
      </c>
      <c r="D12" s="6">
        <v>8714116.1199999992</v>
      </c>
      <c r="E12" s="6">
        <v>4836515</v>
      </c>
      <c r="F12" s="6">
        <v>5135145.83</v>
      </c>
      <c r="G12" s="6">
        <v>11700751.699999999</v>
      </c>
      <c r="H12" s="6">
        <v>3784880.05</v>
      </c>
      <c r="I12" s="6">
        <v>8221749.2599999998</v>
      </c>
      <c r="J12" s="6">
        <v>7697977.5700000003</v>
      </c>
      <c r="K12" s="6">
        <f>SUM(C12:J12)</f>
        <v>112424925.62</v>
      </c>
      <c r="L12" s="6">
        <f t="shared" si="1"/>
        <v>6095.8046749444238</v>
      </c>
    </row>
    <row r="13" spans="1:12" x14ac:dyDescent="0.2">
      <c r="A13" s="6" t="s">
        <v>82</v>
      </c>
      <c r="B13" s="6">
        <v>8278</v>
      </c>
      <c r="C13" s="6">
        <v>24205186.719999999</v>
      </c>
      <c r="D13" s="6">
        <v>4102520.37</v>
      </c>
      <c r="E13" s="6">
        <v>2292418.38</v>
      </c>
      <c r="F13" s="6">
        <v>3299189.94</v>
      </c>
      <c r="G13" s="6">
        <v>5186880.9800000004</v>
      </c>
      <c r="H13" s="6">
        <v>3258189.4</v>
      </c>
      <c r="I13" s="6">
        <v>4507343.8899999997</v>
      </c>
      <c r="J13" s="6">
        <v>2148476.31</v>
      </c>
      <c r="K13" s="6">
        <f>SUM(C13:J13)</f>
        <v>49000205.990000002</v>
      </c>
      <c r="L13" s="6">
        <f t="shared" si="1"/>
        <v>5919.3290637835225</v>
      </c>
    </row>
    <row r="14" spans="1:12" x14ac:dyDescent="0.2">
      <c r="A14" s="6" t="s">
        <v>83</v>
      </c>
      <c r="B14" s="6">
        <v>5306</v>
      </c>
      <c r="C14" s="6">
        <v>16986964.879999999</v>
      </c>
      <c r="D14" s="6">
        <v>1928638.68</v>
      </c>
      <c r="E14" s="6">
        <v>2088891.16</v>
      </c>
      <c r="F14" s="6">
        <v>1856070.09</v>
      </c>
      <c r="G14" s="6">
        <v>4071564.2</v>
      </c>
      <c r="H14" s="6">
        <v>2318957.0499999998</v>
      </c>
      <c r="I14" s="6">
        <v>2880278.02</v>
      </c>
      <c r="J14" s="6">
        <v>2293458.9900000002</v>
      </c>
      <c r="K14" s="6">
        <f>SUM(C14:J14)</f>
        <v>34424823.07</v>
      </c>
      <c r="L14" s="6">
        <f t="shared" si="1"/>
        <v>6487.9048379193364</v>
      </c>
    </row>
    <row r="15" spans="1:12" x14ac:dyDescent="0.2">
      <c r="A15" s="6" t="s">
        <v>84</v>
      </c>
      <c r="B15" s="6">
        <v>5862</v>
      </c>
      <c r="C15" s="6">
        <v>22782797.949999999</v>
      </c>
      <c r="D15" s="6">
        <v>2300863.67</v>
      </c>
      <c r="E15" s="6">
        <v>3727958.49</v>
      </c>
      <c r="F15" s="6">
        <v>2709152.12</v>
      </c>
      <c r="G15" s="6">
        <v>5540802.5800000001</v>
      </c>
      <c r="H15" s="6">
        <v>4086936.26</v>
      </c>
      <c r="I15" s="6">
        <v>4275809.4000000004</v>
      </c>
      <c r="J15" s="6">
        <v>3370865.41</v>
      </c>
      <c r="K15" s="6">
        <f>SUM(C15:J15)</f>
        <v>48795185.879999995</v>
      </c>
      <c r="L15" s="6">
        <f t="shared" si="1"/>
        <v>8323.9825793244618</v>
      </c>
    </row>
    <row r="16" spans="1:12" x14ac:dyDescent="0.2">
      <c r="A16" s="6" t="s">
        <v>85</v>
      </c>
      <c r="B16" s="6">
        <v>2330</v>
      </c>
      <c r="C16" s="6">
        <v>13459035.039999999</v>
      </c>
      <c r="D16" s="6">
        <v>1262754.69</v>
      </c>
      <c r="E16" s="6">
        <v>3232763.25</v>
      </c>
      <c r="F16" s="6">
        <v>912350.89</v>
      </c>
      <c r="G16" s="6">
        <v>3625030.41</v>
      </c>
      <c r="H16" s="6">
        <v>2191832.79</v>
      </c>
      <c r="I16" s="6">
        <v>2524340.1800000002</v>
      </c>
      <c r="J16" s="6">
        <v>1242944.32</v>
      </c>
      <c r="K16" s="6">
        <f>SUM(C16:J16)</f>
        <v>28451051.569999997</v>
      </c>
      <c r="L16" s="6">
        <f t="shared" si="1"/>
        <v>12210.751746781114</v>
      </c>
    </row>
    <row r="17" spans="1:12" ht="13.5" thickBot="1" x14ac:dyDescent="0.25">
      <c r="A17" s="8" t="s">
        <v>104</v>
      </c>
      <c r="B17" s="8">
        <f>SUM(B12:B16)</f>
        <v>40219</v>
      </c>
      <c r="C17" s="8">
        <f t="shared" ref="C17:K17" si="3">SUM(C12:C16)</f>
        <v>139767774.68000001</v>
      </c>
      <c r="D17" s="8">
        <f t="shared" si="3"/>
        <v>18308893.529999997</v>
      </c>
      <c r="E17" s="8">
        <f t="shared" si="3"/>
        <v>16178546.279999999</v>
      </c>
      <c r="F17" s="8">
        <f t="shared" si="3"/>
        <v>13911908.870000001</v>
      </c>
      <c r="G17" s="8">
        <f t="shared" si="3"/>
        <v>30125029.870000001</v>
      </c>
      <c r="H17" s="8">
        <f t="shared" si="3"/>
        <v>15640795.550000001</v>
      </c>
      <c r="I17" s="8">
        <f t="shared" si="3"/>
        <v>22409520.75</v>
      </c>
      <c r="J17" s="8">
        <f t="shared" si="3"/>
        <v>16753722.600000001</v>
      </c>
      <c r="K17" s="8">
        <f t="shared" si="3"/>
        <v>273096192.13</v>
      </c>
      <c r="L17" s="8">
        <f t="shared" si="1"/>
        <v>6790.2283032894902</v>
      </c>
    </row>
    <row r="18" spans="1:12" ht="13.5" thickTop="1" x14ac:dyDescent="0.2">
      <c r="A18" s="6"/>
      <c r="B18" s="6"/>
      <c r="C18" s="6"/>
      <c r="D18" s="6"/>
      <c r="E18" s="6"/>
      <c r="F18" s="6"/>
      <c r="G18" s="6"/>
      <c r="H18" s="6"/>
      <c r="I18" s="6"/>
      <c r="J18" s="6"/>
      <c r="K18" s="6"/>
      <c r="L18" s="6"/>
    </row>
    <row r="19" spans="1:12" x14ac:dyDescent="0.2">
      <c r="A19" s="6" t="s">
        <v>86</v>
      </c>
      <c r="B19" s="6">
        <v>6151</v>
      </c>
      <c r="C19" s="6">
        <v>16926234.960000001</v>
      </c>
      <c r="D19" s="6">
        <v>1687755.08</v>
      </c>
      <c r="E19" s="6">
        <v>1481366.67</v>
      </c>
      <c r="F19" s="6">
        <v>1918934.5</v>
      </c>
      <c r="G19" s="6">
        <v>2983414.49</v>
      </c>
      <c r="H19" s="6">
        <v>1654727.46</v>
      </c>
      <c r="I19" s="6">
        <v>1818714.53</v>
      </c>
      <c r="J19" s="6">
        <v>1916180.84</v>
      </c>
      <c r="K19" s="6">
        <f>SUM(C19:J19)</f>
        <v>30387328.530000005</v>
      </c>
      <c r="L19" s="6">
        <f t="shared" si="1"/>
        <v>4940.2257405299961</v>
      </c>
    </row>
    <row r="20" spans="1:12" x14ac:dyDescent="0.2">
      <c r="A20" s="6" t="s">
        <v>87</v>
      </c>
      <c r="B20" s="6">
        <v>1679</v>
      </c>
      <c r="C20" s="6">
        <v>6758062.46</v>
      </c>
      <c r="D20" s="6">
        <v>496554.36</v>
      </c>
      <c r="E20" s="6">
        <v>1649599.93</v>
      </c>
      <c r="F20" s="6">
        <v>251407.78</v>
      </c>
      <c r="G20" s="6">
        <v>1463947.39</v>
      </c>
      <c r="H20" s="6">
        <v>989045.21</v>
      </c>
      <c r="I20" s="6">
        <v>1099092.26</v>
      </c>
      <c r="J20" s="6">
        <v>777991.41</v>
      </c>
      <c r="K20" s="6">
        <f>SUM(C20:J20)</f>
        <v>13485700.799999999</v>
      </c>
      <c r="L20" s="6">
        <f t="shared" si="1"/>
        <v>8031.9837998808807</v>
      </c>
    </row>
    <row r="21" spans="1:12" ht="13.5" thickBot="1" x14ac:dyDescent="0.25">
      <c r="A21" s="8" t="s">
        <v>105</v>
      </c>
      <c r="B21" s="8">
        <f>SUM(B19:B20)</f>
        <v>7830</v>
      </c>
      <c r="C21" s="8">
        <f t="shared" ref="C21:K21" si="4">SUM(C19:C20)</f>
        <v>23684297.420000002</v>
      </c>
      <c r="D21" s="8">
        <f t="shared" si="4"/>
        <v>2184309.44</v>
      </c>
      <c r="E21" s="8">
        <f t="shared" si="4"/>
        <v>3130966.5999999996</v>
      </c>
      <c r="F21" s="8">
        <f t="shared" si="4"/>
        <v>2170342.2799999998</v>
      </c>
      <c r="G21" s="8">
        <f t="shared" si="4"/>
        <v>4447361.88</v>
      </c>
      <c r="H21" s="8">
        <f t="shared" si="4"/>
        <v>2643772.67</v>
      </c>
      <c r="I21" s="8">
        <f t="shared" si="4"/>
        <v>2917806.79</v>
      </c>
      <c r="J21" s="8">
        <f t="shared" si="4"/>
        <v>2694172.25</v>
      </c>
      <c r="K21" s="8">
        <f t="shared" si="4"/>
        <v>43873029.330000006</v>
      </c>
      <c r="L21" s="8">
        <f t="shared" si="1"/>
        <v>5603.1965938697322</v>
      </c>
    </row>
    <row r="22" spans="1:12" ht="13.5" thickTop="1" x14ac:dyDescent="0.2">
      <c r="A22" s="6"/>
      <c r="B22" s="6"/>
      <c r="C22" s="6"/>
      <c r="D22" s="6"/>
      <c r="E22" s="6"/>
      <c r="F22" s="6"/>
      <c r="G22" s="6"/>
      <c r="H22" s="6"/>
      <c r="I22" s="6"/>
      <c r="J22" s="6"/>
      <c r="K22" s="6"/>
      <c r="L22" s="6"/>
    </row>
    <row r="23" spans="1:12" ht="13.5" thickBot="1" x14ac:dyDescent="0.25">
      <c r="A23" s="126" t="s">
        <v>209</v>
      </c>
      <c r="B23" s="126">
        <f>B10+B17+B21</f>
        <v>151071</v>
      </c>
      <c r="C23" s="126">
        <f>(C10+C17+C21)</f>
        <v>451716432.84000003</v>
      </c>
      <c r="D23" s="126">
        <f t="shared" ref="D23:K23" si="5">(D10+D17+D21)</f>
        <v>53346978.839999996</v>
      </c>
      <c r="E23" s="126">
        <f t="shared" si="5"/>
        <v>45282797.850000001</v>
      </c>
      <c r="F23" s="126">
        <f t="shared" si="5"/>
        <v>41593159.350000001</v>
      </c>
      <c r="G23" s="126">
        <f t="shared" si="5"/>
        <v>83438733.870000005</v>
      </c>
      <c r="H23" s="126">
        <f t="shared" si="5"/>
        <v>40901608.230000004</v>
      </c>
      <c r="I23" s="126">
        <f t="shared" si="5"/>
        <v>49218261.560000002</v>
      </c>
      <c r="J23" s="126">
        <f t="shared" si="5"/>
        <v>41725871.880000003</v>
      </c>
      <c r="K23" s="126">
        <f t="shared" si="5"/>
        <v>807223844.41999996</v>
      </c>
      <c r="L23" s="126">
        <f t="shared" si="1"/>
        <v>5343.3408425177558</v>
      </c>
    </row>
    <row r="24" spans="1:12" x14ac:dyDescent="0.2">
      <c r="A24" s="6"/>
      <c r="B24" s="6"/>
      <c r="C24" s="6"/>
      <c r="D24" s="6"/>
      <c r="E24" s="6"/>
      <c r="F24" s="6"/>
      <c r="G24" s="6"/>
      <c r="H24" s="6"/>
      <c r="I24" s="6"/>
      <c r="J24" s="6"/>
      <c r="K24" s="6"/>
    </row>
    <row r="25" spans="1:12" x14ac:dyDescent="0.2">
      <c r="A25" s="36" t="s">
        <v>247</v>
      </c>
      <c r="B25" s="6"/>
      <c r="C25" s="6"/>
      <c r="D25" s="6"/>
      <c r="E25" s="6"/>
      <c r="F25" s="6"/>
      <c r="G25" s="6"/>
      <c r="H25" s="6"/>
      <c r="I25" s="6"/>
      <c r="J25" s="6"/>
      <c r="K25" s="6"/>
    </row>
    <row r="26" spans="1:12" x14ac:dyDescent="0.2">
      <c r="A26" s="36" t="s">
        <v>346</v>
      </c>
      <c r="B26" s="6"/>
      <c r="C26" s="6"/>
      <c r="D26" s="6"/>
      <c r="E26" s="6"/>
      <c r="F26" s="6"/>
      <c r="G26" s="6"/>
      <c r="H26" s="6"/>
      <c r="I26" s="6"/>
      <c r="J26" s="6"/>
      <c r="K26" s="6"/>
    </row>
    <row r="27" spans="1:12" ht="33.75" x14ac:dyDescent="0.2">
      <c r="A27" s="155" t="s">
        <v>245</v>
      </c>
      <c r="B27" s="141" t="s">
        <v>349</v>
      </c>
      <c r="C27" s="141" t="s">
        <v>350</v>
      </c>
      <c r="D27" s="141" t="s">
        <v>351</v>
      </c>
      <c r="E27" s="141" t="s">
        <v>352</v>
      </c>
      <c r="F27" s="141" t="s">
        <v>353</v>
      </c>
      <c r="G27" s="141" t="s">
        <v>354</v>
      </c>
      <c r="H27" s="141" t="s">
        <v>355</v>
      </c>
      <c r="I27" s="141" t="s">
        <v>356</v>
      </c>
      <c r="J27" s="141" t="s">
        <v>357</v>
      </c>
      <c r="K27" s="141" t="s">
        <v>358</v>
      </c>
    </row>
    <row r="28" spans="1:12" x14ac:dyDescent="0.2">
      <c r="A28" s="6" t="s">
        <v>102</v>
      </c>
      <c r="B28" s="6">
        <f t="shared" ref="B28:B33" si="6">B4</f>
        <v>39396</v>
      </c>
      <c r="C28" s="6">
        <f>C4/B28</f>
        <v>2756.1314636003654</v>
      </c>
      <c r="D28" s="6">
        <f t="shared" ref="D28:D34" si="7">D4/B28</f>
        <v>376.89308178495276</v>
      </c>
      <c r="E28" s="6">
        <f t="shared" ref="E28:E34" si="8">E4/B28</f>
        <v>147.13071098588691</v>
      </c>
      <c r="F28" s="6">
        <f t="shared" ref="F28:F34" si="9">F4/B28</f>
        <v>255.63933800385826</v>
      </c>
      <c r="G28" s="6">
        <f t="shared" ref="G28:G34" si="10">G4/B28</f>
        <v>469.08123819677127</v>
      </c>
      <c r="H28" s="6">
        <f t="shared" ref="H28:H34" si="11">H4/B28</f>
        <v>155.33802949538023</v>
      </c>
      <c r="I28" s="6">
        <f t="shared" ref="I28:I34" si="12">I4/B28</f>
        <v>149.8570811757539</v>
      </c>
      <c r="J28" s="6">
        <f t="shared" ref="J28:J34" si="13">J4/B28</f>
        <v>174.34467052492639</v>
      </c>
      <c r="K28" s="6">
        <f t="shared" ref="K28:K34" si="14">SUM(C28:J28)</f>
        <v>4484.4156137678938</v>
      </c>
    </row>
    <row r="29" spans="1:12" x14ac:dyDescent="0.2">
      <c r="A29" s="6" t="s">
        <v>76</v>
      </c>
      <c r="B29" s="6">
        <f t="shared" si="6"/>
        <v>23853</v>
      </c>
      <c r="C29" s="6">
        <f t="shared" ref="C29:C45" si="15">C5/B29</f>
        <v>2660.498726784891</v>
      </c>
      <c r="D29" s="6">
        <f t="shared" si="7"/>
        <v>366.82745315054711</v>
      </c>
      <c r="E29" s="6">
        <f t="shared" si="8"/>
        <v>200.00617532385863</v>
      </c>
      <c r="F29" s="6">
        <f t="shared" si="9"/>
        <v>270.38306963484678</v>
      </c>
      <c r="G29" s="6">
        <f t="shared" si="10"/>
        <v>424.44174527313123</v>
      </c>
      <c r="H29" s="6">
        <f t="shared" si="11"/>
        <v>193.425799270532</v>
      </c>
      <c r="I29" s="6">
        <f t="shared" si="12"/>
        <v>227.87147780153441</v>
      </c>
      <c r="J29" s="6">
        <f t="shared" si="13"/>
        <v>269.82191003228104</v>
      </c>
      <c r="K29" s="6">
        <f t="shared" si="14"/>
        <v>4613.2763572716231</v>
      </c>
    </row>
    <row r="30" spans="1:12" x14ac:dyDescent="0.2">
      <c r="A30" s="6" t="s">
        <v>77</v>
      </c>
      <c r="B30" s="6">
        <f t="shared" si="6"/>
        <v>15381</v>
      </c>
      <c r="C30" s="6">
        <f t="shared" si="15"/>
        <v>2846.5399213315131</v>
      </c>
      <c r="D30" s="6">
        <f t="shared" si="7"/>
        <v>266.98776607502765</v>
      </c>
      <c r="E30" s="6">
        <f t="shared" si="8"/>
        <v>291.90270723620051</v>
      </c>
      <c r="F30" s="6">
        <f t="shared" si="9"/>
        <v>265.01314543917823</v>
      </c>
      <c r="G30" s="6">
        <f t="shared" si="10"/>
        <v>459.82812625967102</v>
      </c>
      <c r="H30" s="6">
        <f t="shared" si="11"/>
        <v>234.48064820232756</v>
      </c>
      <c r="I30" s="6">
        <f t="shared" si="12"/>
        <v>291.54746310382944</v>
      </c>
      <c r="J30" s="6">
        <f t="shared" si="13"/>
        <v>175.1446485924192</v>
      </c>
      <c r="K30" s="6">
        <f t="shared" si="14"/>
        <v>4831.4444262401666</v>
      </c>
    </row>
    <row r="31" spans="1:12" x14ac:dyDescent="0.2">
      <c r="A31" s="6" t="s">
        <v>78</v>
      </c>
      <c r="B31" s="6">
        <f t="shared" si="6"/>
        <v>15059</v>
      </c>
      <c r="C31" s="6">
        <f t="shared" si="15"/>
        <v>2814.7456530978152</v>
      </c>
      <c r="D31" s="6">
        <f t="shared" si="7"/>
        <v>241.86744338933528</v>
      </c>
      <c r="E31" s="6">
        <f t="shared" si="8"/>
        <v>394.56998937512452</v>
      </c>
      <c r="F31" s="6">
        <f t="shared" si="9"/>
        <v>227.93356530978153</v>
      </c>
      <c r="G31" s="6">
        <f t="shared" si="10"/>
        <v>486.17096487150536</v>
      </c>
      <c r="H31" s="6">
        <f t="shared" si="11"/>
        <v>256.60203532771101</v>
      </c>
      <c r="I31" s="6">
        <f t="shared" si="12"/>
        <v>323.73962148881066</v>
      </c>
      <c r="J31" s="6">
        <f t="shared" si="13"/>
        <v>275.16587090776278</v>
      </c>
      <c r="K31" s="6">
        <f t="shared" si="14"/>
        <v>5020.7951437678457</v>
      </c>
    </row>
    <row r="32" spans="1:12" x14ac:dyDescent="0.2">
      <c r="A32" s="6" t="s">
        <v>79</v>
      </c>
      <c r="B32" s="6">
        <f t="shared" si="6"/>
        <v>7546</v>
      </c>
      <c r="C32" s="6">
        <f t="shared" si="15"/>
        <v>3302.7945109992047</v>
      </c>
      <c r="D32" s="6">
        <f t="shared" si="7"/>
        <v>179.46825072886296</v>
      </c>
      <c r="E32" s="6">
        <f t="shared" si="8"/>
        <v>558.29791280148424</v>
      </c>
      <c r="F32" s="6">
        <f t="shared" si="9"/>
        <v>179.00271004505697</v>
      </c>
      <c r="G32" s="6">
        <f t="shared" si="10"/>
        <v>624.12772462231635</v>
      </c>
      <c r="H32" s="6">
        <f t="shared" si="11"/>
        <v>484.67180890538037</v>
      </c>
      <c r="I32" s="6">
        <f t="shared" si="12"/>
        <v>387.95039491121128</v>
      </c>
      <c r="J32" s="6">
        <f t="shared" si="13"/>
        <v>269.96427643784784</v>
      </c>
      <c r="K32" s="6">
        <f t="shared" si="14"/>
        <v>5986.2775894513643</v>
      </c>
    </row>
    <row r="33" spans="1:11" x14ac:dyDescent="0.2">
      <c r="A33" s="6" t="s">
        <v>80</v>
      </c>
      <c r="B33" s="6">
        <f t="shared" si="6"/>
        <v>1787</v>
      </c>
      <c r="C33" s="6">
        <f t="shared" si="15"/>
        <v>2870.8208002238384</v>
      </c>
      <c r="D33" s="6">
        <f t="shared" si="7"/>
        <v>85.435198656966989</v>
      </c>
      <c r="E33" s="6">
        <f t="shared" si="8"/>
        <v>426.23118074986007</v>
      </c>
      <c r="F33" s="6">
        <f t="shared" si="9"/>
        <v>73.262607722439839</v>
      </c>
      <c r="G33" s="6">
        <f t="shared" si="10"/>
        <v>648.39167879127024</v>
      </c>
      <c r="H33" s="6">
        <f t="shared" si="11"/>
        <v>422.77954113038612</v>
      </c>
      <c r="I33" s="6">
        <f t="shared" si="12"/>
        <v>148.17343033016226</v>
      </c>
      <c r="J33" s="6">
        <f t="shared" si="13"/>
        <v>55.209429210968104</v>
      </c>
      <c r="K33" s="6">
        <f t="shared" si="14"/>
        <v>4730.3038668158906</v>
      </c>
    </row>
    <row r="34" spans="1:11" ht="13.5" thickBot="1" x14ac:dyDescent="0.25">
      <c r="A34" s="8" t="s">
        <v>219</v>
      </c>
      <c r="B34" s="8">
        <f>SUM(B28:B33)</f>
        <v>103022</v>
      </c>
      <c r="C34" s="8">
        <f t="shared" si="15"/>
        <v>2798.0854646580342</v>
      </c>
      <c r="D34" s="8">
        <f t="shared" si="7"/>
        <v>318.90058307934231</v>
      </c>
      <c r="E34" s="8">
        <f t="shared" si="8"/>
        <v>252.11396565782064</v>
      </c>
      <c r="F34" s="8">
        <f t="shared" si="9"/>
        <v>247.6258294344897</v>
      </c>
      <c r="G34" s="8">
        <f t="shared" si="10"/>
        <v>474.32919298790551</v>
      </c>
      <c r="H34" s="8">
        <f t="shared" si="11"/>
        <v>219.53602152938205</v>
      </c>
      <c r="I34" s="8">
        <f t="shared" si="12"/>
        <v>231.90128341519289</v>
      </c>
      <c r="J34" s="8">
        <f t="shared" si="13"/>
        <v>216.24485090563181</v>
      </c>
      <c r="K34" s="8">
        <f t="shared" si="14"/>
        <v>4758.7371916677994</v>
      </c>
    </row>
    <row r="35" spans="1:11" ht="13.5" thickTop="1" x14ac:dyDescent="0.2">
      <c r="A35" s="6"/>
      <c r="B35" s="6"/>
      <c r="C35" s="6"/>
      <c r="D35" s="6"/>
      <c r="E35" s="6"/>
      <c r="F35" s="6"/>
      <c r="G35" s="6"/>
      <c r="H35" s="6"/>
      <c r="I35" s="6"/>
      <c r="J35" s="6"/>
      <c r="K35" s="6"/>
    </row>
    <row r="36" spans="1:11" x14ac:dyDescent="0.2">
      <c r="A36" s="6" t="s">
        <v>81</v>
      </c>
      <c r="B36" s="6">
        <f>B12</f>
        <v>18443</v>
      </c>
      <c r="C36" s="6">
        <f t="shared" si="15"/>
        <v>3379.8075199262594</v>
      </c>
      <c r="D36" s="6">
        <f t="shared" ref="D36:D41" si="16">D12/B36</f>
        <v>472.48908095212272</v>
      </c>
      <c r="E36" s="6">
        <f t="shared" ref="E36:E41" si="17">E12/B36</f>
        <v>262.24122973485873</v>
      </c>
      <c r="F36" s="6">
        <f t="shared" ref="F36:F41" si="18">F12/B36</f>
        <v>278.43332592311447</v>
      </c>
      <c r="G36" s="6">
        <f t="shared" ref="G36:G41" si="19">G12/B36</f>
        <v>634.42778832077204</v>
      </c>
      <c r="H36" s="6">
        <f t="shared" ref="H36:H41" si="20">H12/B36</f>
        <v>205.22041153825299</v>
      </c>
      <c r="I36" s="6">
        <f t="shared" ref="I36:I41" si="21">I12/B36</f>
        <v>445.79240145312582</v>
      </c>
      <c r="J36" s="6">
        <f t="shared" ref="J36:J41" si="22">J12/B36</f>
        <v>417.39291709591714</v>
      </c>
      <c r="K36" s="6">
        <f t="shared" ref="K36:K41" si="23">SUM(C36:J36)</f>
        <v>6095.8046749444229</v>
      </c>
    </row>
    <row r="37" spans="1:11" x14ac:dyDescent="0.2">
      <c r="A37" s="6" t="s">
        <v>82</v>
      </c>
      <c r="B37" s="6">
        <f>B13</f>
        <v>8278</v>
      </c>
      <c r="C37" s="6">
        <f t="shared" si="15"/>
        <v>2924.0380188451313</v>
      </c>
      <c r="D37" s="6">
        <f t="shared" si="16"/>
        <v>495.59318313602319</v>
      </c>
      <c r="E37" s="6">
        <f t="shared" si="17"/>
        <v>276.92901425465089</v>
      </c>
      <c r="F37" s="6">
        <f t="shared" si="18"/>
        <v>398.5491592172022</v>
      </c>
      <c r="G37" s="6">
        <f t="shared" si="19"/>
        <v>626.5862503020054</v>
      </c>
      <c r="H37" s="6">
        <f t="shared" si="20"/>
        <v>393.59620681323992</v>
      </c>
      <c r="I37" s="6">
        <f t="shared" si="21"/>
        <v>544.49672505436092</v>
      </c>
      <c r="J37" s="6">
        <f t="shared" si="22"/>
        <v>259.54050616090842</v>
      </c>
      <c r="K37" s="6">
        <f t="shared" si="23"/>
        <v>5919.3290637835225</v>
      </c>
    </row>
    <row r="38" spans="1:11" x14ac:dyDescent="0.2">
      <c r="A38" s="6" t="s">
        <v>83</v>
      </c>
      <c r="B38" s="6">
        <f>B14</f>
        <v>5306</v>
      </c>
      <c r="C38" s="6">
        <f t="shared" si="15"/>
        <v>3201.4634150018846</v>
      </c>
      <c r="D38" s="6">
        <f t="shared" si="16"/>
        <v>363.48260082924992</v>
      </c>
      <c r="E38" s="6">
        <f t="shared" si="17"/>
        <v>393.68472672446285</v>
      </c>
      <c r="F38" s="6">
        <f t="shared" si="18"/>
        <v>349.80589709762535</v>
      </c>
      <c r="G38" s="6">
        <f t="shared" si="19"/>
        <v>767.35096117602723</v>
      </c>
      <c r="H38" s="6">
        <f t="shared" si="20"/>
        <v>437.04429890689784</v>
      </c>
      <c r="I38" s="6">
        <f t="shared" si="21"/>
        <v>542.83415378816437</v>
      </c>
      <c r="J38" s="6">
        <f t="shared" si="22"/>
        <v>432.23878439502454</v>
      </c>
      <c r="K38" s="6">
        <f t="shared" si="23"/>
        <v>6487.9048379193364</v>
      </c>
    </row>
    <row r="39" spans="1:11" x14ac:dyDescent="0.2">
      <c r="A39" s="6" t="s">
        <v>84</v>
      </c>
      <c r="B39" s="6">
        <f>B15</f>
        <v>5862</v>
      </c>
      <c r="C39" s="6">
        <f t="shared" si="15"/>
        <v>3886.5230211531898</v>
      </c>
      <c r="D39" s="6">
        <f t="shared" si="16"/>
        <v>392.50489082224493</v>
      </c>
      <c r="E39" s="6">
        <f t="shared" si="17"/>
        <v>635.95334186284549</v>
      </c>
      <c r="F39" s="6">
        <f t="shared" si="18"/>
        <v>462.15491641078131</v>
      </c>
      <c r="G39" s="6">
        <f t="shared" si="19"/>
        <v>945.20685431593313</v>
      </c>
      <c r="H39" s="6">
        <f t="shared" si="20"/>
        <v>697.1914466052541</v>
      </c>
      <c r="I39" s="6">
        <f t="shared" si="21"/>
        <v>729.41136131013309</v>
      </c>
      <c r="J39" s="6">
        <f t="shared" si="22"/>
        <v>575.03674684408054</v>
      </c>
      <c r="K39" s="6">
        <f t="shared" si="23"/>
        <v>8323.9825793244618</v>
      </c>
    </row>
    <row r="40" spans="1:11" x14ac:dyDescent="0.2">
      <c r="A40" s="6" t="s">
        <v>85</v>
      </c>
      <c r="B40" s="6">
        <f>B16</f>
        <v>2330</v>
      </c>
      <c r="C40" s="6">
        <f t="shared" si="15"/>
        <v>5776.4098884120167</v>
      </c>
      <c r="D40" s="6">
        <f t="shared" si="16"/>
        <v>541.95480257510724</v>
      </c>
      <c r="E40" s="6">
        <f t="shared" si="17"/>
        <v>1387.4520386266095</v>
      </c>
      <c r="F40" s="6">
        <f t="shared" si="18"/>
        <v>391.56690557939913</v>
      </c>
      <c r="G40" s="6">
        <f t="shared" si="19"/>
        <v>1555.807042918455</v>
      </c>
      <c r="H40" s="6">
        <f t="shared" si="20"/>
        <v>940.70076824034334</v>
      </c>
      <c r="I40" s="6">
        <f t="shared" si="21"/>
        <v>1083.4078025751073</v>
      </c>
      <c r="J40" s="6">
        <f t="shared" si="22"/>
        <v>533.45249785407725</v>
      </c>
      <c r="K40" s="6">
        <f t="shared" si="23"/>
        <v>12210.751746781116</v>
      </c>
    </row>
    <row r="41" spans="1:11" ht="13.5" thickBot="1" x14ac:dyDescent="0.25">
      <c r="A41" s="8" t="s">
        <v>220</v>
      </c>
      <c r="B41" s="8">
        <f>SUM(B36:B40)</f>
        <v>40219</v>
      </c>
      <c r="C41" s="8">
        <f t="shared" si="15"/>
        <v>3475.1678231681544</v>
      </c>
      <c r="D41" s="8">
        <f t="shared" si="16"/>
        <v>455.22995425047856</v>
      </c>
      <c r="E41" s="8">
        <f t="shared" si="17"/>
        <v>402.2612765111017</v>
      </c>
      <c r="F41" s="8">
        <f t="shared" si="18"/>
        <v>345.90389790894852</v>
      </c>
      <c r="G41" s="8">
        <f t="shared" si="19"/>
        <v>749.02483577413659</v>
      </c>
      <c r="H41" s="8">
        <f t="shared" si="20"/>
        <v>388.8907121012457</v>
      </c>
      <c r="I41" s="8">
        <f t="shared" si="21"/>
        <v>557.18741763842957</v>
      </c>
      <c r="J41" s="8">
        <f t="shared" si="22"/>
        <v>416.56238593699499</v>
      </c>
      <c r="K41" s="8">
        <f t="shared" si="23"/>
        <v>6790.2283032894902</v>
      </c>
    </row>
    <row r="42" spans="1:11" ht="13.5" thickTop="1" x14ac:dyDescent="0.2">
      <c r="A42" s="6"/>
      <c r="B42" s="6"/>
      <c r="C42" s="6"/>
      <c r="D42" s="6"/>
      <c r="E42" s="6"/>
      <c r="F42" s="6"/>
      <c r="G42" s="6"/>
      <c r="H42" s="6"/>
      <c r="I42" s="6"/>
      <c r="J42" s="6"/>
      <c r="K42" s="6"/>
    </row>
    <row r="43" spans="1:11" x14ac:dyDescent="0.2">
      <c r="A43" s="6" t="s">
        <v>86</v>
      </c>
      <c r="B43" s="6">
        <f>B19</f>
        <v>6151</v>
      </c>
      <c r="C43" s="6">
        <f t="shared" si="15"/>
        <v>2751.7858819704115</v>
      </c>
      <c r="D43" s="6">
        <f>D19/B43</f>
        <v>274.38710453584787</v>
      </c>
      <c r="E43" s="6">
        <f>E19/B43</f>
        <v>240.83346935457649</v>
      </c>
      <c r="F43" s="6">
        <f>F19/B43</f>
        <v>311.97114290359292</v>
      </c>
      <c r="G43" s="6">
        <f>G19/B43</f>
        <v>485.02918062103726</v>
      </c>
      <c r="H43" s="6">
        <f>H19/B43</f>
        <v>269.01763290521865</v>
      </c>
      <c r="I43" s="6">
        <f>I19/B43</f>
        <v>295.67786213623799</v>
      </c>
      <c r="J43" s="6">
        <f>J19/B43</f>
        <v>311.52346610307268</v>
      </c>
      <c r="K43" s="6">
        <f>SUM(C43:J43)</f>
        <v>4940.2257405299952</v>
      </c>
    </row>
    <row r="44" spans="1:11" x14ac:dyDescent="0.2">
      <c r="A44" s="7" t="s">
        <v>87</v>
      </c>
      <c r="B44" s="6">
        <f>B20</f>
        <v>1679</v>
      </c>
      <c r="C44" s="6">
        <f t="shared" si="15"/>
        <v>4025.0520905300773</v>
      </c>
      <c r="D44" s="6">
        <f>D20/B44</f>
        <v>295.7441095890411</v>
      </c>
      <c r="E44" s="6">
        <f>E20/B44</f>
        <v>982.48953543776054</v>
      </c>
      <c r="F44" s="6">
        <f>F20/B44</f>
        <v>149.73661703394879</v>
      </c>
      <c r="G44" s="6">
        <f>G20/B44</f>
        <v>871.9162537224538</v>
      </c>
      <c r="H44" s="6">
        <f>H20/B44</f>
        <v>589.06802263251939</v>
      </c>
      <c r="I44" s="6">
        <f>I20/B44</f>
        <v>654.61123287671228</v>
      </c>
      <c r="J44" s="6">
        <f>J20/B44</f>
        <v>463.3659380583681</v>
      </c>
      <c r="K44" s="6">
        <f>SUM(C44:J44)</f>
        <v>8031.9837998808816</v>
      </c>
    </row>
    <row r="45" spans="1:11" ht="13.5" thickBot="1" x14ac:dyDescent="0.25">
      <c r="A45" s="8" t="s">
        <v>221</v>
      </c>
      <c r="B45" s="8">
        <f>SUM(B43:B44)</f>
        <v>7830</v>
      </c>
      <c r="C45" s="8">
        <f t="shared" si="15"/>
        <v>3024.8144853128993</v>
      </c>
      <c r="D45" s="8">
        <f>D21/B45</f>
        <v>278.96672286079183</v>
      </c>
      <c r="E45" s="8">
        <f>E21/B45</f>
        <v>399.86802043422728</v>
      </c>
      <c r="F45" s="8">
        <f>F21/B45</f>
        <v>277.18292209450829</v>
      </c>
      <c r="G45" s="8">
        <f>G21/B45</f>
        <v>567.99002298850576</v>
      </c>
      <c r="H45" s="8">
        <f>H21/B45</f>
        <v>337.64657343550448</v>
      </c>
      <c r="I45" s="8">
        <f>I21/B45</f>
        <v>372.6445453384419</v>
      </c>
      <c r="J45" s="8">
        <f>J21/B45</f>
        <v>344.0833014048531</v>
      </c>
      <c r="K45" s="8">
        <f>SUM(C45:J45)</f>
        <v>5603.1965938697322</v>
      </c>
    </row>
    <row r="46" spans="1:11" ht="13.5" thickTop="1" x14ac:dyDescent="0.2">
      <c r="A46" s="6"/>
      <c r="B46" s="6"/>
      <c r="C46" s="6"/>
      <c r="D46" s="6"/>
      <c r="E46" s="6"/>
      <c r="F46" s="6"/>
      <c r="G46" s="6"/>
      <c r="H46" s="6"/>
      <c r="I46" s="6"/>
      <c r="J46" s="6"/>
      <c r="K46" s="6"/>
    </row>
    <row r="47" spans="1:11" ht="13.5" thickBot="1" x14ac:dyDescent="0.25">
      <c r="A47" s="126" t="s">
        <v>222</v>
      </c>
      <c r="B47" s="8">
        <f>B34+B41+B45</f>
        <v>151071</v>
      </c>
      <c r="C47" s="8">
        <f>C23/$B$47</f>
        <v>2990.0936171733824</v>
      </c>
      <c r="D47" s="8">
        <f t="shared" ref="D47:J47" si="24">D23/$B$47</f>
        <v>353.12521158925273</v>
      </c>
      <c r="E47" s="8">
        <f t="shared" si="24"/>
        <v>299.74513870961334</v>
      </c>
      <c r="F47" s="8">
        <f t="shared" si="24"/>
        <v>275.32193041682388</v>
      </c>
      <c r="G47" s="8">
        <f t="shared" si="24"/>
        <v>552.31469885020954</v>
      </c>
      <c r="H47" s="8">
        <f t="shared" si="24"/>
        <v>270.74427408304706</v>
      </c>
      <c r="I47" s="8">
        <f t="shared" si="24"/>
        <v>325.79556341058179</v>
      </c>
      <c r="J47" s="8">
        <f t="shared" si="24"/>
        <v>276.20040828484622</v>
      </c>
      <c r="K47" s="8">
        <f>SUM(C47:J47)</f>
        <v>5343.3408425177577</v>
      </c>
    </row>
    <row r="48" spans="1:11" x14ac:dyDescent="0.2">
      <c r="A48" s="6"/>
      <c r="B48" s="6"/>
      <c r="C48" s="6"/>
      <c r="D48" s="6"/>
      <c r="E48" s="6"/>
      <c r="F48" s="6"/>
      <c r="G48" s="6"/>
      <c r="H48" s="6"/>
      <c r="I48" s="6"/>
      <c r="J48" s="6"/>
      <c r="K48" s="6"/>
    </row>
    <row r="49" spans="1:11" x14ac:dyDescent="0.2">
      <c r="A49" s="36" t="s">
        <v>247</v>
      </c>
      <c r="B49" s="6"/>
      <c r="C49" s="6"/>
      <c r="D49" s="6"/>
      <c r="E49" s="6"/>
      <c r="F49" s="6"/>
      <c r="G49" s="6"/>
      <c r="H49" s="6"/>
      <c r="I49" s="6"/>
      <c r="J49" s="6"/>
      <c r="K49" s="6"/>
    </row>
    <row r="50" spans="1:11" x14ac:dyDescent="0.2">
      <c r="A50" s="22" t="s">
        <v>359</v>
      </c>
      <c r="B50" s="6"/>
      <c r="C50" s="6"/>
      <c r="D50" s="6"/>
      <c r="E50" s="6"/>
      <c r="F50" s="6"/>
      <c r="G50" s="6"/>
      <c r="H50" s="6"/>
      <c r="I50" s="6"/>
      <c r="J50" s="6"/>
      <c r="K50" s="6"/>
    </row>
    <row r="51" spans="1:11" ht="33.75" x14ac:dyDescent="0.2">
      <c r="A51" s="155" t="s">
        <v>245</v>
      </c>
      <c r="B51" s="141" t="s">
        <v>349</v>
      </c>
      <c r="C51" s="141" t="s">
        <v>350</v>
      </c>
      <c r="D51" s="141" t="s">
        <v>351</v>
      </c>
      <c r="E51" s="141" t="s">
        <v>352</v>
      </c>
      <c r="F51" s="141" t="s">
        <v>353</v>
      </c>
      <c r="G51" s="141" t="s">
        <v>354</v>
      </c>
      <c r="H51" s="141" t="s">
        <v>355</v>
      </c>
      <c r="I51" s="141" t="s">
        <v>356</v>
      </c>
      <c r="J51" s="141" t="s">
        <v>357</v>
      </c>
      <c r="K51" s="141" t="s">
        <v>358</v>
      </c>
    </row>
    <row r="52" spans="1:11" x14ac:dyDescent="0.2">
      <c r="A52" s="6" t="s">
        <v>102</v>
      </c>
      <c r="B52" s="6">
        <f t="shared" ref="B52:B57" si="25">B28</f>
        <v>39396</v>
      </c>
      <c r="C52" s="9">
        <f>C4/$K$4</f>
        <v>0.61460214685244341</v>
      </c>
      <c r="D52" s="9">
        <f t="shared" ref="D52:K52" si="26">D4/$K$4</f>
        <v>8.4045082848215269E-2</v>
      </c>
      <c r="E52" s="9">
        <f t="shared" si="26"/>
        <v>3.2809338754010979E-2</v>
      </c>
      <c r="F52" s="9">
        <f t="shared" si="26"/>
        <v>5.7006165356084167E-2</v>
      </c>
      <c r="G52" s="9">
        <f t="shared" si="26"/>
        <v>0.1046025343317008</v>
      </c>
      <c r="H52" s="9">
        <f t="shared" si="26"/>
        <v>3.4639525609193519E-2</v>
      </c>
      <c r="I52" s="9">
        <f t="shared" si="26"/>
        <v>3.341730430062459E-2</v>
      </c>
      <c r="J52" s="9">
        <f t="shared" si="26"/>
        <v>3.8877901947727493E-2</v>
      </c>
      <c r="K52" s="9">
        <f t="shared" si="26"/>
        <v>1</v>
      </c>
    </row>
    <row r="53" spans="1:11" x14ac:dyDescent="0.2">
      <c r="A53" s="6" t="s">
        <v>76</v>
      </c>
      <c r="B53" s="6">
        <f t="shared" si="25"/>
        <v>23853</v>
      </c>
      <c r="C53" s="9">
        <f t="shared" ref="C53:K53" si="27">C5/$K$5</f>
        <v>0.57670482337163942</v>
      </c>
      <c r="D53" s="9">
        <f t="shared" si="27"/>
        <v>7.9515603389408857E-2</v>
      </c>
      <c r="E53" s="9">
        <f t="shared" si="27"/>
        <v>4.3354475178709218E-2</v>
      </c>
      <c r="F53" s="9">
        <f t="shared" si="27"/>
        <v>5.8609770734558031E-2</v>
      </c>
      <c r="G53" s="9">
        <f t="shared" si="27"/>
        <v>9.200440476628069E-2</v>
      </c>
      <c r="H53" s="9">
        <f t="shared" si="27"/>
        <v>4.1928075469757381E-2</v>
      </c>
      <c r="I53" s="9">
        <f t="shared" si="27"/>
        <v>4.939471649955561E-2</v>
      </c>
      <c r="J53" s="9">
        <f t="shared" si="27"/>
        <v>5.8488130590090802E-2</v>
      </c>
      <c r="K53" s="9">
        <f t="shared" si="27"/>
        <v>1</v>
      </c>
    </row>
    <row r="54" spans="1:11" x14ac:dyDescent="0.2">
      <c r="A54" s="6" t="s">
        <v>77</v>
      </c>
      <c r="B54" s="6">
        <f t="shared" si="25"/>
        <v>15381</v>
      </c>
      <c r="C54" s="9">
        <f>C6/$K$6</f>
        <v>0.58916954645521868</v>
      </c>
      <c r="D54" s="9">
        <f t="shared" ref="D54:K54" si="28">D6/$K$6</f>
        <v>5.5260444397328544E-2</v>
      </c>
      <c r="E54" s="9">
        <f t="shared" si="28"/>
        <v>6.0417275142572509E-2</v>
      </c>
      <c r="F54" s="9">
        <f t="shared" si="28"/>
        <v>5.4851742472677392E-2</v>
      </c>
      <c r="G54" s="9">
        <f t="shared" si="28"/>
        <v>9.5174048523105875E-2</v>
      </c>
      <c r="H54" s="9">
        <f t="shared" si="28"/>
        <v>4.8532204350490805E-2</v>
      </c>
      <c r="I54" s="9">
        <f t="shared" si="28"/>
        <v>6.0343747621394432E-2</v>
      </c>
      <c r="J54" s="9">
        <f t="shared" si="28"/>
        <v>3.6250991037211806E-2</v>
      </c>
      <c r="K54" s="9">
        <f t="shared" si="28"/>
        <v>1</v>
      </c>
    </row>
    <row r="55" spans="1:11" x14ac:dyDescent="0.2">
      <c r="A55" s="6" t="s">
        <v>78</v>
      </c>
      <c r="B55" s="6">
        <f t="shared" si="25"/>
        <v>15059</v>
      </c>
      <c r="C55" s="9">
        <f>C7/$K$7</f>
        <v>0.56061750629114393</v>
      </c>
      <c r="D55" s="9">
        <f t="shared" ref="D55:K55" si="29">D7/$K$7</f>
        <v>4.8173135223323678E-2</v>
      </c>
      <c r="E55" s="9">
        <f t="shared" si="29"/>
        <v>7.8587151651644607E-2</v>
      </c>
      <c r="F55" s="9">
        <f t="shared" si="29"/>
        <v>4.5397901882674549E-2</v>
      </c>
      <c r="G55" s="9">
        <f t="shared" si="29"/>
        <v>9.6831468114163946E-2</v>
      </c>
      <c r="H55" s="9">
        <f t="shared" si="29"/>
        <v>5.1107848055944483E-2</v>
      </c>
      <c r="I55" s="9">
        <f t="shared" si="29"/>
        <v>6.4479751158670245E-2</v>
      </c>
      <c r="J55" s="9">
        <f t="shared" si="29"/>
        <v>5.4805237622434666E-2</v>
      </c>
      <c r="K55" s="9">
        <f t="shared" si="29"/>
        <v>1</v>
      </c>
    </row>
    <row r="56" spans="1:11" x14ac:dyDescent="0.2">
      <c r="A56" s="6" t="s">
        <v>79</v>
      </c>
      <c r="B56" s="6">
        <f t="shared" si="25"/>
        <v>7546</v>
      </c>
      <c r="C56" s="9">
        <f>C8/$K$8</f>
        <v>0.55172759058470289</v>
      </c>
      <c r="D56" s="9">
        <f t="shared" ref="D56:K56" si="30">D8/$K$8</f>
        <v>2.9979941298597719E-2</v>
      </c>
      <c r="E56" s="9">
        <f t="shared" si="30"/>
        <v>9.326295088374803E-2</v>
      </c>
      <c r="F56" s="9">
        <f t="shared" si="30"/>
        <v>2.990217332395078E-2</v>
      </c>
      <c r="G56" s="9">
        <f t="shared" si="30"/>
        <v>0.10425973658857958</v>
      </c>
      <c r="H56" s="9">
        <f t="shared" si="30"/>
        <v>8.0963804578564488E-2</v>
      </c>
      <c r="I56" s="9">
        <f t="shared" si="30"/>
        <v>6.4806616317765256E-2</v>
      </c>
      <c r="J56" s="9">
        <f t="shared" si="30"/>
        <v>4.5097186424091266E-2</v>
      </c>
      <c r="K56" s="9">
        <f t="shared" si="30"/>
        <v>1</v>
      </c>
    </row>
    <row r="57" spans="1:11" x14ac:dyDescent="0.2">
      <c r="A57" s="6" t="s">
        <v>80</v>
      </c>
      <c r="B57" s="6">
        <f t="shared" si="25"/>
        <v>1787</v>
      </c>
      <c r="C57" s="9">
        <f>C9/$K$9</f>
        <v>0.60689986966022824</v>
      </c>
      <c r="D57" s="9">
        <f t="shared" ref="D57:K57" si="31">D9/$K$9</f>
        <v>1.8061249565025504E-2</v>
      </c>
      <c r="E57" s="9">
        <f t="shared" si="31"/>
        <v>9.0106511706354489E-2</v>
      </c>
      <c r="F57" s="9">
        <f t="shared" si="31"/>
        <v>1.5487928425992446E-2</v>
      </c>
      <c r="G57" s="9">
        <f t="shared" si="31"/>
        <v>0.13707188735587972</v>
      </c>
      <c r="H57" s="9">
        <f t="shared" si="31"/>
        <v>8.9376825048444838E-2</v>
      </c>
      <c r="I57" s="9">
        <f t="shared" si="31"/>
        <v>3.1324294274122859E-2</v>
      </c>
      <c r="J57" s="9">
        <f t="shared" si="31"/>
        <v>1.1671433963951918E-2</v>
      </c>
      <c r="K57" s="9">
        <f t="shared" si="31"/>
        <v>1</v>
      </c>
    </row>
    <row r="58" spans="1:11" ht="13.5" thickBot="1" x14ac:dyDescent="0.25">
      <c r="A58" s="8" t="s">
        <v>219</v>
      </c>
      <c r="B58" s="8">
        <f>SUM(B52:B57)</f>
        <v>103022</v>
      </c>
      <c r="C58" s="11">
        <f>C10/$K$10</f>
        <v>0.58798907188177529</v>
      </c>
      <c r="D58" s="11">
        <f t="shared" ref="D58:K58" si="32">D10/$K$10</f>
        <v>6.7013699272511607E-2</v>
      </c>
      <c r="E58" s="11">
        <f t="shared" si="32"/>
        <v>5.2979173991632447E-2</v>
      </c>
      <c r="F58" s="11">
        <f t="shared" si="32"/>
        <v>5.203603802035222E-2</v>
      </c>
      <c r="G58" s="11">
        <f t="shared" si="32"/>
        <v>9.9675433604196798E-2</v>
      </c>
      <c r="H58" s="11">
        <f t="shared" si="32"/>
        <v>4.6133251887448969E-2</v>
      </c>
      <c r="I58" s="11">
        <f t="shared" si="32"/>
        <v>4.8731685334763838E-2</v>
      </c>
      <c r="J58" s="11">
        <f t="shared" si="32"/>
        <v>4.5441646007319078E-2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18443</v>
      </c>
      <c r="C61" s="9">
        <f>C12/$K$12</f>
        <v>0.55444813279832883</v>
      </c>
      <c r="D61" s="9">
        <f t="shared" ref="D61:K61" si="33">D12/$K$12</f>
        <v>7.751053489200431E-2</v>
      </c>
      <c r="E61" s="9">
        <f t="shared" si="33"/>
        <v>4.3019952855895868E-2</v>
      </c>
      <c r="F61" s="9">
        <f t="shared" si="33"/>
        <v>4.5676221724681984E-2</v>
      </c>
      <c r="G61" s="9">
        <f t="shared" si="33"/>
        <v>0.10407613467807779</v>
      </c>
      <c r="H61" s="9">
        <f t="shared" si="33"/>
        <v>3.3665844376833481E-2</v>
      </c>
      <c r="I61" s="9">
        <f t="shared" si="33"/>
        <v>7.3131018007428231E-2</v>
      </c>
      <c r="J61" s="9">
        <f t="shared" si="33"/>
        <v>6.8472160666749479E-2</v>
      </c>
      <c r="K61" s="9">
        <f t="shared" si="33"/>
        <v>1</v>
      </c>
    </row>
    <row r="62" spans="1:11" x14ac:dyDescent="0.2">
      <c r="A62" s="6" t="s">
        <v>82</v>
      </c>
      <c r="B62" s="6">
        <f>B13</f>
        <v>8278</v>
      </c>
      <c r="C62" s="9">
        <f>C13/$K$13</f>
        <v>0.49398132581197335</v>
      </c>
      <c r="D62" s="9">
        <f t="shared" ref="D62:K62" si="34">D13/$K$13</f>
        <v>8.3724553542432981E-2</v>
      </c>
      <c r="E62" s="9">
        <f t="shared" si="34"/>
        <v>4.6783851897843821E-2</v>
      </c>
      <c r="F62" s="9">
        <f t="shared" si="34"/>
        <v>6.7330123891179178E-2</v>
      </c>
      <c r="G62" s="9">
        <f t="shared" si="34"/>
        <v>0.10585426887916641</v>
      </c>
      <c r="H62" s="9">
        <f t="shared" si="34"/>
        <v>6.6493381694455192E-2</v>
      </c>
      <c r="I62" s="9">
        <f t="shared" si="34"/>
        <v>9.198622330118085E-2</v>
      </c>
      <c r="J62" s="9">
        <f t="shared" si="34"/>
        <v>4.3846270981768173E-2</v>
      </c>
      <c r="K62" s="9">
        <f t="shared" si="34"/>
        <v>1</v>
      </c>
    </row>
    <row r="63" spans="1:11" x14ac:dyDescent="0.2">
      <c r="A63" s="6" t="s">
        <v>83</v>
      </c>
      <c r="B63" s="6">
        <f>B14</f>
        <v>5306</v>
      </c>
      <c r="C63" s="9">
        <f>C14/$K$14</f>
        <v>0.49345104390103695</v>
      </c>
      <c r="D63" s="9">
        <f t="shared" ref="D63:K63" si="35">D14/$K$14</f>
        <v>5.6024650470338638E-2</v>
      </c>
      <c r="E63" s="9">
        <f t="shared" si="35"/>
        <v>6.0679793640548693E-2</v>
      </c>
      <c r="F63" s="9">
        <f t="shared" si="35"/>
        <v>5.3916619592374856E-2</v>
      </c>
      <c r="G63" s="9">
        <f t="shared" si="35"/>
        <v>0.11827407774096078</v>
      </c>
      <c r="H63" s="9">
        <f t="shared" si="35"/>
        <v>6.7362932999963265E-2</v>
      </c>
      <c r="I63" s="9">
        <f t="shared" si="35"/>
        <v>8.3668636847985978E-2</v>
      </c>
      <c r="J63" s="9">
        <f t="shared" si="35"/>
        <v>6.6622244806790812E-2</v>
      </c>
      <c r="K63" s="9">
        <f t="shared" si="35"/>
        <v>1</v>
      </c>
    </row>
    <row r="64" spans="1:11" x14ac:dyDescent="0.2">
      <c r="A64" s="6" t="s">
        <v>84</v>
      </c>
      <c r="B64" s="6">
        <f>B15</f>
        <v>5862</v>
      </c>
      <c r="C64" s="9">
        <f>C15/$K$15</f>
        <v>0.46690667407290554</v>
      </c>
      <c r="D64" s="9">
        <f t="shared" ref="D64:K64" si="36">D15/$K$15</f>
        <v>4.7153497389238762E-2</v>
      </c>
      <c r="E64" s="9">
        <f t="shared" si="36"/>
        <v>7.6400128880910842E-2</v>
      </c>
      <c r="F64" s="9">
        <f t="shared" si="36"/>
        <v>5.5520889430824324E-2</v>
      </c>
      <c r="G64" s="9">
        <f t="shared" si="36"/>
        <v>0.11355223840372837</v>
      </c>
      <c r="H64" s="9">
        <f t="shared" si="36"/>
        <v>8.3756956476215394E-2</v>
      </c>
      <c r="I64" s="9">
        <f t="shared" si="36"/>
        <v>8.7627689553541679E-2</v>
      </c>
      <c r="J64" s="9">
        <f t="shared" si="36"/>
        <v>6.9081925792635196E-2</v>
      </c>
      <c r="K64" s="9">
        <f t="shared" si="36"/>
        <v>1</v>
      </c>
    </row>
    <row r="65" spans="1:11" x14ac:dyDescent="0.2">
      <c r="A65" s="6" t="s">
        <v>85</v>
      </c>
      <c r="B65" s="6">
        <f>B16</f>
        <v>2330</v>
      </c>
      <c r="C65" s="9">
        <f>C16/$K$16</f>
        <v>0.47305931757516406</v>
      </c>
      <c r="D65" s="9">
        <f t="shared" ref="D65:K65" si="37">D16/$K$16</f>
        <v>4.4383410113793556E-2</v>
      </c>
      <c r="E65" s="9">
        <f t="shared" si="37"/>
        <v>0.11362543989090243</v>
      </c>
      <c r="F65" s="9">
        <f t="shared" si="37"/>
        <v>3.2067387307470274E-2</v>
      </c>
      <c r="G65" s="9">
        <f t="shared" si="37"/>
        <v>0.12741287966390624</v>
      </c>
      <c r="H65" s="9">
        <f t="shared" si="37"/>
        <v>7.7038726832549212E-2</v>
      </c>
      <c r="I65" s="9">
        <f t="shared" si="37"/>
        <v>8.8725725085738907E-2</v>
      </c>
      <c r="J65" s="9">
        <f t="shared" si="37"/>
        <v>4.3687113530475392E-2</v>
      </c>
      <c r="K65" s="9">
        <f t="shared" si="37"/>
        <v>1</v>
      </c>
    </row>
    <row r="66" spans="1:11" ht="13.5" thickBot="1" x14ac:dyDescent="0.25">
      <c r="A66" s="8" t="s">
        <v>220</v>
      </c>
      <c r="B66" s="8">
        <f>SUM(B61:B65)</f>
        <v>40219</v>
      </c>
      <c r="C66" s="11">
        <f>C17/$K$17</f>
        <v>0.51178954049080028</v>
      </c>
      <c r="D66" s="11">
        <f t="shared" ref="D66:K66" si="38">D17/$K$17</f>
        <v>6.7041921702388832E-2</v>
      </c>
      <c r="E66" s="11">
        <f t="shared" si="38"/>
        <v>5.9241200522849632E-2</v>
      </c>
      <c r="F66" s="11">
        <f t="shared" si="38"/>
        <v>5.0941423831269005E-2</v>
      </c>
      <c r="G66" s="11">
        <f t="shared" si="38"/>
        <v>0.11030922707138957</v>
      </c>
      <c r="H66" s="11">
        <f t="shared" si="38"/>
        <v>5.7272111441797863E-2</v>
      </c>
      <c r="I66" s="11">
        <f t="shared" si="38"/>
        <v>8.2057243549307921E-2</v>
      </c>
      <c r="J66" s="11">
        <f t="shared" si="38"/>
        <v>6.1347331390196935E-2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f>B19</f>
        <v>6151</v>
      </c>
      <c r="C69" s="9">
        <f>C19/$K$19</f>
        <v>0.55701622284069863</v>
      </c>
      <c r="D69" s="9">
        <f t="shared" ref="D69:K69" si="39">D19/$K$19</f>
        <v>5.5541410240579639E-2</v>
      </c>
      <c r="E69" s="9">
        <f t="shared" si="39"/>
        <v>4.874948676510063E-2</v>
      </c>
      <c r="F69" s="9">
        <f t="shared" si="39"/>
        <v>6.3149167525717989E-2</v>
      </c>
      <c r="G69" s="9">
        <f t="shared" si="39"/>
        <v>9.8179558201525116E-2</v>
      </c>
      <c r="H69" s="9">
        <f t="shared" si="39"/>
        <v>5.4454522330462975E-2</v>
      </c>
      <c r="I69" s="9">
        <f t="shared" si="39"/>
        <v>5.9851083263356544E-2</v>
      </c>
      <c r="J69" s="9">
        <f t="shared" si="39"/>
        <v>6.3058548832558389E-2</v>
      </c>
      <c r="K69" s="9">
        <f t="shared" si="39"/>
        <v>1</v>
      </c>
    </row>
    <row r="70" spans="1:11" x14ac:dyDescent="0.2">
      <c r="A70" s="6" t="s">
        <v>87</v>
      </c>
      <c r="B70" s="6">
        <f>B20</f>
        <v>1679</v>
      </c>
      <c r="C70" s="9">
        <f>C20/$K$20</f>
        <v>0.5011280140517429</v>
      </c>
      <c r="D70" s="9">
        <f t="shared" ref="D70:K70" si="40">D20/$K$20</f>
        <v>3.6820805041144024E-2</v>
      </c>
      <c r="E70" s="9">
        <f t="shared" si="40"/>
        <v>0.12232215102977816</v>
      </c>
      <c r="F70" s="9">
        <f t="shared" si="40"/>
        <v>1.8642544701866739E-2</v>
      </c>
      <c r="G70" s="9">
        <f t="shared" si="40"/>
        <v>0.1085555294241735</v>
      </c>
      <c r="H70" s="9">
        <f t="shared" si="40"/>
        <v>7.3340290183510529E-2</v>
      </c>
      <c r="I70" s="9">
        <f t="shared" si="40"/>
        <v>8.1500566881922823E-2</v>
      </c>
      <c r="J70" s="9">
        <f t="shared" si="40"/>
        <v>5.7690098685861405E-2</v>
      </c>
      <c r="K70" s="9">
        <f t="shared" si="40"/>
        <v>1</v>
      </c>
    </row>
    <row r="71" spans="1:11" ht="13.5" thickBot="1" x14ac:dyDescent="0.25">
      <c r="A71" s="8" t="s">
        <v>221</v>
      </c>
      <c r="B71" s="8">
        <f>SUM(B69:B70)</f>
        <v>7830</v>
      </c>
      <c r="C71" s="11">
        <f>C21/$K$21</f>
        <v>0.5398372937016428</v>
      </c>
      <c r="D71" s="11">
        <f t="shared" ref="D71:K71" si="41">D21/$K$21</f>
        <v>4.9787066755073321E-2</v>
      </c>
      <c r="E71" s="11">
        <f t="shared" si="41"/>
        <v>7.1364267473982501E-2</v>
      </c>
      <c r="F71" s="11">
        <f t="shared" si="41"/>
        <v>4.946871262696096E-2</v>
      </c>
      <c r="G71" s="11">
        <f t="shared" si="41"/>
        <v>0.10136892637497752</v>
      </c>
      <c r="H71" s="11">
        <f t="shared" si="41"/>
        <v>6.025963354648526E-2</v>
      </c>
      <c r="I71" s="11">
        <f t="shared" si="41"/>
        <v>6.6505706001131509E-2</v>
      </c>
      <c r="J71" s="11">
        <f t="shared" si="41"/>
        <v>6.1408393519746036E-2</v>
      </c>
      <c r="K71" s="11">
        <f t="shared" si="41"/>
        <v>1</v>
      </c>
    </row>
    <row r="72" spans="1:11" ht="13.5" thickTop="1" x14ac:dyDescent="0.2">
      <c r="A72" s="6"/>
      <c r="B72" s="6"/>
      <c r="C72" s="9"/>
      <c r="D72" s="9"/>
      <c r="E72" s="9"/>
      <c r="F72" s="9"/>
      <c r="G72" s="9"/>
      <c r="H72" s="9"/>
      <c r="I72" s="9"/>
      <c r="J72" s="9"/>
      <c r="K72" s="9"/>
    </row>
    <row r="73" spans="1:11" ht="13.5" thickBot="1" x14ac:dyDescent="0.25">
      <c r="A73" s="126" t="s">
        <v>222</v>
      </c>
      <c r="B73" s="126">
        <f>B58+B66+B71</f>
        <v>151071</v>
      </c>
      <c r="C73" s="127">
        <f>C23/$K$23</f>
        <v>0.55959252933684545</v>
      </c>
      <c r="D73" s="127">
        <f t="shared" ref="D73:K73" si="42">D23/$K$23</f>
        <v>6.6086971053649246E-2</v>
      </c>
      <c r="E73" s="127">
        <f t="shared" si="42"/>
        <v>5.6096952738724212E-2</v>
      </c>
      <c r="F73" s="127">
        <f t="shared" si="42"/>
        <v>5.1526177822317908E-2</v>
      </c>
      <c r="G73" s="127">
        <f t="shared" si="42"/>
        <v>0.10336505102862978</v>
      </c>
      <c r="H73" s="127">
        <f t="shared" si="42"/>
        <v>5.0669474784145282E-2</v>
      </c>
      <c r="I73" s="127">
        <f t="shared" si="42"/>
        <v>6.0972259306046536E-2</v>
      </c>
      <c r="J73" s="127">
        <f t="shared" si="42"/>
        <v>5.1690583929641654E-2</v>
      </c>
      <c r="K73" s="127">
        <f t="shared" si="42"/>
        <v>1</v>
      </c>
    </row>
  </sheetData>
  <phoneticPr fontId="7"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58"/>
  <dimension ref="A1:L73"/>
  <sheetViews>
    <sheetView workbookViewId="0">
      <selection activeCell="C32" sqref="C32"/>
    </sheetView>
  </sheetViews>
  <sheetFormatPr defaultRowHeight="12.75" x14ac:dyDescent="0.2"/>
  <cols>
    <col min="1" max="1" width="21.28515625" customWidth="1"/>
    <col min="3" max="3" width="11.5703125" customWidth="1"/>
    <col min="11" max="11" width="9.5703125" bestFit="1" customWidth="1"/>
  </cols>
  <sheetData>
    <row r="1" spans="1:12" x14ac:dyDescent="0.2">
      <c r="A1" s="36" t="s">
        <v>247</v>
      </c>
    </row>
    <row r="2" spans="1:12" x14ac:dyDescent="0.2">
      <c r="A2" s="22" t="s">
        <v>333</v>
      </c>
    </row>
    <row r="3" spans="1:12" ht="22.5" x14ac:dyDescent="0.2">
      <c r="A3" s="155" t="s">
        <v>245</v>
      </c>
      <c r="B3" s="141" t="s">
        <v>334</v>
      </c>
      <c r="C3" s="141" t="s">
        <v>94</v>
      </c>
      <c r="D3" s="141" t="s">
        <v>95</v>
      </c>
      <c r="E3" s="141" t="s">
        <v>96</v>
      </c>
      <c r="F3" s="141" t="s">
        <v>97</v>
      </c>
      <c r="G3" s="141" t="s">
        <v>98</v>
      </c>
      <c r="H3" s="141" t="s">
        <v>99</v>
      </c>
      <c r="I3" s="141" t="s">
        <v>93</v>
      </c>
      <c r="J3" s="141" t="s">
        <v>115</v>
      </c>
      <c r="K3" s="141" t="s">
        <v>113</v>
      </c>
      <c r="L3" s="141" t="s">
        <v>451</v>
      </c>
    </row>
    <row r="4" spans="1:12" x14ac:dyDescent="0.2">
      <c r="A4" s="6" t="s">
        <v>102</v>
      </c>
      <c r="B4" s="6">
        <v>38593</v>
      </c>
      <c r="C4" s="6">
        <v>104328212.55</v>
      </c>
      <c r="D4" s="6">
        <v>13514911.310000001</v>
      </c>
      <c r="E4" s="6">
        <v>5772313.6699999999</v>
      </c>
      <c r="F4" s="6">
        <v>9870362.7899999991</v>
      </c>
      <c r="G4" s="6">
        <v>17782188.66</v>
      </c>
      <c r="H4" s="6">
        <v>6133002.4100000001</v>
      </c>
      <c r="I4" s="6">
        <v>5324255.32</v>
      </c>
      <c r="J4" s="6">
        <v>6086962.1299999999</v>
      </c>
      <c r="K4" s="6">
        <f t="shared" ref="K4:K9" si="0">SUM(C4:J4)</f>
        <v>168812208.83999997</v>
      </c>
      <c r="L4" s="6">
        <f>K4/B4</f>
        <v>4374.1665286450907</v>
      </c>
    </row>
    <row r="5" spans="1:12" x14ac:dyDescent="0.2">
      <c r="A5" s="6" t="s">
        <v>76</v>
      </c>
      <c r="B5" s="6">
        <v>25666</v>
      </c>
      <c r="C5" s="6">
        <v>67660447.25</v>
      </c>
      <c r="D5" s="6">
        <v>8535279.9399999995</v>
      </c>
      <c r="E5" s="6">
        <v>5136010.95</v>
      </c>
      <c r="F5" s="6">
        <v>6858848.2999999998</v>
      </c>
      <c r="G5" s="6">
        <v>11138487.17</v>
      </c>
      <c r="H5" s="6">
        <v>4446594.75</v>
      </c>
      <c r="I5" s="6">
        <v>5853932.7199999997</v>
      </c>
      <c r="J5" s="6">
        <v>7368138.0300000003</v>
      </c>
      <c r="K5" s="6">
        <f t="shared" si="0"/>
        <v>116997739.11</v>
      </c>
      <c r="L5" s="6">
        <f t="shared" ref="L5:L23" si="1">K5/B5</f>
        <v>4558.4718736850309</v>
      </c>
    </row>
    <row r="6" spans="1:12" x14ac:dyDescent="0.2">
      <c r="A6" s="6" t="s">
        <v>77</v>
      </c>
      <c r="B6" s="6">
        <v>16248</v>
      </c>
      <c r="C6" s="6">
        <v>44474901.369999997</v>
      </c>
      <c r="D6" s="6">
        <v>3770038.34</v>
      </c>
      <c r="E6" s="6">
        <v>4139582.41</v>
      </c>
      <c r="F6" s="6">
        <v>4122994.68</v>
      </c>
      <c r="G6" s="6">
        <v>7269407.3099999996</v>
      </c>
      <c r="H6" s="6">
        <v>3437855.09</v>
      </c>
      <c r="I6" s="6">
        <v>4607383.17</v>
      </c>
      <c r="J6" s="6">
        <v>3312341.05</v>
      </c>
      <c r="K6" s="6">
        <f t="shared" si="0"/>
        <v>75134503.419999987</v>
      </c>
      <c r="L6" s="6">
        <f t="shared" si="1"/>
        <v>4624.2308850320032</v>
      </c>
    </row>
    <row r="7" spans="1:12" x14ac:dyDescent="0.2">
      <c r="A7" s="6" t="s">
        <v>78</v>
      </c>
      <c r="B7" s="6">
        <v>15588</v>
      </c>
      <c r="C7" s="6">
        <v>41797551.490000002</v>
      </c>
      <c r="D7" s="6">
        <v>3473934.42</v>
      </c>
      <c r="E7" s="6">
        <v>6060017.3700000001</v>
      </c>
      <c r="F7" s="6">
        <v>3404849.79</v>
      </c>
      <c r="G7" s="6">
        <v>6861326.3899999997</v>
      </c>
      <c r="H7" s="6">
        <v>4287352.43</v>
      </c>
      <c r="I7" s="6">
        <v>4899590.72</v>
      </c>
      <c r="J7" s="6">
        <v>3123564.38</v>
      </c>
      <c r="K7" s="6">
        <f t="shared" si="0"/>
        <v>73908186.989999995</v>
      </c>
      <c r="L7" s="6">
        <f t="shared" si="1"/>
        <v>4741.3514876828322</v>
      </c>
    </row>
    <row r="8" spans="1:12" x14ac:dyDescent="0.2">
      <c r="A8" s="6" t="s">
        <v>79</v>
      </c>
      <c r="B8" s="6">
        <v>8372</v>
      </c>
      <c r="C8" s="6">
        <v>26101411.140000001</v>
      </c>
      <c r="D8" s="6">
        <v>1450025.96</v>
      </c>
      <c r="E8" s="6">
        <v>4597426.08</v>
      </c>
      <c r="F8" s="6">
        <v>1513666.39</v>
      </c>
      <c r="G8" s="6">
        <v>5332237.7699999996</v>
      </c>
      <c r="H8" s="6">
        <v>3654984.65</v>
      </c>
      <c r="I8" s="6">
        <v>3474691.68</v>
      </c>
      <c r="J8" s="6">
        <v>2564862.0299999998</v>
      </c>
      <c r="K8" s="6">
        <f t="shared" si="0"/>
        <v>48689305.700000003</v>
      </c>
      <c r="L8" s="6">
        <f t="shared" si="1"/>
        <v>5815.7316889632111</v>
      </c>
    </row>
    <row r="9" spans="1:12" x14ac:dyDescent="0.2">
      <c r="A9" s="7" t="s">
        <v>80</v>
      </c>
      <c r="B9" s="6">
        <v>2111</v>
      </c>
      <c r="C9" s="6">
        <v>5599196.1699999999</v>
      </c>
      <c r="D9" s="6">
        <v>252944.63</v>
      </c>
      <c r="E9" s="6">
        <v>940436.55</v>
      </c>
      <c r="F9" s="6">
        <v>176564.44</v>
      </c>
      <c r="G9" s="6">
        <v>1342025.25</v>
      </c>
      <c r="H9" s="6">
        <v>869463.03</v>
      </c>
      <c r="I9" s="6">
        <v>322917.2</v>
      </c>
      <c r="J9" s="6">
        <v>272898.82</v>
      </c>
      <c r="K9" s="6">
        <f t="shared" si="0"/>
        <v>9776446.0899999999</v>
      </c>
      <c r="L9" s="6">
        <f t="shared" si="1"/>
        <v>4631.1918948365701</v>
      </c>
    </row>
    <row r="10" spans="1:12" ht="13.5" thickBot="1" x14ac:dyDescent="0.25">
      <c r="A10" s="8" t="s">
        <v>103</v>
      </c>
      <c r="B10" s="8">
        <f>SUM(B4:B9)</f>
        <v>106578</v>
      </c>
      <c r="C10" s="8">
        <f t="shared" ref="C10:K10" si="2">SUM(C4:C9)</f>
        <v>289961719.97000003</v>
      </c>
      <c r="D10" s="8">
        <f t="shared" si="2"/>
        <v>30997134.599999998</v>
      </c>
      <c r="E10" s="8">
        <f t="shared" si="2"/>
        <v>26645787.030000005</v>
      </c>
      <c r="F10" s="8">
        <f t="shared" si="2"/>
        <v>25947286.390000001</v>
      </c>
      <c r="G10" s="8">
        <f t="shared" si="2"/>
        <v>49725672.549999997</v>
      </c>
      <c r="H10" s="8">
        <f t="shared" si="2"/>
        <v>22829252.359999999</v>
      </c>
      <c r="I10" s="8">
        <f t="shared" si="2"/>
        <v>24482770.809999999</v>
      </c>
      <c r="J10" s="8">
        <f t="shared" si="2"/>
        <v>22728766.440000001</v>
      </c>
      <c r="K10" s="8">
        <f t="shared" si="2"/>
        <v>493318390.14999998</v>
      </c>
      <c r="L10" s="8">
        <f t="shared" si="1"/>
        <v>4628.7075207829002</v>
      </c>
    </row>
    <row r="11" spans="1:12" ht="13.5" thickTop="1" x14ac:dyDescent="0.2">
      <c r="A11" s="6"/>
      <c r="B11" s="6"/>
      <c r="C11" s="6"/>
      <c r="D11" s="6"/>
      <c r="E11" s="6"/>
      <c r="F11" s="6"/>
      <c r="G11" s="6"/>
      <c r="H11" s="6"/>
      <c r="I11" s="6"/>
      <c r="J11" s="6"/>
      <c r="K11" s="6"/>
      <c r="L11" s="6"/>
    </row>
    <row r="12" spans="1:12" x14ac:dyDescent="0.2">
      <c r="A12" s="6" t="s">
        <v>81</v>
      </c>
      <c r="B12" s="6">
        <v>18182</v>
      </c>
      <c r="C12" s="6">
        <v>61210042.539999999</v>
      </c>
      <c r="D12" s="6">
        <v>7421133.7400000002</v>
      </c>
      <c r="E12" s="6">
        <v>5220329.2300000004</v>
      </c>
      <c r="F12" s="6">
        <v>4863635.78</v>
      </c>
      <c r="G12" s="6">
        <v>10944883.109999999</v>
      </c>
      <c r="H12" s="6">
        <v>3491820.71</v>
      </c>
      <c r="I12" s="6">
        <v>8254169.8300000001</v>
      </c>
      <c r="J12" s="6">
        <v>8654423.1899999995</v>
      </c>
      <c r="K12" s="6">
        <f>SUM(C12:J12)</f>
        <v>110060438.13</v>
      </c>
      <c r="L12" s="6">
        <f t="shared" si="1"/>
        <v>6053.2635645143546</v>
      </c>
    </row>
    <row r="13" spans="1:12" x14ac:dyDescent="0.2">
      <c r="A13" s="6" t="s">
        <v>82</v>
      </c>
      <c r="B13" s="6">
        <v>8311</v>
      </c>
      <c r="C13" s="6">
        <v>23583797.510000002</v>
      </c>
      <c r="D13" s="6">
        <v>3266584.51</v>
      </c>
      <c r="E13" s="6">
        <v>2215759.2200000002</v>
      </c>
      <c r="F13" s="6">
        <v>3063500.65</v>
      </c>
      <c r="G13" s="6">
        <v>5488116.6900000004</v>
      </c>
      <c r="H13" s="6">
        <v>2552660.11</v>
      </c>
      <c r="I13" s="6">
        <v>4242163.87</v>
      </c>
      <c r="J13" s="6">
        <v>2484480.65</v>
      </c>
      <c r="K13" s="6">
        <f>SUM(C13:J13)</f>
        <v>46897063.209999993</v>
      </c>
      <c r="L13" s="6">
        <f t="shared" si="1"/>
        <v>5642.7702093610869</v>
      </c>
    </row>
    <row r="14" spans="1:12" x14ac:dyDescent="0.2">
      <c r="A14" s="6" t="s">
        <v>83</v>
      </c>
      <c r="B14" s="6">
        <v>5201</v>
      </c>
      <c r="C14" s="6">
        <v>16719335.800000001</v>
      </c>
      <c r="D14" s="6">
        <v>2145062.2400000002</v>
      </c>
      <c r="E14" s="6">
        <v>1912106.39</v>
      </c>
      <c r="F14" s="6">
        <v>2104021.88</v>
      </c>
      <c r="G14" s="6">
        <v>4068763.91</v>
      </c>
      <c r="H14" s="6">
        <v>1869181.36</v>
      </c>
      <c r="I14" s="6">
        <v>3490337.43</v>
      </c>
      <c r="J14" s="6">
        <v>2389770.67</v>
      </c>
      <c r="K14" s="6">
        <f>SUM(C14:J14)</f>
        <v>34698579.68</v>
      </c>
      <c r="L14" s="6">
        <f t="shared" si="1"/>
        <v>6671.5207998461838</v>
      </c>
    </row>
    <row r="15" spans="1:12" x14ac:dyDescent="0.2">
      <c r="A15" s="6" t="s">
        <v>84</v>
      </c>
      <c r="B15" s="6">
        <v>7332</v>
      </c>
      <c r="C15" s="6">
        <v>26917871.260000002</v>
      </c>
      <c r="D15" s="6">
        <v>2790221.45</v>
      </c>
      <c r="E15" s="6">
        <v>4359212.55</v>
      </c>
      <c r="F15" s="6">
        <v>3085387.22</v>
      </c>
      <c r="G15" s="6">
        <v>6318601.3399999999</v>
      </c>
      <c r="H15" s="6">
        <v>4386087.05</v>
      </c>
      <c r="I15" s="6">
        <v>4993148.0599999996</v>
      </c>
      <c r="J15" s="6">
        <v>3022263.31</v>
      </c>
      <c r="K15" s="6">
        <f>SUM(C15:J15)</f>
        <v>55872792.239999995</v>
      </c>
      <c r="L15" s="6">
        <f t="shared" si="1"/>
        <v>7620.4026513911613</v>
      </c>
    </row>
    <row r="16" spans="1:12" x14ac:dyDescent="0.2">
      <c r="A16" s="6" t="s">
        <v>85</v>
      </c>
      <c r="B16" s="6">
        <v>2864</v>
      </c>
      <c r="C16" s="6">
        <v>14876271.43</v>
      </c>
      <c r="D16" s="6">
        <v>1375781.92</v>
      </c>
      <c r="E16" s="6">
        <v>3579803.78</v>
      </c>
      <c r="F16" s="6">
        <v>1090310.1499999999</v>
      </c>
      <c r="G16" s="6">
        <v>4139494.32</v>
      </c>
      <c r="H16" s="6">
        <v>2215838.52</v>
      </c>
      <c r="I16" s="6">
        <v>2948221.77</v>
      </c>
      <c r="J16" s="6">
        <v>1586338.41</v>
      </c>
      <c r="K16" s="6">
        <f>SUM(C16:J16)</f>
        <v>31812060.299999997</v>
      </c>
      <c r="L16" s="6">
        <f t="shared" si="1"/>
        <v>11107.562953910614</v>
      </c>
    </row>
    <row r="17" spans="1:12" ht="13.5" thickBot="1" x14ac:dyDescent="0.25">
      <c r="A17" s="8" t="s">
        <v>104</v>
      </c>
      <c r="B17" s="8">
        <f>SUM(B12:B16)</f>
        <v>41890</v>
      </c>
      <c r="C17" s="8">
        <f t="shared" ref="C17:K17" si="3">SUM(C12:C16)</f>
        <v>143307318.53999999</v>
      </c>
      <c r="D17" s="8">
        <f t="shared" si="3"/>
        <v>16998783.859999999</v>
      </c>
      <c r="E17" s="8">
        <f t="shared" si="3"/>
        <v>17287211.170000002</v>
      </c>
      <c r="F17" s="8">
        <f t="shared" si="3"/>
        <v>14206855.68</v>
      </c>
      <c r="G17" s="8">
        <f t="shared" si="3"/>
        <v>30959859.370000001</v>
      </c>
      <c r="H17" s="8">
        <f t="shared" si="3"/>
        <v>14515587.75</v>
      </c>
      <c r="I17" s="8">
        <f t="shared" si="3"/>
        <v>23928040.959999997</v>
      </c>
      <c r="J17" s="8">
        <f t="shared" si="3"/>
        <v>18137276.23</v>
      </c>
      <c r="K17" s="8">
        <f t="shared" si="3"/>
        <v>279340933.56</v>
      </c>
      <c r="L17" s="8">
        <f t="shared" si="1"/>
        <v>6668.4395693482929</v>
      </c>
    </row>
    <row r="18" spans="1:12" ht="13.5" thickTop="1" x14ac:dyDescent="0.2">
      <c r="A18" s="6"/>
      <c r="B18" s="6"/>
      <c r="C18" s="6"/>
      <c r="D18" s="6"/>
      <c r="E18" s="6"/>
      <c r="F18" s="6"/>
      <c r="G18" s="6"/>
      <c r="H18" s="6"/>
      <c r="I18" s="6"/>
      <c r="J18" s="6"/>
      <c r="K18" s="6"/>
      <c r="L18" s="6"/>
    </row>
    <row r="19" spans="1:12" x14ac:dyDescent="0.2">
      <c r="A19" s="1" t="s">
        <v>365</v>
      </c>
      <c r="B19" s="6"/>
      <c r="C19" s="6"/>
      <c r="D19" s="6"/>
      <c r="E19" s="6"/>
      <c r="F19" s="6"/>
      <c r="G19" s="6"/>
      <c r="H19" s="6"/>
      <c r="I19" s="6"/>
      <c r="J19" s="6"/>
      <c r="K19" s="6"/>
      <c r="L19" s="6"/>
    </row>
    <row r="20" spans="1:12" x14ac:dyDescent="0.2">
      <c r="A20" s="14" t="s">
        <v>366</v>
      </c>
      <c r="B20" s="6"/>
      <c r="C20" s="6"/>
      <c r="D20" s="6"/>
      <c r="E20" s="6"/>
      <c r="F20" s="6"/>
      <c r="G20" s="6"/>
      <c r="H20" s="6"/>
      <c r="I20" s="6"/>
      <c r="J20" s="6"/>
      <c r="K20" s="6"/>
      <c r="L20" s="6"/>
    </row>
    <row r="21" spans="1:12" ht="13.5" thickBot="1" x14ac:dyDescent="0.25">
      <c r="A21" s="1" t="s">
        <v>364</v>
      </c>
      <c r="B21" s="8"/>
      <c r="C21" s="8"/>
      <c r="D21" s="8"/>
      <c r="E21" s="8"/>
      <c r="F21" s="8"/>
      <c r="G21" s="8"/>
      <c r="H21" s="8"/>
      <c r="I21" s="8"/>
      <c r="J21" s="8"/>
      <c r="K21" s="8"/>
      <c r="L21" s="8"/>
    </row>
    <row r="22" spans="1:12" ht="13.5" thickTop="1" x14ac:dyDescent="0.2">
      <c r="A22" s="6"/>
      <c r="B22" s="6"/>
      <c r="C22" s="6"/>
      <c r="D22" s="6"/>
      <c r="E22" s="6"/>
      <c r="F22" s="6"/>
      <c r="G22" s="6"/>
      <c r="H22" s="6"/>
      <c r="I22" s="6"/>
      <c r="J22" s="6"/>
      <c r="K22" s="6"/>
      <c r="L22" s="6"/>
    </row>
    <row r="23" spans="1:12" ht="13.5" thickBot="1" x14ac:dyDescent="0.25">
      <c r="A23" s="126" t="s">
        <v>209</v>
      </c>
      <c r="B23" s="126">
        <f>B10+B17+B21</f>
        <v>148468</v>
      </c>
      <c r="C23" s="126">
        <f>(C10+C17+C21)</f>
        <v>433269038.50999999</v>
      </c>
      <c r="D23" s="126">
        <f t="shared" ref="D23:K23" si="4">(D10+D17+D21)</f>
        <v>47995918.459999993</v>
      </c>
      <c r="E23" s="126">
        <f t="shared" si="4"/>
        <v>43932998.200000003</v>
      </c>
      <c r="F23" s="126">
        <f t="shared" si="4"/>
        <v>40154142.07</v>
      </c>
      <c r="G23" s="126">
        <f t="shared" si="4"/>
        <v>80685531.920000002</v>
      </c>
      <c r="H23" s="126">
        <f t="shared" si="4"/>
        <v>37344840.109999999</v>
      </c>
      <c r="I23" s="126">
        <f t="shared" si="4"/>
        <v>48410811.769999996</v>
      </c>
      <c r="J23" s="126">
        <f t="shared" si="4"/>
        <v>40866042.670000002</v>
      </c>
      <c r="K23" s="126">
        <f t="shared" si="4"/>
        <v>772659323.71000004</v>
      </c>
      <c r="L23" s="126">
        <f t="shared" si="1"/>
        <v>5204.214535859579</v>
      </c>
    </row>
    <row r="24" spans="1:12" x14ac:dyDescent="0.2">
      <c r="A24" s="6"/>
      <c r="B24" s="6"/>
      <c r="C24" s="6"/>
      <c r="D24" s="6"/>
      <c r="E24" s="6"/>
      <c r="F24" s="6"/>
      <c r="G24" s="6"/>
      <c r="H24" s="6"/>
      <c r="I24" s="6"/>
      <c r="J24" s="6"/>
      <c r="K24" s="6"/>
    </row>
    <row r="25" spans="1:12" x14ac:dyDescent="0.2">
      <c r="A25" s="36" t="s">
        <v>247</v>
      </c>
      <c r="B25" s="6"/>
      <c r="C25" s="6"/>
      <c r="D25" s="6"/>
      <c r="E25" s="6"/>
      <c r="F25" s="6"/>
      <c r="G25" s="6"/>
      <c r="H25" s="6"/>
      <c r="I25" s="6"/>
      <c r="J25" s="6"/>
      <c r="K25" s="6"/>
    </row>
    <row r="26" spans="1:12" x14ac:dyDescent="0.2">
      <c r="A26" s="36" t="s">
        <v>331</v>
      </c>
      <c r="B26" s="6"/>
      <c r="C26" s="6"/>
      <c r="D26" s="6"/>
      <c r="E26" s="6"/>
      <c r="F26" s="6"/>
      <c r="G26" s="6"/>
      <c r="H26" s="6"/>
      <c r="I26" s="6"/>
      <c r="J26" s="6"/>
      <c r="K26" s="6"/>
    </row>
    <row r="27" spans="1:12" ht="33.75" x14ac:dyDescent="0.2">
      <c r="A27" s="155" t="s">
        <v>245</v>
      </c>
      <c r="B27" s="141" t="s">
        <v>334</v>
      </c>
      <c r="C27" s="141" t="s">
        <v>335</v>
      </c>
      <c r="D27" s="141" t="s">
        <v>336</v>
      </c>
      <c r="E27" s="141" t="s">
        <v>337</v>
      </c>
      <c r="F27" s="141" t="s">
        <v>338</v>
      </c>
      <c r="G27" s="141" t="s">
        <v>339</v>
      </c>
      <c r="H27" s="141" t="s">
        <v>340</v>
      </c>
      <c r="I27" s="141" t="s">
        <v>341</v>
      </c>
      <c r="J27" s="141" t="s">
        <v>342</v>
      </c>
      <c r="K27" s="141" t="s">
        <v>343</v>
      </c>
    </row>
    <row r="28" spans="1:12" x14ac:dyDescent="0.2">
      <c r="A28" s="6" t="s">
        <v>102</v>
      </c>
      <c r="B28" s="6">
        <f t="shared" ref="B28:B33" si="5">B4</f>
        <v>38593</v>
      </c>
      <c r="C28" s="6">
        <f>C4/B28</f>
        <v>2703.2936685409272</v>
      </c>
      <c r="D28" s="6">
        <f t="shared" ref="D28:D34" si="6">D4/B28</f>
        <v>350.19074210349027</v>
      </c>
      <c r="E28" s="6">
        <f t="shared" ref="E28:E34" si="7">E4/B28</f>
        <v>149.56892882128884</v>
      </c>
      <c r="F28" s="6">
        <f t="shared" ref="F28:F34" si="8">F4/B28</f>
        <v>255.75526105770473</v>
      </c>
      <c r="G28" s="6">
        <f t="shared" ref="G28:G34" si="9">G4/B28</f>
        <v>460.76202057367919</v>
      </c>
      <c r="H28" s="6">
        <f t="shared" ref="H28:H34" si="10">H4/B28</f>
        <v>158.91489156064571</v>
      </c>
      <c r="I28" s="6">
        <f t="shared" ref="I28:I34" si="11">I4/B28</f>
        <v>137.95909413624233</v>
      </c>
      <c r="J28" s="6">
        <f t="shared" ref="J28:J34" si="12">J4/B28</f>
        <v>157.72192185111288</v>
      </c>
      <c r="K28" s="6">
        <f t="shared" ref="K28:K34" si="13">SUM(C28:J28)</f>
        <v>4374.1665286450907</v>
      </c>
    </row>
    <row r="29" spans="1:12" x14ac:dyDescent="0.2">
      <c r="A29" s="6" t="s">
        <v>76</v>
      </c>
      <c r="B29" s="6">
        <f t="shared" si="5"/>
        <v>25666</v>
      </c>
      <c r="C29" s="6">
        <f t="shared" ref="C29:C41" si="14">C5/B29</f>
        <v>2636.1897938907505</v>
      </c>
      <c r="D29" s="6">
        <f t="shared" si="6"/>
        <v>332.55201200031166</v>
      </c>
      <c r="E29" s="6">
        <f t="shared" si="7"/>
        <v>200.10952037715265</v>
      </c>
      <c r="F29" s="6">
        <f t="shared" si="8"/>
        <v>267.23479700771446</v>
      </c>
      <c r="G29" s="6">
        <f t="shared" si="9"/>
        <v>433.97830476116263</v>
      </c>
      <c r="H29" s="6">
        <f t="shared" si="10"/>
        <v>173.24845125847423</v>
      </c>
      <c r="I29" s="6">
        <f t="shared" si="11"/>
        <v>228.08122496688225</v>
      </c>
      <c r="J29" s="6">
        <f t="shared" si="12"/>
        <v>287.07776942258243</v>
      </c>
      <c r="K29" s="6">
        <f t="shared" si="13"/>
        <v>4558.4718736850309</v>
      </c>
    </row>
    <row r="30" spans="1:12" x14ac:dyDescent="0.2">
      <c r="A30" s="6" t="s">
        <v>77</v>
      </c>
      <c r="B30" s="6">
        <f t="shared" si="5"/>
        <v>16248</v>
      </c>
      <c r="C30" s="6">
        <f t="shared" si="14"/>
        <v>2737.2539001723289</v>
      </c>
      <c r="D30" s="6">
        <f t="shared" si="6"/>
        <v>232.03091703594288</v>
      </c>
      <c r="E30" s="6">
        <f t="shared" si="7"/>
        <v>254.77488983259479</v>
      </c>
      <c r="F30" s="6">
        <f t="shared" si="8"/>
        <v>253.75398079763664</v>
      </c>
      <c r="G30" s="6">
        <f t="shared" si="9"/>
        <v>447.4032071639586</v>
      </c>
      <c r="H30" s="6">
        <f t="shared" si="10"/>
        <v>211.58635462826194</v>
      </c>
      <c r="I30" s="6">
        <f t="shared" si="11"/>
        <v>283.56617245199408</v>
      </c>
      <c r="J30" s="6">
        <f t="shared" si="12"/>
        <v>203.86146294928605</v>
      </c>
      <c r="K30" s="6">
        <f t="shared" si="13"/>
        <v>4624.2308850320042</v>
      </c>
    </row>
    <row r="31" spans="1:12" x14ac:dyDescent="0.2">
      <c r="A31" s="6" t="s">
        <v>78</v>
      </c>
      <c r="B31" s="6">
        <f t="shared" si="5"/>
        <v>15588</v>
      </c>
      <c r="C31" s="6">
        <f t="shared" si="14"/>
        <v>2681.3928335899409</v>
      </c>
      <c r="D31" s="6">
        <f t="shared" si="6"/>
        <v>222.85953425712086</v>
      </c>
      <c r="E31" s="6">
        <f t="shared" si="7"/>
        <v>388.76169938414165</v>
      </c>
      <c r="F31" s="6">
        <f t="shared" si="8"/>
        <v>218.42762317167052</v>
      </c>
      <c r="G31" s="6">
        <f t="shared" si="9"/>
        <v>440.16720490120605</v>
      </c>
      <c r="H31" s="6">
        <f t="shared" si="10"/>
        <v>275.04185463176799</v>
      </c>
      <c r="I31" s="6">
        <f t="shared" si="11"/>
        <v>314.31811136771876</v>
      </c>
      <c r="J31" s="6">
        <f t="shared" si="12"/>
        <v>200.3826263792661</v>
      </c>
      <c r="K31" s="6">
        <f t="shared" si="13"/>
        <v>4741.3514876828331</v>
      </c>
    </row>
    <row r="32" spans="1:12" x14ac:dyDescent="0.2">
      <c r="A32" s="6" t="s">
        <v>79</v>
      </c>
      <c r="B32" s="6">
        <f t="shared" si="5"/>
        <v>8372</v>
      </c>
      <c r="C32" s="6">
        <f t="shared" si="14"/>
        <v>3117.7031939799331</v>
      </c>
      <c r="D32" s="6">
        <f t="shared" si="6"/>
        <v>173.19946966077401</v>
      </c>
      <c r="E32" s="6">
        <f t="shared" si="7"/>
        <v>549.14310559006208</v>
      </c>
      <c r="F32" s="6">
        <f t="shared" si="8"/>
        <v>180.80104992833253</v>
      </c>
      <c r="G32" s="6">
        <f t="shared" si="9"/>
        <v>636.9132548972766</v>
      </c>
      <c r="H32" s="6">
        <f t="shared" si="10"/>
        <v>436.57246177735306</v>
      </c>
      <c r="I32" s="6">
        <f t="shared" si="11"/>
        <v>415.03722885809844</v>
      </c>
      <c r="J32" s="6">
        <f t="shared" si="12"/>
        <v>306.36192427138076</v>
      </c>
      <c r="K32" s="6">
        <f t="shared" si="13"/>
        <v>5815.7316889632111</v>
      </c>
    </row>
    <row r="33" spans="1:11" x14ac:dyDescent="0.2">
      <c r="A33" s="6" t="s">
        <v>80</v>
      </c>
      <c r="B33" s="6">
        <f t="shared" si="5"/>
        <v>2111</v>
      </c>
      <c r="C33" s="6">
        <f t="shared" si="14"/>
        <v>2652.3904168640456</v>
      </c>
      <c r="D33" s="6">
        <f t="shared" si="6"/>
        <v>119.82218379914733</v>
      </c>
      <c r="E33" s="6">
        <f t="shared" si="7"/>
        <v>445.49339175746093</v>
      </c>
      <c r="F33" s="6">
        <f t="shared" si="8"/>
        <v>83.640189483657039</v>
      </c>
      <c r="G33" s="6">
        <f t="shared" si="9"/>
        <v>635.72963050686883</v>
      </c>
      <c r="H33" s="6">
        <f t="shared" si="10"/>
        <v>411.87258645191855</v>
      </c>
      <c r="I33" s="6">
        <f t="shared" si="11"/>
        <v>152.96882993841783</v>
      </c>
      <c r="J33" s="6">
        <f t="shared" si="12"/>
        <v>129.27466603505448</v>
      </c>
      <c r="K33" s="6">
        <f t="shared" si="13"/>
        <v>4631.191894836571</v>
      </c>
    </row>
    <row r="34" spans="1:11" ht="13.5" thickBot="1" x14ac:dyDescent="0.25">
      <c r="A34" s="8" t="s">
        <v>219</v>
      </c>
      <c r="B34" s="8">
        <f>SUM(B28:B33)</f>
        <v>106578</v>
      </c>
      <c r="C34" s="8">
        <f t="shared" si="14"/>
        <v>2720.6526672484006</v>
      </c>
      <c r="D34" s="8">
        <f t="shared" si="6"/>
        <v>290.83989753982996</v>
      </c>
      <c r="E34" s="8">
        <f t="shared" si="7"/>
        <v>250.01207594437881</v>
      </c>
      <c r="F34" s="8">
        <f t="shared" si="8"/>
        <v>243.45818452213402</v>
      </c>
      <c r="G34" s="8">
        <f t="shared" si="9"/>
        <v>466.56601315468481</v>
      </c>
      <c r="H34" s="8">
        <f t="shared" si="10"/>
        <v>214.20229653399389</v>
      </c>
      <c r="I34" s="8">
        <f t="shared" si="11"/>
        <v>229.71692854059935</v>
      </c>
      <c r="J34" s="8">
        <f t="shared" si="12"/>
        <v>213.25945729887971</v>
      </c>
      <c r="K34" s="8">
        <f t="shared" si="13"/>
        <v>4628.7075207829012</v>
      </c>
    </row>
    <row r="35" spans="1:11" ht="13.5" thickTop="1" x14ac:dyDescent="0.2">
      <c r="A35" s="6"/>
      <c r="B35" s="6"/>
      <c r="C35" s="6"/>
      <c r="D35" s="6"/>
      <c r="E35" s="6"/>
      <c r="F35" s="6"/>
      <c r="G35" s="6"/>
      <c r="H35" s="6"/>
      <c r="I35" s="6"/>
      <c r="J35" s="6"/>
      <c r="K35" s="6"/>
    </row>
    <row r="36" spans="1:11" x14ac:dyDescent="0.2">
      <c r="A36" s="6" t="s">
        <v>81</v>
      </c>
      <c r="B36" s="6">
        <f>B12</f>
        <v>18182</v>
      </c>
      <c r="C36" s="6">
        <f t="shared" si="14"/>
        <v>3366.5186745132546</v>
      </c>
      <c r="D36" s="6">
        <f t="shared" ref="D36:D41" si="15">D12/B36</f>
        <v>408.15827411725883</v>
      </c>
      <c r="E36" s="6">
        <f t="shared" ref="E36:E41" si="16">E12/B36</f>
        <v>287.11523649763507</v>
      </c>
      <c r="F36" s="6">
        <f t="shared" ref="F36:F41" si="17">F12/B36</f>
        <v>267.49729292707076</v>
      </c>
      <c r="G36" s="6">
        <f t="shared" ref="G36:G41" si="18">G12/B36</f>
        <v>601.9625514244857</v>
      </c>
      <c r="H36" s="6">
        <f t="shared" ref="H36:H41" si="19">H12/B36</f>
        <v>192.04821856781433</v>
      </c>
      <c r="I36" s="6">
        <f t="shared" ref="I36:I41" si="20">I12/B36</f>
        <v>453.97480090199099</v>
      </c>
      <c r="J36" s="6">
        <f t="shared" ref="J36:J41" si="21">J12/B36</f>
        <v>475.98851556484431</v>
      </c>
      <c r="K36" s="6">
        <f t="shared" ref="K36:K41" si="22">SUM(C36:J36)</f>
        <v>6053.2635645143555</v>
      </c>
    </row>
    <row r="37" spans="1:11" x14ac:dyDescent="0.2">
      <c r="A37" s="6" t="s">
        <v>82</v>
      </c>
      <c r="B37" s="6">
        <f>B13</f>
        <v>8311</v>
      </c>
      <c r="C37" s="6">
        <f t="shared" si="14"/>
        <v>2837.6606316929374</v>
      </c>
      <c r="D37" s="6">
        <f t="shared" si="15"/>
        <v>393.04349777403439</v>
      </c>
      <c r="E37" s="6">
        <f t="shared" si="16"/>
        <v>266.60560943328124</v>
      </c>
      <c r="F37" s="6">
        <f t="shared" si="17"/>
        <v>368.60794729876068</v>
      </c>
      <c r="G37" s="6">
        <f t="shared" si="18"/>
        <v>660.34372398026721</v>
      </c>
      <c r="H37" s="6">
        <f t="shared" si="19"/>
        <v>307.14235471062443</v>
      </c>
      <c r="I37" s="6">
        <f t="shared" si="20"/>
        <v>510.42761039586094</v>
      </c>
      <c r="J37" s="6">
        <f t="shared" si="21"/>
        <v>298.93883407532184</v>
      </c>
      <c r="K37" s="6">
        <f t="shared" si="22"/>
        <v>5642.7702093610878</v>
      </c>
    </row>
    <row r="38" spans="1:11" x14ac:dyDescent="0.2">
      <c r="A38" s="6" t="s">
        <v>83</v>
      </c>
      <c r="B38" s="6">
        <f>B14</f>
        <v>5201</v>
      </c>
      <c r="C38" s="6">
        <f t="shared" si="14"/>
        <v>3214.6386848682946</v>
      </c>
      <c r="D38" s="6">
        <f t="shared" si="15"/>
        <v>412.43265525860414</v>
      </c>
      <c r="E38" s="6">
        <f t="shared" si="16"/>
        <v>367.64206691020956</v>
      </c>
      <c r="F38" s="6">
        <f t="shared" si="17"/>
        <v>404.54179580849836</v>
      </c>
      <c r="G38" s="6">
        <f t="shared" si="18"/>
        <v>782.30415497019806</v>
      </c>
      <c r="H38" s="6">
        <f t="shared" si="19"/>
        <v>359.3888406075755</v>
      </c>
      <c r="I38" s="6">
        <f t="shared" si="20"/>
        <v>671.0896808306095</v>
      </c>
      <c r="J38" s="6">
        <f t="shared" si="21"/>
        <v>459.48292059219381</v>
      </c>
      <c r="K38" s="6">
        <f t="shared" si="22"/>
        <v>6671.5207998461847</v>
      </c>
    </row>
    <row r="39" spans="1:11" x14ac:dyDescent="0.2">
      <c r="A39" s="6" t="s">
        <v>84</v>
      </c>
      <c r="B39" s="6">
        <f>B15</f>
        <v>7332</v>
      </c>
      <c r="C39" s="6">
        <f t="shared" si="14"/>
        <v>3671.2863147845064</v>
      </c>
      <c r="D39" s="6">
        <f t="shared" si="15"/>
        <v>380.55393480632847</v>
      </c>
      <c r="E39" s="6">
        <f t="shared" si="16"/>
        <v>594.54617430441897</v>
      </c>
      <c r="F39" s="6">
        <f t="shared" si="17"/>
        <v>420.81113202400439</v>
      </c>
      <c r="G39" s="6">
        <f t="shared" si="18"/>
        <v>861.78414348063279</v>
      </c>
      <c r="H39" s="6">
        <f t="shared" si="19"/>
        <v>598.21154528096019</v>
      </c>
      <c r="I39" s="6">
        <f t="shared" si="20"/>
        <v>681.00764593562462</v>
      </c>
      <c r="J39" s="6">
        <f t="shared" si="21"/>
        <v>412.20176077468631</v>
      </c>
      <c r="K39" s="6">
        <f t="shared" si="22"/>
        <v>7620.4026513911622</v>
      </c>
    </row>
    <row r="40" spans="1:11" x14ac:dyDescent="0.2">
      <c r="A40" s="6" t="s">
        <v>85</v>
      </c>
      <c r="B40" s="6">
        <f>B16</f>
        <v>2864</v>
      </c>
      <c r="C40" s="6">
        <f t="shared" si="14"/>
        <v>5194.228851256983</v>
      </c>
      <c r="D40" s="6">
        <f t="shared" si="15"/>
        <v>480.37078212290498</v>
      </c>
      <c r="E40" s="6">
        <f t="shared" si="16"/>
        <v>1249.9314874301676</v>
      </c>
      <c r="F40" s="6">
        <f t="shared" si="17"/>
        <v>380.6948847765363</v>
      </c>
      <c r="G40" s="6">
        <f t="shared" si="18"/>
        <v>1445.3541620111732</v>
      </c>
      <c r="H40" s="6">
        <f t="shared" si="19"/>
        <v>773.68663407821225</v>
      </c>
      <c r="I40" s="6">
        <f t="shared" si="20"/>
        <v>1029.4070425977654</v>
      </c>
      <c r="J40" s="6">
        <f t="shared" si="21"/>
        <v>553.88910963687147</v>
      </c>
      <c r="K40" s="6">
        <f t="shared" si="22"/>
        <v>11107.562953910616</v>
      </c>
    </row>
    <row r="41" spans="1:11" ht="13.5" thickBot="1" x14ac:dyDescent="0.25">
      <c r="A41" s="8" t="s">
        <v>220</v>
      </c>
      <c r="B41" s="8">
        <f>SUM(B36:B40)</f>
        <v>41890</v>
      </c>
      <c r="C41" s="8">
        <f t="shared" si="14"/>
        <v>3421.0388765815228</v>
      </c>
      <c r="D41" s="8">
        <f t="shared" si="15"/>
        <v>405.79574743375508</v>
      </c>
      <c r="E41" s="8">
        <f t="shared" si="16"/>
        <v>412.68109739794704</v>
      </c>
      <c r="F41" s="8">
        <f t="shared" si="17"/>
        <v>339.14670995464309</v>
      </c>
      <c r="G41" s="8">
        <f t="shared" si="18"/>
        <v>739.07518190498934</v>
      </c>
      <c r="H41" s="8">
        <f t="shared" si="19"/>
        <v>346.51677608021009</v>
      </c>
      <c r="I41" s="8">
        <f t="shared" si="20"/>
        <v>571.21129052279775</v>
      </c>
      <c r="J41" s="8">
        <f t="shared" si="21"/>
        <v>432.9738894724278</v>
      </c>
      <c r="K41" s="8">
        <f t="shared" si="22"/>
        <v>6668.4395693482929</v>
      </c>
    </row>
    <row r="42" spans="1:11" ht="13.5" thickTop="1" x14ac:dyDescent="0.2">
      <c r="A42" s="6"/>
      <c r="B42" s="6"/>
      <c r="C42" s="6"/>
      <c r="D42" s="6"/>
      <c r="E42" s="6"/>
      <c r="F42" s="6"/>
      <c r="G42" s="6"/>
      <c r="H42" s="6"/>
      <c r="I42" s="6"/>
      <c r="J42" s="6"/>
      <c r="K42" s="6"/>
    </row>
    <row r="43" spans="1:11" x14ac:dyDescent="0.2">
      <c r="A43" s="1" t="s">
        <v>365</v>
      </c>
      <c r="B43" s="6"/>
      <c r="C43" s="6"/>
      <c r="D43" s="6"/>
      <c r="E43" s="6"/>
      <c r="F43" s="6"/>
      <c r="G43" s="6"/>
      <c r="H43" s="6"/>
      <c r="I43" s="6"/>
      <c r="J43" s="6"/>
      <c r="K43" s="6"/>
    </row>
    <row r="44" spans="1:11" x14ac:dyDescent="0.2">
      <c r="A44" s="14" t="s">
        <v>366</v>
      </c>
      <c r="B44" s="6"/>
      <c r="C44" s="6"/>
      <c r="D44" s="6"/>
      <c r="E44" s="6"/>
      <c r="F44" s="6"/>
      <c r="G44" s="6"/>
      <c r="H44" s="6"/>
      <c r="I44" s="6"/>
      <c r="J44" s="6"/>
      <c r="K44" s="6"/>
    </row>
    <row r="45" spans="1:11" ht="13.5" thickBot="1" x14ac:dyDescent="0.25">
      <c r="A45" s="1" t="s">
        <v>367</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26" t="s">
        <v>222</v>
      </c>
      <c r="B47" s="126">
        <f>B34+B41+B45</f>
        <v>148468</v>
      </c>
      <c r="C47" s="126">
        <f>C23/$B$47</f>
        <v>2918.2654747824445</v>
      </c>
      <c r="D47" s="126">
        <f t="shared" ref="D47:J47" si="23">D23/$B$47</f>
        <v>323.27449995958722</v>
      </c>
      <c r="E47" s="126">
        <f t="shared" si="23"/>
        <v>295.90887059837814</v>
      </c>
      <c r="F47" s="126">
        <f t="shared" si="23"/>
        <v>270.45654329552497</v>
      </c>
      <c r="G47" s="126">
        <f t="shared" si="23"/>
        <v>543.45402322385974</v>
      </c>
      <c r="H47" s="126">
        <f t="shared" si="23"/>
        <v>251.53460752485384</v>
      </c>
      <c r="I47" s="126">
        <f t="shared" si="23"/>
        <v>326.0689964840908</v>
      </c>
      <c r="J47" s="126">
        <f t="shared" si="23"/>
        <v>275.25151999083977</v>
      </c>
      <c r="K47" s="8">
        <f>SUM(C47:J47)</f>
        <v>5204.214535859579</v>
      </c>
    </row>
    <row r="48" spans="1:11" x14ac:dyDescent="0.2">
      <c r="A48" s="6"/>
      <c r="B48" s="6"/>
      <c r="C48" s="6"/>
      <c r="D48" s="6"/>
      <c r="E48" s="6"/>
      <c r="F48" s="6"/>
      <c r="G48" s="6"/>
      <c r="H48" s="6"/>
      <c r="I48" s="6"/>
      <c r="J48" s="6"/>
      <c r="K48" s="6"/>
    </row>
    <row r="49" spans="1:11" x14ac:dyDescent="0.2">
      <c r="A49" s="36" t="s">
        <v>247</v>
      </c>
      <c r="B49" s="6"/>
      <c r="C49" s="6"/>
      <c r="D49" s="6"/>
      <c r="E49" s="6"/>
      <c r="F49" s="6"/>
      <c r="G49" s="6"/>
      <c r="H49" s="6"/>
      <c r="I49" s="6"/>
      <c r="J49" s="6"/>
      <c r="K49" s="6"/>
    </row>
    <row r="50" spans="1:11" x14ac:dyDescent="0.2">
      <c r="A50" s="22" t="s">
        <v>436</v>
      </c>
      <c r="B50" s="6"/>
      <c r="C50" s="6"/>
      <c r="D50" s="6"/>
      <c r="E50" s="6"/>
      <c r="F50" s="6"/>
      <c r="G50" s="6"/>
      <c r="H50" s="6"/>
      <c r="I50" s="6"/>
      <c r="J50" s="6"/>
      <c r="K50" s="6"/>
    </row>
    <row r="51" spans="1:11" ht="33.75" x14ac:dyDescent="0.2">
      <c r="A51" s="155" t="s">
        <v>245</v>
      </c>
      <c r="B51" s="141" t="s">
        <v>334</v>
      </c>
      <c r="C51" s="141" t="s">
        <v>335</v>
      </c>
      <c r="D51" s="141" t="s">
        <v>336</v>
      </c>
      <c r="E51" s="141" t="s">
        <v>337</v>
      </c>
      <c r="F51" s="141" t="s">
        <v>338</v>
      </c>
      <c r="G51" s="141" t="s">
        <v>339</v>
      </c>
      <c r="H51" s="141" t="s">
        <v>340</v>
      </c>
      <c r="I51" s="141" t="s">
        <v>341</v>
      </c>
      <c r="J51" s="141" t="s">
        <v>342</v>
      </c>
      <c r="K51" s="141" t="s">
        <v>343</v>
      </c>
    </row>
    <row r="52" spans="1:11" x14ac:dyDescent="0.2">
      <c r="A52" s="6" t="s">
        <v>102</v>
      </c>
      <c r="B52" s="6">
        <f t="shared" ref="B52:B57" si="24">B28</f>
        <v>38593</v>
      </c>
      <c r="C52" s="9">
        <f>C4/$K$4</f>
        <v>0.6180134320076468</v>
      </c>
      <c r="D52" s="9">
        <f t="shared" ref="D52:K52" si="25">D4/$K$4</f>
        <v>8.0058850025529954E-2</v>
      </c>
      <c r="E52" s="9">
        <f t="shared" si="25"/>
        <v>3.419369789462913E-2</v>
      </c>
      <c r="F52" s="9">
        <f t="shared" si="25"/>
        <v>5.8469484273824757E-2</v>
      </c>
      <c r="G52" s="9">
        <f t="shared" si="25"/>
        <v>0.10533710080681391</v>
      </c>
      <c r="H52" s="9">
        <f t="shared" si="25"/>
        <v>3.6330324993335363E-2</v>
      </c>
      <c r="I52" s="9">
        <f t="shared" si="25"/>
        <v>3.1539515752953176E-2</v>
      </c>
      <c r="J52" s="9">
        <f t="shared" si="25"/>
        <v>3.6057594245267034E-2</v>
      </c>
      <c r="K52" s="9">
        <f t="shared" si="25"/>
        <v>1</v>
      </c>
    </row>
    <row r="53" spans="1:11" x14ac:dyDescent="0.2">
      <c r="A53" s="6" t="s">
        <v>76</v>
      </c>
      <c r="B53" s="6">
        <f t="shared" si="24"/>
        <v>25666</v>
      </c>
      <c r="C53" s="9">
        <f t="shared" ref="C53:K53" si="26">C5/$K$5</f>
        <v>0.57830559602853848</v>
      </c>
      <c r="D53" s="9">
        <f t="shared" si="26"/>
        <v>7.2952520321569819E-2</v>
      </c>
      <c r="E53" s="9">
        <f t="shared" si="26"/>
        <v>4.3898377772677973E-2</v>
      </c>
      <c r="F53" s="9">
        <f t="shared" si="26"/>
        <v>5.8623767879406499E-2</v>
      </c>
      <c r="G53" s="9">
        <f t="shared" si="26"/>
        <v>9.5202584722835673E-2</v>
      </c>
      <c r="H53" s="9">
        <f t="shared" si="26"/>
        <v>3.8005817751908526E-2</v>
      </c>
      <c r="I53" s="9">
        <f t="shared" si="26"/>
        <v>5.0034579851976423E-2</v>
      </c>
      <c r="J53" s="9">
        <f t="shared" si="26"/>
        <v>6.2976755671086571E-2</v>
      </c>
      <c r="K53" s="9">
        <f t="shared" si="26"/>
        <v>1</v>
      </c>
    </row>
    <row r="54" spans="1:11" x14ac:dyDescent="0.2">
      <c r="A54" s="6" t="s">
        <v>77</v>
      </c>
      <c r="B54" s="6">
        <f t="shared" si="24"/>
        <v>16248</v>
      </c>
      <c r="C54" s="9">
        <f>C6/$K$6</f>
        <v>0.59193711737717114</v>
      </c>
      <c r="D54" s="9">
        <f t="shared" ref="D54:K54" si="27">D6/$K$6</f>
        <v>5.0177191149125992E-2</v>
      </c>
      <c r="E54" s="9">
        <f t="shared" si="27"/>
        <v>5.5095624800497296E-2</v>
      </c>
      <c r="F54" s="9">
        <f t="shared" si="27"/>
        <v>5.4874850998249944E-2</v>
      </c>
      <c r="G54" s="9">
        <f t="shared" si="27"/>
        <v>9.6751917948591407E-2</v>
      </c>
      <c r="H54" s="9">
        <f t="shared" si="27"/>
        <v>4.5756010002255237E-2</v>
      </c>
      <c r="I54" s="9">
        <f t="shared" si="27"/>
        <v>6.1321802371472979E-2</v>
      </c>
      <c r="J54" s="9">
        <f t="shared" si="27"/>
        <v>4.4085485352636143E-2</v>
      </c>
      <c r="K54" s="9">
        <f t="shared" si="27"/>
        <v>1</v>
      </c>
    </row>
    <row r="55" spans="1:11" x14ac:dyDescent="0.2">
      <c r="A55" s="6" t="s">
        <v>78</v>
      </c>
      <c r="B55" s="6">
        <f t="shared" si="24"/>
        <v>15588</v>
      </c>
      <c r="C55" s="9">
        <f>C7/$K$7</f>
        <v>0.56553344348245671</v>
      </c>
      <c r="D55" s="9">
        <f t="shared" ref="D55:K55" si="28">D7/$K$7</f>
        <v>4.7003377588872991E-2</v>
      </c>
      <c r="E55" s="9">
        <f t="shared" si="28"/>
        <v>8.1993857741632051E-2</v>
      </c>
      <c r="F55" s="9">
        <f t="shared" si="28"/>
        <v>4.6068641765771995E-2</v>
      </c>
      <c r="G55" s="9">
        <f t="shared" si="28"/>
        <v>9.2835809799100583E-2</v>
      </c>
      <c r="H55" s="9">
        <f t="shared" si="28"/>
        <v>5.8009167923170561E-2</v>
      </c>
      <c r="I55" s="9">
        <f t="shared" si="28"/>
        <v>6.6292936135247504E-2</v>
      </c>
      <c r="J55" s="9">
        <f t="shared" si="28"/>
        <v>4.226276556374773E-2</v>
      </c>
      <c r="K55" s="9">
        <f t="shared" si="28"/>
        <v>1</v>
      </c>
    </row>
    <row r="56" spans="1:11" x14ac:dyDescent="0.2">
      <c r="A56" s="6" t="s">
        <v>79</v>
      </c>
      <c r="B56" s="6">
        <f t="shared" si="24"/>
        <v>8372</v>
      </c>
      <c r="C56" s="9">
        <f>C8/$K$8</f>
        <v>0.53608098872520993</v>
      </c>
      <c r="D56" s="9">
        <f t="shared" ref="D56:K56" si="29">D8/$K$8</f>
        <v>2.9781200186635642E-2</v>
      </c>
      <c r="E56" s="9">
        <f t="shared" si="29"/>
        <v>9.4423734614888954E-2</v>
      </c>
      <c r="F56" s="9">
        <f t="shared" si="29"/>
        <v>3.1088272224017353E-2</v>
      </c>
      <c r="G56" s="9">
        <f t="shared" si="29"/>
        <v>0.10951558444588787</v>
      </c>
      <c r="H56" s="9">
        <f t="shared" si="29"/>
        <v>7.5067503991949502E-2</v>
      </c>
      <c r="I56" s="9">
        <f t="shared" si="29"/>
        <v>7.1364576472077321E-2</v>
      </c>
      <c r="J56" s="9">
        <f t="shared" si="29"/>
        <v>5.2678139339333394E-2</v>
      </c>
      <c r="K56" s="9">
        <f t="shared" si="29"/>
        <v>1</v>
      </c>
    </row>
    <row r="57" spans="1:11" x14ac:dyDescent="0.2">
      <c r="A57" s="6" t="s">
        <v>80</v>
      </c>
      <c r="B57" s="6">
        <f t="shared" si="24"/>
        <v>2111</v>
      </c>
      <c r="C57" s="9">
        <f>C9/$K$9</f>
        <v>0.57272306505400061</v>
      </c>
      <c r="D57" s="9">
        <f t="shared" ref="D57:K57" si="30">D9/$K$9</f>
        <v>2.5872860922204505E-2</v>
      </c>
      <c r="E57" s="9">
        <f t="shared" si="30"/>
        <v>9.6194111985329844E-2</v>
      </c>
      <c r="F57" s="9">
        <f t="shared" si="30"/>
        <v>1.806018653144335E-2</v>
      </c>
      <c r="G57" s="9">
        <f t="shared" si="30"/>
        <v>0.13727127809488079</v>
      </c>
      <c r="H57" s="9">
        <f t="shared" si="30"/>
        <v>8.8934467801069825E-2</v>
      </c>
      <c r="I57" s="9">
        <f t="shared" si="30"/>
        <v>3.3030121275900166E-2</v>
      </c>
      <c r="J57" s="9">
        <f t="shared" si="30"/>
        <v>2.7913908335170906E-2</v>
      </c>
      <c r="K57" s="9">
        <f t="shared" si="30"/>
        <v>1</v>
      </c>
    </row>
    <row r="58" spans="1:11" ht="13.5" thickBot="1" x14ac:dyDescent="0.25">
      <c r="A58" s="8" t="s">
        <v>219</v>
      </c>
      <c r="B58" s="8">
        <f>SUM(B52:B57)</f>
        <v>106578</v>
      </c>
      <c r="C58" s="11">
        <f>C10/$K$10</f>
        <v>0.58777804711848125</v>
      </c>
      <c r="D58" s="11">
        <f t="shared" ref="D58:K58" si="31">D10/$K$10</f>
        <v>6.2833932849279975E-2</v>
      </c>
      <c r="E58" s="11">
        <f t="shared" si="31"/>
        <v>5.4013366543862275E-2</v>
      </c>
      <c r="F58" s="11">
        <f t="shared" si="31"/>
        <v>5.2597443979557269E-2</v>
      </c>
      <c r="G58" s="11">
        <f t="shared" si="31"/>
        <v>0.1007983354013627</v>
      </c>
      <c r="H58" s="11">
        <f t="shared" si="31"/>
        <v>4.6276913279187634E-2</v>
      </c>
      <c r="I58" s="11">
        <f t="shared" si="31"/>
        <v>4.9628741394691749E-2</v>
      </c>
      <c r="J58" s="11">
        <f t="shared" si="31"/>
        <v>4.6073219433577207E-2</v>
      </c>
      <c r="K58" s="11">
        <f t="shared" si="31"/>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18182</v>
      </c>
      <c r="C61" s="9">
        <f>C12/$K$12</f>
        <v>0.5561493628409927</v>
      </c>
      <c r="D61" s="9">
        <f t="shared" ref="D61:K61" si="32">D12/$K$12</f>
        <v>6.7427804814245665E-2</v>
      </c>
      <c r="E61" s="9">
        <f t="shared" si="32"/>
        <v>4.7431477819794871E-2</v>
      </c>
      <c r="F61" s="9">
        <f t="shared" si="32"/>
        <v>4.4190590757554715E-2</v>
      </c>
      <c r="G61" s="9">
        <f t="shared" si="32"/>
        <v>9.9444298932121644E-2</v>
      </c>
      <c r="H61" s="9">
        <f t="shared" si="32"/>
        <v>3.1726392964886885E-2</v>
      </c>
      <c r="I61" s="9">
        <f t="shared" si="32"/>
        <v>7.4996701541842209E-2</v>
      </c>
      <c r="J61" s="9">
        <f t="shared" si="32"/>
        <v>7.8633370328561311E-2</v>
      </c>
      <c r="K61" s="9">
        <f t="shared" si="32"/>
        <v>1</v>
      </c>
    </row>
    <row r="62" spans="1:11" x14ac:dyDescent="0.2">
      <c r="A62" s="6" t="s">
        <v>82</v>
      </c>
      <c r="B62" s="6">
        <f>B13</f>
        <v>8311</v>
      </c>
      <c r="C62" s="9">
        <f>C13/$K$13</f>
        <v>0.50288431504536435</v>
      </c>
      <c r="D62" s="9">
        <f t="shared" ref="D62:K62" si="33">D13/$K$13</f>
        <v>6.9654351177014781E-2</v>
      </c>
      <c r="E62" s="9">
        <f t="shared" si="33"/>
        <v>4.7247291585787991E-2</v>
      </c>
      <c r="F62" s="9">
        <f t="shared" si="33"/>
        <v>6.5323933745743828E-2</v>
      </c>
      <c r="G62" s="9">
        <f t="shared" si="33"/>
        <v>0.11702474130255887</v>
      </c>
      <c r="H62" s="9">
        <f t="shared" si="33"/>
        <v>5.4431129270706424E-2</v>
      </c>
      <c r="I62" s="9">
        <f t="shared" si="33"/>
        <v>9.0456919466450333E-2</v>
      </c>
      <c r="J62" s="9">
        <f t="shared" si="33"/>
        <v>5.2977318406373625E-2</v>
      </c>
      <c r="K62" s="9">
        <f t="shared" si="33"/>
        <v>1</v>
      </c>
    </row>
    <row r="63" spans="1:11" x14ac:dyDescent="0.2">
      <c r="A63" s="6" t="s">
        <v>83</v>
      </c>
      <c r="B63" s="6">
        <f>B14</f>
        <v>5201</v>
      </c>
      <c r="C63" s="9">
        <f>C14/$K$14</f>
        <v>0.48184496178778463</v>
      </c>
      <c r="D63" s="9">
        <f t="shared" ref="D63:K63" si="34">D14/$K$14</f>
        <v>6.1819885994826407E-2</v>
      </c>
      <c r="E63" s="9">
        <f t="shared" si="34"/>
        <v>5.5106186121564038E-2</v>
      </c>
      <c r="F63" s="9">
        <f t="shared" si="34"/>
        <v>6.0637118274116053E-2</v>
      </c>
      <c r="G63" s="9">
        <f t="shared" si="34"/>
        <v>0.11726024371957809</v>
      </c>
      <c r="H63" s="9">
        <f t="shared" si="34"/>
        <v>5.3869102921160261E-2</v>
      </c>
      <c r="I63" s="9">
        <f t="shared" si="34"/>
        <v>0.10059021038292829</v>
      </c>
      <c r="J63" s="9">
        <f t="shared" si="34"/>
        <v>6.887229079804226E-2</v>
      </c>
      <c r="K63" s="9">
        <f t="shared" si="34"/>
        <v>1</v>
      </c>
    </row>
    <row r="64" spans="1:11" x14ac:dyDescent="0.2">
      <c r="A64" s="6" t="s">
        <v>84</v>
      </c>
      <c r="B64" s="6">
        <f>B15</f>
        <v>7332</v>
      </c>
      <c r="C64" s="9">
        <f>C15/$K$15</f>
        <v>0.48177064687182714</v>
      </c>
      <c r="D64" s="9">
        <f t="shared" ref="D64:K64" si="35">D15/$K$15</f>
        <v>4.9938822423885372E-2</v>
      </c>
      <c r="E64" s="9">
        <f t="shared" si="35"/>
        <v>7.8020309621812459E-2</v>
      </c>
      <c r="F64" s="9">
        <f t="shared" si="35"/>
        <v>5.522164002018741E-2</v>
      </c>
      <c r="G64" s="9">
        <f t="shared" si="35"/>
        <v>0.11308905616992662</v>
      </c>
      <c r="H64" s="9">
        <f t="shared" si="35"/>
        <v>7.850130401859437E-2</v>
      </c>
      <c r="I64" s="9">
        <f t="shared" si="35"/>
        <v>8.9366359901113829E-2</v>
      </c>
      <c r="J64" s="9">
        <f t="shared" si="35"/>
        <v>5.4091860972652908E-2</v>
      </c>
      <c r="K64" s="9">
        <f t="shared" si="35"/>
        <v>1</v>
      </c>
    </row>
    <row r="65" spans="1:11" x14ac:dyDescent="0.2">
      <c r="A65" s="6" t="s">
        <v>85</v>
      </c>
      <c r="B65" s="6">
        <f>B16</f>
        <v>2864</v>
      </c>
      <c r="C65" s="9">
        <f>C16/$K$16</f>
        <v>0.46762992681740895</v>
      </c>
      <c r="D65" s="9">
        <f t="shared" ref="D65:K65" si="36">D16/$K$16</f>
        <v>4.3247180692663284E-2</v>
      </c>
      <c r="E65" s="9">
        <f t="shared" si="36"/>
        <v>0.11252976846645799</v>
      </c>
      <c r="F65" s="9">
        <f t="shared" si="36"/>
        <v>3.4273484323805337E-2</v>
      </c>
      <c r="G65" s="9">
        <f t="shared" si="36"/>
        <v>0.13012342743484615</v>
      </c>
      <c r="H65" s="9">
        <f t="shared" si="36"/>
        <v>6.965403998055418E-2</v>
      </c>
      <c r="I65" s="9">
        <f t="shared" si="36"/>
        <v>9.2676228518276768E-2</v>
      </c>
      <c r="J65" s="9">
        <f t="shared" si="36"/>
        <v>4.9865943765987394E-2</v>
      </c>
      <c r="K65" s="9">
        <f t="shared" si="36"/>
        <v>1</v>
      </c>
    </row>
    <row r="66" spans="1:11" ht="13.5" thickBot="1" x14ac:dyDescent="0.25">
      <c r="A66" s="8" t="s">
        <v>220</v>
      </c>
      <c r="B66" s="8">
        <f>SUM(B61:B65)</f>
        <v>41890</v>
      </c>
      <c r="C66" s="11">
        <f>C17/$K$17</f>
        <v>0.51301940146634051</v>
      </c>
      <c r="D66" s="11">
        <f t="shared" ref="D66:K66" si="37">D17/$K$17</f>
        <v>6.0853179100401368E-2</v>
      </c>
      <c r="E66" s="11">
        <f t="shared" si="37"/>
        <v>6.1885707009305381E-2</v>
      </c>
      <c r="F66" s="11">
        <f t="shared" si="37"/>
        <v>5.0858481422481859E-2</v>
      </c>
      <c r="G66" s="11">
        <f t="shared" si="37"/>
        <v>0.1108318031855868</v>
      </c>
      <c r="H66" s="11">
        <f t="shared" si="37"/>
        <v>5.196369742525464E-2</v>
      </c>
      <c r="I66" s="11">
        <f t="shared" si="37"/>
        <v>8.5658913840711642E-2</v>
      </c>
      <c r="J66" s="11">
        <f t="shared" si="37"/>
        <v>6.4928816549917737E-2</v>
      </c>
      <c r="K66" s="11">
        <f t="shared" si="37"/>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1" t="s">
        <v>365</v>
      </c>
      <c r="B69" s="6"/>
      <c r="C69" s="9"/>
      <c r="D69" s="9"/>
      <c r="E69" s="9"/>
      <c r="F69" s="9"/>
      <c r="G69" s="9"/>
      <c r="H69" s="9"/>
      <c r="I69" s="9"/>
      <c r="J69" s="9"/>
      <c r="K69" s="9"/>
    </row>
    <row r="70" spans="1:11" x14ac:dyDescent="0.2">
      <c r="A70" s="14" t="s">
        <v>366</v>
      </c>
      <c r="B70" s="6"/>
      <c r="C70" s="9"/>
      <c r="D70" s="9"/>
      <c r="E70" s="9"/>
      <c r="F70" s="9"/>
      <c r="G70" s="9"/>
      <c r="H70" s="9"/>
      <c r="I70" s="9"/>
      <c r="J70" s="9"/>
      <c r="K70" s="9"/>
    </row>
    <row r="71" spans="1:11" ht="13.5" thickBot="1" x14ac:dyDescent="0.25">
      <c r="A71" s="1" t="s">
        <v>110</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26" t="s">
        <v>222</v>
      </c>
      <c r="B73" s="126">
        <f>B58+B66+B71</f>
        <v>148468</v>
      </c>
      <c r="C73" s="127">
        <f>C23/$K$23</f>
        <v>0.56075041769976441</v>
      </c>
      <c r="D73" s="127">
        <f t="shared" ref="D73:K73" si="38">D23/$K$23</f>
        <v>6.211782733629985E-2</v>
      </c>
      <c r="E73" s="127">
        <f t="shared" si="38"/>
        <v>5.6859468140565979E-2</v>
      </c>
      <c r="F73" s="127">
        <f t="shared" si="38"/>
        <v>5.1968753676841589E-2</v>
      </c>
      <c r="G73" s="127">
        <f t="shared" si="38"/>
        <v>0.10442575329652459</v>
      </c>
      <c r="H73" s="127">
        <f t="shared" si="38"/>
        <v>4.8332866716323392E-2</v>
      </c>
      <c r="I73" s="127">
        <f t="shared" si="38"/>
        <v>6.2654795308171141E-2</v>
      </c>
      <c r="J73" s="127">
        <f t="shared" si="38"/>
        <v>5.2890117825509002E-2</v>
      </c>
      <c r="K73" s="127">
        <f t="shared" si="38"/>
        <v>1</v>
      </c>
    </row>
  </sheetData>
  <phoneticPr fontId="7"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59"/>
  <dimension ref="A1:L73"/>
  <sheetViews>
    <sheetView workbookViewId="0">
      <selection activeCell="C32" sqref="C32"/>
    </sheetView>
  </sheetViews>
  <sheetFormatPr defaultRowHeight="12.75" x14ac:dyDescent="0.2"/>
  <cols>
    <col min="1" max="1" width="17.42578125" customWidth="1"/>
    <col min="3" max="3" width="10.7109375" customWidth="1"/>
    <col min="11" max="11" width="11" customWidth="1"/>
  </cols>
  <sheetData>
    <row r="1" spans="1:12" x14ac:dyDescent="0.2">
      <c r="A1" s="36" t="s">
        <v>247</v>
      </c>
    </row>
    <row r="2" spans="1:12" x14ac:dyDescent="0.2">
      <c r="A2" s="22" t="s">
        <v>317</v>
      </c>
    </row>
    <row r="3" spans="1:12" ht="22.5" x14ac:dyDescent="0.2">
      <c r="A3" s="155" t="s">
        <v>245</v>
      </c>
      <c r="B3" s="141" t="s">
        <v>319</v>
      </c>
      <c r="C3" s="141" t="s">
        <v>94</v>
      </c>
      <c r="D3" s="141" t="s">
        <v>95</v>
      </c>
      <c r="E3" s="141" t="s">
        <v>96</v>
      </c>
      <c r="F3" s="141" t="s">
        <v>97</v>
      </c>
      <c r="G3" s="141" t="s">
        <v>98</v>
      </c>
      <c r="H3" s="141" t="s">
        <v>99</v>
      </c>
      <c r="I3" s="141" t="s">
        <v>93</v>
      </c>
      <c r="J3" s="141" t="s">
        <v>115</v>
      </c>
      <c r="K3" s="141" t="s">
        <v>113</v>
      </c>
      <c r="L3" s="141" t="s">
        <v>451</v>
      </c>
    </row>
    <row r="4" spans="1:12" x14ac:dyDescent="0.2">
      <c r="A4" s="6" t="s">
        <v>102</v>
      </c>
      <c r="B4" s="6">
        <v>38043</v>
      </c>
      <c r="C4" s="6">
        <v>97341353.680000007</v>
      </c>
      <c r="D4" s="6">
        <v>12838137.779999999</v>
      </c>
      <c r="E4" s="6">
        <v>5445430.0899999999</v>
      </c>
      <c r="F4" s="6">
        <v>9185677.8200000003</v>
      </c>
      <c r="G4" s="6">
        <v>17126738.399999999</v>
      </c>
      <c r="H4" s="6">
        <v>5476041.5700000003</v>
      </c>
      <c r="I4" s="6">
        <v>5151894.22</v>
      </c>
      <c r="J4" s="6">
        <v>5135355.07</v>
      </c>
      <c r="K4" s="6">
        <f t="shared" ref="K4:K9" si="0">SUM(C4:J4)</f>
        <v>157700628.63</v>
      </c>
      <c r="L4" s="6">
        <f>K4/B4</f>
        <v>4145.3257795126565</v>
      </c>
    </row>
    <row r="5" spans="1:12" x14ac:dyDescent="0.2">
      <c r="A5" s="6" t="s">
        <v>76</v>
      </c>
      <c r="B5" s="6">
        <v>25370</v>
      </c>
      <c r="C5" s="6">
        <v>62707962.560000002</v>
      </c>
      <c r="D5" s="6">
        <v>7196656.4000000004</v>
      </c>
      <c r="E5" s="6">
        <v>5148926.33</v>
      </c>
      <c r="F5" s="6">
        <v>6419635.0199999996</v>
      </c>
      <c r="G5" s="6">
        <v>10427914.57</v>
      </c>
      <c r="H5" s="6">
        <v>4523722.2300000004</v>
      </c>
      <c r="I5" s="6">
        <v>5319085.41</v>
      </c>
      <c r="J5" s="6">
        <v>10556309.789999999</v>
      </c>
      <c r="K5" s="6">
        <f t="shared" si="0"/>
        <v>112300212.31</v>
      </c>
      <c r="L5" s="6">
        <f t="shared" ref="L5:L23" si="1">K5/B5</f>
        <v>4426.4963464722114</v>
      </c>
    </row>
    <row r="6" spans="1:12" x14ac:dyDescent="0.2">
      <c r="A6" s="6" t="s">
        <v>77</v>
      </c>
      <c r="B6" s="6">
        <v>14951</v>
      </c>
      <c r="C6" s="6">
        <v>38130184.280000001</v>
      </c>
      <c r="D6" s="6">
        <v>3580951.43</v>
      </c>
      <c r="E6" s="6">
        <v>3412913.16</v>
      </c>
      <c r="F6" s="6">
        <v>3680479.24</v>
      </c>
      <c r="G6" s="6">
        <v>6300548.4100000001</v>
      </c>
      <c r="H6" s="6">
        <v>3362966.36</v>
      </c>
      <c r="I6" s="6">
        <v>3810134.74</v>
      </c>
      <c r="J6" s="6">
        <v>4605247.8099999996</v>
      </c>
      <c r="K6" s="6">
        <f t="shared" si="0"/>
        <v>66883425.430000015</v>
      </c>
      <c r="L6" s="6">
        <f t="shared" si="1"/>
        <v>4473.508489733129</v>
      </c>
    </row>
    <row r="7" spans="1:12" x14ac:dyDescent="0.2">
      <c r="A7" s="6" t="s">
        <v>78</v>
      </c>
      <c r="B7" s="6">
        <v>16667</v>
      </c>
      <c r="C7" s="6">
        <v>43850280.859999999</v>
      </c>
      <c r="D7" s="6">
        <v>3567983.63</v>
      </c>
      <c r="E7" s="6">
        <v>5851782.2199999997</v>
      </c>
      <c r="F7" s="6">
        <v>3900118.33</v>
      </c>
      <c r="G7" s="6">
        <v>7720834.4500000002</v>
      </c>
      <c r="H7" s="6">
        <v>4383063.0599999996</v>
      </c>
      <c r="I7" s="6">
        <v>5710507.5499999998</v>
      </c>
      <c r="J7" s="6">
        <v>4503286.3600000003</v>
      </c>
      <c r="K7" s="6">
        <f t="shared" si="0"/>
        <v>79487856.459999993</v>
      </c>
      <c r="L7" s="6">
        <f t="shared" si="1"/>
        <v>4769.1760040799181</v>
      </c>
    </row>
    <row r="8" spans="1:12" x14ac:dyDescent="0.2">
      <c r="A8" s="6" t="s">
        <v>79</v>
      </c>
      <c r="B8" s="6">
        <v>8429</v>
      </c>
      <c r="C8" s="6">
        <v>24747334.379999999</v>
      </c>
      <c r="D8" s="6">
        <v>1294394.99</v>
      </c>
      <c r="E8" s="6">
        <v>4353476.82</v>
      </c>
      <c r="F8" s="6">
        <v>1127699.3999999999</v>
      </c>
      <c r="G8" s="6">
        <v>4967729.28</v>
      </c>
      <c r="H8" s="6">
        <v>3642512.52</v>
      </c>
      <c r="I8" s="6">
        <v>3166323.15</v>
      </c>
      <c r="J8" s="6">
        <v>2999004.93</v>
      </c>
      <c r="K8" s="6">
        <f t="shared" si="0"/>
        <v>46298475.469999999</v>
      </c>
      <c r="L8" s="6">
        <f t="shared" si="1"/>
        <v>5492.7601696523907</v>
      </c>
    </row>
    <row r="9" spans="1:12" x14ac:dyDescent="0.2">
      <c r="A9" s="7" t="s">
        <v>80</v>
      </c>
      <c r="B9" s="6">
        <v>2116</v>
      </c>
      <c r="C9" s="6">
        <v>5158298.4000000004</v>
      </c>
      <c r="D9" s="6">
        <v>175635.15</v>
      </c>
      <c r="E9" s="6">
        <v>832073.99</v>
      </c>
      <c r="F9" s="6">
        <v>93569.35</v>
      </c>
      <c r="G9" s="6">
        <v>1192449.51</v>
      </c>
      <c r="H9" s="6">
        <v>824064.68</v>
      </c>
      <c r="I9" s="6">
        <v>250351.66</v>
      </c>
      <c r="J9" s="6">
        <v>181327.12</v>
      </c>
      <c r="K9" s="6">
        <f t="shared" si="0"/>
        <v>8707769.8599999994</v>
      </c>
      <c r="L9" s="6">
        <f t="shared" si="1"/>
        <v>4115.2031474480145</v>
      </c>
    </row>
    <row r="10" spans="1:12" ht="13.5" thickBot="1" x14ac:dyDescent="0.25">
      <c r="A10" s="8" t="s">
        <v>103</v>
      </c>
      <c r="B10" s="8">
        <f>SUM(B4:B9)</f>
        <v>105576</v>
      </c>
      <c r="C10" s="8">
        <f t="shared" ref="C10:K10" si="2">SUM(C4:C9)</f>
        <v>271935414.15999997</v>
      </c>
      <c r="D10" s="8">
        <f t="shared" si="2"/>
        <v>28653759.379999995</v>
      </c>
      <c r="E10" s="8">
        <f t="shared" si="2"/>
        <v>25044602.609999999</v>
      </c>
      <c r="F10" s="8">
        <f t="shared" si="2"/>
        <v>24407179.159999996</v>
      </c>
      <c r="G10" s="8">
        <f t="shared" si="2"/>
        <v>47736214.619999997</v>
      </c>
      <c r="H10" s="8">
        <f t="shared" si="2"/>
        <v>22212370.419999998</v>
      </c>
      <c r="I10" s="8">
        <f t="shared" si="2"/>
        <v>23408296.729999997</v>
      </c>
      <c r="J10" s="8">
        <f t="shared" si="2"/>
        <v>27980531.079999998</v>
      </c>
      <c r="K10" s="8">
        <f t="shared" si="2"/>
        <v>471378368.15999997</v>
      </c>
      <c r="L10" s="8">
        <f t="shared" si="1"/>
        <v>4464.8250375085245</v>
      </c>
    </row>
    <row r="11" spans="1:12" ht="13.5" thickTop="1" x14ac:dyDescent="0.2">
      <c r="A11" s="6"/>
      <c r="B11" s="6"/>
      <c r="C11" s="6"/>
      <c r="D11" s="6"/>
      <c r="E11" s="6"/>
      <c r="F11" s="6"/>
      <c r="G11" s="6"/>
      <c r="H11" s="6"/>
      <c r="I11" s="6"/>
      <c r="J11" s="6"/>
      <c r="K11" s="6"/>
      <c r="L11" s="6"/>
    </row>
    <row r="12" spans="1:12" x14ac:dyDescent="0.2">
      <c r="A12" s="6" t="s">
        <v>81</v>
      </c>
      <c r="B12" s="6">
        <v>18590</v>
      </c>
      <c r="C12" s="6">
        <v>58115625.93</v>
      </c>
      <c r="D12" s="6">
        <v>7865234.9699999997</v>
      </c>
      <c r="E12" s="6">
        <v>4788270.99</v>
      </c>
      <c r="F12" s="6">
        <v>4713521.54</v>
      </c>
      <c r="G12" s="6">
        <v>10408095.35</v>
      </c>
      <c r="H12" s="6">
        <v>3149593.42</v>
      </c>
      <c r="I12" s="6">
        <v>7898101.7599999998</v>
      </c>
      <c r="J12" s="6">
        <v>7664699.7999999998</v>
      </c>
      <c r="K12" s="6">
        <f>SUM(C12:J12)</f>
        <v>104603143.76000001</v>
      </c>
      <c r="L12" s="6">
        <f t="shared" si="1"/>
        <v>5626.8501215707374</v>
      </c>
    </row>
    <row r="13" spans="1:12" x14ac:dyDescent="0.2">
      <c r="A13" s="6" t="s">
        <v>82</v>
      </c>
      <c r="B13" s="6">
        <v>8329</v>
      </c>
      <c r="C13" s="6">
        <v>22277364.100000001</v>
      </c>
      <c r="D13" s="6">
        <v>3026504.97</v>
      </c>
      <c r="E13" s="6">
        <v>2335186.42</v>
      </c>
      <c r="F13" s="6">
        <v>2910097.76</v>
      </c>
      <c r="G13" s="6">
        <v>5061374.5599999996</v>
      </c>
      <c r="H13" s="6">
        <v>2632645</v>
      </c>
      <c r="I13" s="6">
        <v>4213597.87</v>
      </c>
      <c r="J13" s="6">
        <v>3841978.36</v>
      </c>
      <c r="K13" s="6">
        <f>SUM(C13:J13)</f>
        <v>46298749.039999999</v>
      </c>
      <c r="L13" s="6">
        <f t="shared" si="1"/>
        <v>5558.7404298235078</v>
      </c>
    </row>
    <row r="14" spans="1:12" x14ac:dyDescent="0.2">
      <c r="A14" s="6" t="s">
        <v>83</v>
      </c>
      <c r="B14" s="6">
        <v>5258</v>
      </c>
      <c r="C14" s="6">
        <v>15618396.710000001</v>
      </c>
      <c r="D14" s="6">
        <v>1837263.77</v>
      </c>
      <c r="E14" s="6">
        <v>1926091.1</v>
      </c>
      <c r="F14" s="6">
        <v>1936703.44</v>
      </c>
      <c r="G14" s="6">
        <v>3625447.01</v>
      </c>
      <c r="H14" s="6">
        <v>1960633.12</v>
      </c>
      <c r="I14" s="6">
        <v>3448913.57</v>
      </c>
      <c r="J14" s="6">
        <v>3792246.02</v>
      </c>
      <c r="K14" s="6">
        <f>SUM(C14:J14)</f>
        <v>34145694.740000002</v>
      </c>
      <c r="L14" s="6">
        <f t="shared" si="1"/>
        <v>6494.0461658425256</v>
      </c>
    </row>
    <row r="15" spans="1:12" x14ac:dyDescent="0.2">
      <c r="A15" s="6" t="s">
        <v>84</v>
      </c>
      <c r="B15" s="6">
        <v>7072</v>
      </c>
      <c r="C15" s="6">
        <v>23937207.390000001</v>
      </c>
      <c r="D15" s="6">
        <v>2131487.89</v>
      </c>
      <c r="E15" s="6">
        <v>3680523.57</v>
      </c>
      <c r="F15" s="6">
        <v>2704974.39</v>
      </c>
      <c r="G15" s="6">
        <v>6135606.4400000004</v>
      </c>
      <c r="H15" s="6">
        <v>3761470.21</v>
      </c>
      <c r="I15" s="6">
        <v>5138926.93</v>
      </c>
      <c r="J15" s="6">
        <v>2492818.4</v>
      </c>
      <c r="K15" s="6">
        <f>SUM(C15:J15)</f>
        <v>49983015.219999999</v>
      </c>
      <c r="L15" s="6">
        <f t="shared" si="1"/>
        <v>7067.7340526018097</v>
      </c>
    </row>
    <row r="16" spans="1:12" x14ac:dyDescent="0.2">
      <c r="A16" s="6" t="s">
        <v>85</v>
      </c>
      <c r="B16" s="6">
        <v>3145</v>
      </c>
      <c r="C16" s="6">
        <v>15368283.73</v>
      </c>
      <c r="D16" s="6">
        <v>1328022.9099999999</v>
      </c>
      <c r="E16" s="6">
        <v>3674818.14</v>
      </c>
      <c r="F16" s="6">
        <v>1131814.1200000001</v>
      </c>
      <c r="G16" s="6">
        <v>4153350.02</v>
      </c>
      <c r="H16" s="6">
        <v>2465221.5299999998</v>
      </c>
      <c r="I16" s="6">
        <v>3369113.03</v>
      </c>
      <c r="J16" s="6">
        <v>1900126.26</v>
      </c>
      <c r="K16" s="6">
        <f>SUM(C16:J16)</f>
        <v>33390749.740000006</v>
      </c>
      <c r="L16" s="6">
        <f t="shared" si="1"/>
        <v>10617.090537360893</v>
      </c>
    </row>
    <row r="17" spans="1:12" ht="13.5" thickBot="1" x14ac:dyDescent="0.25">
      <c r="A17" s="8" t="s">
        <v>104</v>
      </c>
      <c r="B17" s="8">
        <f>SUM(B12:B16)</f>
        <v>42394</v>
      </c>
      <c r="C17" s="8">
        <f t="shared" ref="C17:K17" si="3">SUM(C12:C16)</f>
        <v>135316877.86000001</v>
      </c>
      <c r="D17" s="8">
        <f t="shared" si="3"/>
        <v>16188514.51</v>
      </c>
      <c r="E17" s="8">
        <f t="shared" si="3"/>
        <v>16404890.220000001</v>
      </c>
      <c r="F17" s="8">
        <f t="shared" si="3"/>
        <v>13397111.25</v>
      </c>
      <c r="G17" s="8">
        <f t="shared" si="3"/>
        <v>29383873.380000003</v>
      </c>
      <c r="H17" s="8">
        <f t="shared" si="3"/>
        <v>13969563.279999999</v>
      </c>
      <c r="I17" s="8">
        <f t="shared" si="3"/>
        <v>24068653.16</v>
      </c>
      <c r="J17" s="8">
        <f t="shared" si="3"/>
        <v>19691868.84</v>
      </c>
      <c r="K17" s="8">
        <f t="shared" si="3"/>
        <v>268421352.50000003</v>
      </c>
      <c r="L17" s="8">
        <f t="shared" si="1"/>
        <v>6331.5882554135023</v>
      </c>
    </row>
    <row r="18" spans="1:12" ht="13.5" thickTop="1" x14ac:dyDescent="0.2">
      <c r="A18" s="6"/>
      <c r="B18" s="6"/>
      <c r="C18" s="6"/>
      <c r="D18" s="6"/>
      <c r="E18" s="6"/>
      <c r="F18" s="6"/>
      <c r="G18" s="6"/>
      <c r="H18" s="6"/>
      <c r="I18" s="6"/>
      <c r="J18" s="6"/>
      <c r="K18" s="6"/>
      <c r="L18" s="6"/>
    </row>
    <row r="19" spans="1:12" x14ac:dyDescent="0.2">
      <c r="A19" s="6" t="s">
        <v>86</v>
      </c>
      <c r="B19" s="1"/>
      <c r="C19" s="6"/>
      <c r="D19" s="6"/>
      <c r="E19" s="6"/>
      <c r="F19" s="6"/>
      <c r="G19" s="6"/>
      <c r="H19" s="6"/>
      <c r="I19" s="6"/>
      <c r="J19" s="6"/>
      <c r="K19" s="6"/>
      <c r="L19" s="6"/>
    </row>
    <row r="20" spans="1:12" x14ac:dyDescent="0.2">
      <c r="A20" s="6" t="s">
        <v>87</v>
      </c>
      <c r="B20" s="1"/>
      <c r="C20" s="6"/>
      <c r="D20" s="6"/>
      <c r="E20" s="6"/>
      <c r="F20" s="6"/>
      <c r="G20" s="6"/>
      <c r="H20" s="6"/>
      <c r="I20" s="6"/>
      <c r="J20" s="6"/>
      <c r="K20" s="6"/>
      <c r="L20" s="6"/>
    </row>
    <row r="21" spans="1:12" ht="13.5" thickBot="1" x14ac:dyDescent="0.25">
      <c r="A21" s="8" t="s">
        <v>105</v>
      </c>
      <c r="B21" s="8">
        <f>SUM(B19:B20)</f>
        <v>0</v>
      </c>
      <c r="C21" s="8">
        <f t="shared" ref="C21:K21" si="4">SUM(C19:C20)</f>
        <v>0</v>
      </c>
      <c r="D21" s="8">
        <f t="shared" si="4"/>
        <v>0</v>
      </c>
      <c r="E21" s="8">
        <f t="shared" si="4"/>
        <v>0</v>
      </c>
      <c r="F21" s="8">
        <f t="shared" si="4"/>
        <v>0</v>
      </c>
      <c r="G21" s="8">
        <f t="shared" si="4"/>
        <v>0</v>
      </c>
      <c r="H21" s="8">
        <f t="shared" si="4"/>
        <v>0</v>
      </c>
      <c r="I21" s="8">
        <f t="shared" si="4"/>
        <v>0</v>
      </c>
      <c r="J21" s="8">
        <f t="shared" si="4"/>
        <v>0</v>
      </c>
      <c r="K21" s="8">
        <f t="shared" si="4"/>
        <v>0</v>
      </c>
      <c r="L21" s="8">
        <v>0</v>
      </c>
    </row>
    <row r="22" spans="1:12" ht="13.5" thickTop="1" x14ac:dyDescent="0.2">
      <c r="A22" s="6"/>
      <c r="B22" s="6"/>
      <c r="C22" s="6"/>
      <c r="D22" s="6"/>
      <c r="E22" s="6"/>
      <c r="F22" s="6"/>
      <c r="G22" s="6"/>
      <c r="H22" s="6"/>
      <c r="I22" s="6"/>
      <c r="J22" s="6"/>
      <c r="K22" s="6"/>
      <c r="L22" s="6"/>
    </row>
    <row r="23" spans="1:12" ht="13.5" thickBot="1" x14ac:dyDescent="0.25">
      <c r="A23" s="126" t="s">
        <v>209</v>
      </c>
      <c r="B23" s="126">
        <f>B10+B17+B21</f>
        <v>147970</v>
      </c>
      <c r="C23" s="126">
        <f>(C10+C17+C21)</f>
        <v>407252292.01999998</v>
      </c>
      <c r="D23" s="126">
        <f t="shared" ref="D23:K23" si="5">(D10+D17+D21)</f>
        <v>44842273.889999993</v>
      </c>
      <c r="E23" s="126">
        <f t="shared" si="5"/>
        <v>41449492.829999998</v>
      </c>
      <c r="F23" s="126">
        <f t="shared" si="5"/>
        <v>37804290.409999996</v>
      </c>
      <c r="G23" s="126">
        <f t="shared" si="5"/>
        <v>77120088</v>
      </c>
      <c r="H23" s="126">
        <f t="shared" si="5"/>
        <v>36181933.699999996</v>
      </c>
      <c r="I23" s="126">
        <f t="shared" si="5"/>
        <v>47476949.890000001</v>
      </c>
      <c r="J23" s="126">
        <f t="shared" si="5"/>
        <v>47672399.920000002</v>
      </c>
      <c r="K23" s="126">
        <f t="shared" si="5"/>
        <v>739799720.65999997</v>
      </c>
      <c r="L23" s="126">
        <f t="shared" si="1"/>
        <v>4999.6602058525377</v>
      </c>
    </row>
    <row r="24" spans="1:12" x14ac:dyDescent="0.2">
      <c r="A24" s="6"/>
      <c r="B24" s="6"/>
      <c r="C24" s="6"/>
      <c r="D24" s="6"/>
      <c r="E24" s="6"/>
      <c r="F24" s="6"/>
      <c r="G24" s="6"/>
      <c r="H24" s="6"/>
      <c r="I24" s="6"/>
      <c r="J24" s="6"/>
      <c r="K24" s="6"/>
    </row>
    <row r="25" spans="1:12" x14ac:dyDescent="0.2">
      <c r="A25" s="36" t="s">
        <v>247</v>
      </c>
      <c r="B25" s="6"/>
      <c r="C25" s="6"/>
      <c r="D25" s="6"/>
      <c r="E25" s="6"/>
      <c r="F25" s="6"/>
      <c r="G25" s="6"/>
      <c r="H25" s="6"/>
      <c r="I25" s="6"/>
      <c r="J25" s="6"/>
      <c r="K25" s="6"/>
    </row>
    <row r="26" spans="1:12" x14ac:dyDescent="0.2">
      <c r="A26" s="36" t="s">
        <v>315</v>
      </c>
      <c r="B26" s="6"/>
      <c r="C26" s="6"/>
      <c r="D26" s="6"/>
      <c r="E26" s="6"/>
      <c r="F26" s="6"/>
      <c r="G26" s="6"/>
      <c r="H26" s="6"/>
      <c r="I26" s="6"/>
      <c r="J26" s="6"/>
      <c r="K26" s="6"/>
    </row>
    <row r="27" spans="1:12" ht="33.75" x14ac:dyDescent="0.2">
      <c r="A27" s="155" t="s">
        <v>245</v>
      </c>
      <c r="B27" s="141" t="s">
        <v>319</v>
      </c>
      <c r="C27" s="141" t="s">
        <v>320</v>
      </c>
      <c r="D27" s="141" t="s">
        <v>328</v>
      </c>
      <c r="E27" s="141" t="s">
        <v>321</v>
      </c>
      <c r="F27" s="141" t="s">
        <v>322</v>
      </c>
      <c r="G27" s="141" t="s">
        <v>323</v>
      </c>
      <c r="H27" s="141" t="s">
        <v>324</v>
      </c>
      <c r="I27" s="141" t="s">
        <v>325</v>
      </c>
      <c r="J27" s="141" t="s">
        <v>326</v>
      </c>
      <c r="K27" s="141" t="s">
        <v>327</v>
      </c>
    </row>
    <row r="28" spans="1:12" x14ac:dyDescent="0.2">
      <c r="A28" s="6" t="s">
        <v>102</v>
      </c>
      <c r="B28" s="6">
        <f t="shared" ref="B28:B33" si="6">B4</f>
        <v>38043</v>
      </c>
      <c r="C28" s="6">
        <f>C4/B28</f>
        <v>2558.7191777725207</v>
      </c>
      <c r="D28" s="6">
        <f t="shared" ref="D28:D34" si="7">D4/B28</f>
        <v>337.46386404857657</v>
      </c>
      <c r="E28" s="6">
        <f t="shared" ref="E28:E34" si="8">E4/B28</f>
        <v>143.13881896800987</v>
      </c>
      <c r="F28" s="6">
        <f t="shared" ref="F28:F34" si="9">F4/B28</f>
        <v>241.45513813316512</v>
      </c>
      <c r="G28" s="6">
        <f t="shared" ref="G28:G34" si="10">G4/B28</f>
        <v>450.19421181294848</v>
      </c>
      <c r="H28" s="6">
        <f t="shared" ref="H28:H34" si="11">H4/B28</f>
        <v>143.94347370081223</v>
      </c>
      <c r="I28" s="6">
        <f t="shared" ref="I28:I34" si="12">I4/B28</f>
        <v>135.42292195673318</v>
      </c>
      <c r="J28" s="6">
        <f t="shared" ref="J28:J34" si="13">J4/B28</f>
        <v>134.98817311989066</v>
      </c>
      <c r="K28" s="6">
        <f t="shared" ref="K28:K34" si="14">SUM(C28:J28)</f>
        <v>4145.3257795126565</v>
      </c>
    </row>
    <row r="29" spans="1:12" x14ac:dyDescent="0.2">
      <c r="A29" s="6" t="s">
        <v>76</v>
      </c>
      <c r="B29" s="6">
        <f t="shared" si="6"/>
        <v>25370</v>
      </c>
      <c r="C29" s="6">
        <f t="shared" ref="C29:C41" si="15">C5/B29</f>
        <v>2471.7367977926688</v>
      </c>
      <c r="D29" s="6">
        <f t="shared" si="7"/>
        <v>283.66797004335831</v>
      </c>
      <c r="E29" s="6">
        <f t="shared" si="8"/>
        <v>202.95334371304691</v>
      </c>
      <c r="F29" s="6">
        <f t="shared" si="9"/>
        <v>253.04040283799762</v>
      </c>
      <c r="G29" s="6">
        <f t="shared" si="10"/>
        <v>411.03329010642494</v>
      </c>
      <c r="H29" s="6">
        <f t="shared" si="11"/>
        <v>178.30990264091449</v>
      </c>
      <c r="I29" s="6">
        <f t="shared" si="12"/>
        <v>209.66044186046511</v>
      </c>
      <c r="J29" s="6">
        <f t="shared" si="13"/>
        <v>416.0941974773354</v>
      </c>
      <c r="K29" s="6">
        <f t="shared" si="14"/>
        <v>4426.4963464722114</v>
      </c>
    </row>
    <row r="30" spans="1:12" x14ac:dyDescent="0.2">
      <c r="A30" s="6" t="s">
        <v>77</v>
      </c>
      <c r="B30" s="6">
        <f t="shared" si="6"/>
        <v>14951</v>
      </c>
      <c r="C30" s="6">
        <f t="shared" si="15"/>
        <v>2550.343407129958</v>
      </c>
      <c r="D30" s="6">
        <f t="shared" si="7"/>
        <v>239.51250284261923</v>
      </c>
      <c r="E30" s="6">
        <f t="shared" si="8"/>
        <v>228.27323657280451</v>
      </c>
      <c r="F30" s="6">
        <f t="shared" si="9"/>
        <v>246.16943615811653</v>
      </c>
      <c r="G30" s="6">
        <f t="shared" si="10"/>
        <v>421.4131770450137</v>
      </c>
      <c r="H30" s="6">
        <f t="shared" si="11"/>
        <v>224.93253695404988</v>
      </c>
      <c r="I30" s="6">
        <f t="shared" si="12"/>
        <v>254.84146478496424</v>
      </c>
      <c r="J30" s="6">
        <f t="shared" si="13"/>
        <v>308.02272824560225</v>
      </c>
      <c r="K30" s="6">
        <f t="shared" si="14"/>
        <v>4473.508489733128</v>
      </c>
    </row>
    <row r="31" spans="1:12" x14ac:dyDescent="0.2">
      <c r="A31" s="6" t="s">
        <v>78</v>
      </c>
      <c r="B31" s="6">
        <f t="shared" si="6"/>
        <v>16667</v>
      </c>
      <c r="C31" s="6">
        <f t="shared" si="15"/>
        <v>2630.9642323153535</v>
      </c>
      <c r="D31" s="6">
        <f t="shared" si="7"/>
        <v>214.07473630527389</v>
      </c>
      <c r="E31" s="6">
        <f t="shared" si="8"/>
        <v>351.09991120177597</v>
      </c>
      <c r="F31" s="6">
        <f t="shared" si="9"/>
        <v>234.00241975160498</v>
      </c>
      <c r="G31" s="6">
        <f t="shared" si="10"/>
        <v>463.2408021839563</v>
      </c>
      <c r="H31" s="6">
        <f t="shared" si="11"/>
        <v>262.97852402951941</v>
      </c>
      <c r="I31" s="6">
        <f t="shared" si="12"/>
        <v>342.62360052798942</v>
      </c>
      <c r="J31" s="6">
        <f t="shared" si="13"/>
        <v>270.19177776444474</v>
      </c>
      <c r="K31" s="6">
        <f t="shared" si="14"/>
        <v>4769.176004079919</v>
      </c>
    </row>
    <row r="32" spans="1:12" x14ac:dyDescent="0.2">
      <c r="A32" s="6" t="s">
        <v>79</v>
      </c>
      <c r="B32" s="6">
        <f t="shared" si="6"/>
        <v>8429</v>
      </c>
      <c r="C32" s="6">
        <f t="shared" si="15"/>
        <v>2935.9751310950292</v>
      </c>
      <c r="D32" s="6">
        <f t="shared" si="7"/>
        <v>153.56447858583462</v>
      </c>
      <c r="E32" s="6">
        <f t="shared" si="8"/>
        <v>516.48793688456522</v>
      </c>
      <c r="F32" s="6">
        <f t="shared" si="9"/>
        <v>133.7880412860363</v>
      </c>
      <c r="G32" s="6">
        <f t="shared" si="10"/>
        <v>589.36164195040931</v>
      </c>
      <c r="H32" s="6">
        <f t="shared" si="11"/>
        <v>432.14052912563767</v>
      </c>
      <c r="I32" s="6">
        <f t="shared" si="12"/>
        <v>375.64635781231459</v>
      </c>
      <c r="J32" s="6">
        <f t="shared" si="13"/>
        <v>355.79605291256377</v>
      </c>
      <c r="K32" s="6">
        <f t="shared" si="14"/>
        <v>5492.7601696523907</v>
      </c>
    </row>
    <row r="33" spans="1:11" x14ac:dyDescent="0.2">
      <c r="A33" s="6" t="s">
        <v>80</v>
      </c>
      <c r="B33" s="6">
        <f t="shared" si="6"/>
        <v>2116</v>
      </c>
      <c r="C33" s="6">
        <f t="shared" si="15"/>
        <v>2437.7591682419661</v>
      </c>
      <c r="D33" s="6">
        <f t="shared" si="7"/>
        <v>83.003379017013231</v>
      </c>
      <c r="E33" s="6">
        <f t="shared" si="8"/>
        <v>393.22967391304348</v>
      </c>
      <c r="F33" s="6">
        <f t="shared" si="9"/>
        <v>44.219919659735353</v>
      </c>
      <c r="G33" s="6">
        <f t="shared" si="10"/>
        <v>563.53946597353502</v>
      </c>
      <c r="H33" s="6">
        <f t="shared" si="11"/>
        <v>389.44455576559551</v>
      </c>
      <c r="I33" s="6">
        <f t="shared" si="12"/>
        <v>118.31363894139886</v>
      </c>
      <c r="J33" s="6">
        <f t="shared" si="13"/>
        <v>85.693345935727791</v>
      </c>
      <c r="K33" s="6">
        <f t="shared" si="14"/>
        <v>4115.2031474480145</v>
      </c>
    </row>
    <row r="34" spans="1:11" ht="13.5" thickBot="1" x14ac:dyDescent="0.25">
      <c r="A34" s="8" t="s">
        <v>219</v>
      </c>
      <c r="B34" s="8">
        <f>SUM(B28:B33)</f>
        <v>105576</v>
      </c>
      <c r="C34" s="8">
        <f t="shared" si="15"/>
        <v>2575.7313609153593</v>
      </c>
      <c r="D34" s="8">
        <f t="shared" si="7"/>
        <v>271.40410112146697</v>
      </c>
      <c r="E34" s="8">
        <f t="shared" si="8"/>
        <v>237.2187107865424</v>
      </c>
      <c r="F34" s="8">
        <f t="shared" si="9"/>
        <v>231.18113169659767</v>
      </c>
      <c r="G34" s="8">
        <f t="shared" si="10"/>
        <v>452.15024835189814</v>
      </c>
      <c r="H34" s="8">
        <f t="shared" si="11"/>
        <v>210.39223327271347</v>
      </c>
      <c r="I34" s="8">
        <f t="shared" si="12"/>
        <v>221.71986748882318</v>
      </c>
      <c r="J34" s="8">
        <f t="shared" si="13"/>
        <v>265.02738387512312</v>
      </c>
      <c r="K34" s="8">
        <f t="shared" si="14"/>
        <v>4464.8250375085236</v>
      </c>
    </row>
    <row r="35" spans="1:11" ht="13.5" thickTop="1" x14ac:dyDescent="0.2">
      <c r="A35" s="6"/>
      <c r="B35" s="6"/>
      <c r="C35" s="6"/>
      <c r="D35" s="6"/>
      <c r="E35" s="6"/>
      <c r="F35" s="6"/>
      <c r="G35" s="6"/>
      <c r="H35" s="6"/>
      <c r="I35" s="6"/>
      <c r="J35" s="6"/>
      <c r="K35" s="6"/>
    </row>
    <row r="36" spans="1:11" x14ac:dyDescent="0.2">
      <c r="A36" s="6" t="s">
        <v>81</v>
      </c>
      <c r="B36" s="6">
        <f>B12</f>
        <v>18590</v>
      </c>
      <c r="C36" s="6">
        <f t="shared" si="15"/>
        <v>3126.1767579343732</v>
      </c>
      <c r="D36" s="6">
        <f t="shared" ref="D36:D41" si="16">D12/B36</f>
        <v>423.08956266810111</v>
      </c>
      <c r="E36" s="6">
        <f t="shared" ref="E36:E41" si="17">E12/B36</f>
        <v>257.57240398063476</v>
      </c>
      <c r="F36" s="6">
        <f t="shared" ref="F36:F41" si="18">F12/B36</f>
        <v>253.55145454545456</v>
      </c>
      <c r="G36" s="6">
        <f t="shared" ref="G36:G41" si="19">G12/B36</f>
        <v>559.87602743410434</v>
      </c>
      <c r="H36" s="6">
        <f t="shared" ref="H36:H41" si="20">H12/B36</f>
        <v>169.42406777837547</v>
      </c>
      <c r="I36" s="6">
        <f t="shared" ref="I36:I41" si="21">I12/B36</f>
        <v>424.8575449166218</v>
      </c>
      <c r="J36" s="6">
        <f t="shared" ref="J36:J41" si="22">J12/B36</f>
        <v>412.30230231307155</v>
      </c>
      <c r="K36" s="6">
        <f t="shared" ref="K36:K41" si="23">SUM(C36:J36)</f>
        <v>5626.8501215707374</v>
      </c>
    </row>
    <row r="37" spans="1:11" x14ac:dyDescent="0.2">
      <c r="A37" s="6" t="s">
        <v>82</v>
      </c>
      <c r="B37" s="6">
        <f>B13</f>
        <v>8329</v>
      </c>
      <c r="C37" s="6">
        <f t="shared" si="15"/>
        <v>2674.6745227518313</v>
      </c>
      <c r="D37" s="6">
        <f t="shared" si="16"/>
        <v>363.36954856525398</v>
      </c>
      <c r="E37" s="6">
        <f t="shared" si="17"/>
        <v>280.36816184415898</v>
      </c>
      <c r="F37" s="6">
        <f t="shared" si="18"/>
        <v>349.3934157762036</v>
      </c>
      <c r="G37" s="6">
        <f t="shared" si="19"/>
        <v>607.68094128947052</v>
      </c>
      <c r="H37" s="6">
        <f t="shared" si="20"/>
        <v>316.0817625165086</v>
      </c>
      <c r="I37" s="6">
        <f t="shared" si="21"/>
        <v>505.89480970104455</v>
      </c>
      <c r="J37" s="6">
        <f t="shared" si="22"/>
        <v>461.27726737903708</v>
      </c>
      <c r="K37" s="6">
        <f t="shared" si="23"/>
        <v>5558.7404298235078</v>
      </c>
    </row>
    <row r="38" spans="1:11" x14ac:dyDescent="0.2">
      <c r="A38" s="6" t="s">
        <v>83</v>
      </c>
      <c r="B38" s="6">
        <f>B14</f>
        <v>5258</v>
      </c>
      <c r="C38" s="6">
        <f t="shared" si="15"/>
        <v>2970.4063731456831</v>
      </c>
      <c r="D38" s="6">
        <f t="shared" si="16"/>
        <v>349.42255039939141</v>
      </c>
      <c r="E38" s="6">
        <f t="shared" si="17"/>
        <v>366.31629897299354</v>
      </c>
      <c r="F38" s="6">
        <f t="shared" si="18"/>
        <v>368.33462152909851</v>
      </c>
      <c r="G38" s="6">
        <f t="shared" si="19"/>
        <v>689.51065233929251</v>
      </c>
      <c r="H38" s="6">
        <f t="shared" si="20"/>
        <v>372.88572080639028</v>
      </c>
      <c r="I38" s="6">
        <f t="shared" si="21"/>
        <v>655.9363959680486</v>
      </c>
      <c r="J38" s="6">
        <f t="shared" si="22"/>
        <v>721.233552681628</v>
      </c>
      <c r="K38" s="6">
        <f t="shared" si="23"/>
        <v>6494.0461658425256</v>
      </c>
    </row>
    <row r="39" spans="1:11" x14ac:dyDescent="0.2">
      <c r="A39" s="6" t="s">
        <v>84</v>
      </c>
      <c r="B39" s="6">
        <f>B15</f>
        <v>7072</v>
      </c>
      <c r="C39" s="6">
        <f t="shared" si="15"/>
        <v>3384.7861128393665</v>
      </c>
      <c r="D39" s="6">
        <f t="shared" si="16"/>
        <v>301.39817449095023</v>
      </c>
      <c r="E39" s="6">
        <f t="shared" si="17"/>
        <v>520.43602516968326</v>
      </c>
      <c r="F39" s="6">
        <f t="shared" si="18"/>
        <v>382.49072256787332</v>
      </c>
      <c r="G39" s="6">
        <f t="shared" si="19"/>
        <v>867.59140837104076</v>
      </c>
      <c r="H39" s="6">
        <f t="shared" si="20"/>
        <v>531.88209983031675</v>
      </c>
      <c r="I39" s="6">
        <f t="shared" si="21"/>
        <v>726.65821973981895</v>
      </c>
      <c r="J39" s="6">
        <f t="shared" si="22"/>
        <v>352.49128959276015</v>
      </c>
      <c r="K39" s="6">
        <f t="shared" si="23"/>
        <v>7067.7340526018106</v>
      </c>
    </row>
    <row r="40" spans="1:11" x14ac:dyDescent="0.2">
      <c r="A40" s="6" t="s">
        <v>85</v>
      </c>
      <c r="B40" s="6">
        <f>B16</f>
        <v>3145</v>
      </c>
      <c r="C40" s="6">
        <f t="shared" si="15"/>
        <v>4886.5767027027032</v>
      </c>
      <c r="D40" s="6">
        <f t="shared" si="16"/>
        <v>422.26483624801267</v>
      </c>
      <c r="E40" s="6">
        <f t="shared" si="17"/>
        <v>1168.4636375198729</v>
      </c>
      <c r="F40" s="6">
        <f t="shared" si="18"/>
        <v>359.8773036565978</v>
      </c>
      <c r="G40" s="6">
        <f t="shared" si="19"/>
        <v>1320.6200381558028</v>
      </c>
      <c r="H40" s="6">
        <f t="shared" si="20"/>
        <v>783.85422257551659</v>
      </c>
      <c r="I40" s="6">
        <f t="shared" si="21"/>
        <v>1071.2601049284578</v>
      </c>
      <c r="J40" s="6">
        <f t="shared" si="22"/>
        <v>604.17369157392682</v>
      </c>
      <c r="K40" s="6">
        <f t="shared" si="23"/>
        <v>10617.090537360893</v>
      </c>
    </row>
    <row r="41" spans="1:11" ht="13.5" thickBot="1" x14ac:dyDescent="0.25">
      <c r="A41" s="8" t="s">
        <v>220</v>
      </c>
      <c r="B41" s="8">
        <f>SUM(B36:B40)</f>
        <v>42394</v>
      </c>
      <c r="C41" s="8">
        <f t="shared" si="15"/>
        <v>3191.8874807755819</v>
      </c>
      <c r="D41" s="8">
        <f t="shared" si="16"/>
        <v>381.85862409774967</v>
      </c>
      <c r="E41" s="8">
        <f t="shared" si="17"/>
        <v>386.96254705854602</v>
      </c>
      <c r="F41" s="8">
        <f t="shared" si="18"/>
        <v>316.01432396093787</v>
      </c>
      <c r="G41" s="8">
        <f t="shared" si="19"/>
        <v>693.11396376845789</v>
      </c>
      <c r="H41" s="8">
        <f t="shared" si="20"/>
        <v>329.51746190498653</v>
      </c>
      <c r="I41" s="8">
        <f t="shared" si="21"/>
        <v>567.73725432844276</v>
      </c>
      <c r="J41" s="8">
        <f t="shared" si="22"/>
        <v>464.49659951879983</v>
      </c>
      <c r="K41" s="8">
        <f t="shared" si="23"/>
        <v>6331.5882554135023</v>
      </c>
    </row>
    <row r="42" spans="1:11" ht="13.5" thickTop="1" x14ac:dyDescent="0.2">
      <c r="A42" s="6"/>
      <c r="B42" s="6"/>
      <c r="C42" s="6"/>
      <c r="D42" s="6"/>
      <c r="E42" s="6"/>
      <c r="F42" s="6"/>
      <c r="G42" s="6"/>
      <c r="H42" s="6"/>
      <c r="I42" s="6"/>
      <c r="J42" s="6"/>
      <c r="K42" s="6"/>
    </row>
    <row r="43" spans="1:11" x14ac:dyDescent="0.2">
      <c r="A43" s="6" t="s">
        <v>86</v>
      </c>
      <c r="B43" s="6"/>
      <c r="C43" s="6"/>
      <c r="D43" s="6"/>
      <c r="E43" s="6"/>
      <c r="F43" s="6"/>
      <c r="G43" s="6"/>
      <c r="H43" s="6"/>
      <c r="I43" s="6"/>
      <c r="J43" s="6"/>
      <c r="K43" s="6"/>
    </row>
    <row r="44" spans="1:11" x14ac:dyDescent="0.2">
      <c r="A44" s="7" t="s">
        <v>87</v>
      </c>
      <c r="B44" s="6"/>
      <c r="C44" s="6"/>
      <c r="D44" s="6"/>
      <c r="E44" s="6"/>
      <c r="F44" s="6"/>
      <c r="G44" s="6"/>
      <c r="H44" s="6"/>
      <c r="I44" s="6"/>
      <c r="J44" s="6"/>
      <c r="K44" s="6"/>
    </row>
    <row r="45" spans="1:11" ht="13.5" thickBot="1" x14ac:dyDescent="0.25">
      <c r="A45" s="8" t="s">
        <v>221</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26" t="s">
        <v>222</v>
      </c>
      <c r="B47" s="126">
        <f>B34+B41+B45</f>
        <v>147970</v>
      </c>
      <c r="C47" s="126">
        <f>C23/$B$47</f>
        <v>2752.2625668716632</v>
      </c>
      <c r="D47" s="126">
        <f t="shared" ref="D47:J47" si="24">D23/$B$47</f>
        <v>303.04976610123668</v>
      </c>
      <c r="E47" s="126">
        <f t="shared" si="24"/>
        <v>280.12092201121845</v>
      </c>
      <c r="F47" s="126">
        <f t="shared" si="24"/>
        <v>255.48618240183819</v>
      </c>
      <c r="G47" s="126">
        <f t="shared" si="24"/>
        <v>521.18732175440971</v>
      </c>
      <c r="H47" s="126">
        <f t="shared" si="24"/>
        <v>244.52209028857197</v>
      </c>
      <c r="I47" s="126">
        <f t="shared" si="24"/>
        <v>320.85524018382102</v>
      </c>
      <c r="J47" s="126">
        <f t="shared" si="24"/>
        <v>322.17611623977837</v>
      </c>
      <c r="K47" s="8">
        <f>SUM(C47:J47)</f>
        <v>4999.6602058525368</v>
      </c>
    </row>
    <row r="48" spans="1:11" x14ac:dyDescent="0.2">
      <c r="A48" s="6"/>
      <c r="B48" s="6"/>
      <c r="C48" s="6"/>
      <c r="D48" s="6"/>
      <c r="E48" s="6"/>
      <c r="F48" s="6"/>
      <c r="G48" s="6"/>
      <c r="H48" s="6"/>
      <c r="I48" s="6"/>
      <c r="J48" s="6"/>
      <c r="K48" s="6"/>
    </row>
    <row r="49" spans="1:11" x14ac:dyDescent="0.2">
      <c r="A49" s="36" t="s">
        <v>247</v>
      </c>
      <c r="B49" s="6"/>
      <c r="C49" s="6"/>
      <c r="D49" s="6"/>
      <c r="E49" s="6"/>
      <c r="F49" s="6"/>
      <c r="G49" s="6"/>
      <c r="H49" s="6"/>
      <c r="I49" s="6"/>
      <c r="J49" s="6"/>
      <c r="K49" s="6"/>
    </row>
    <row r="50" spans="1:11" x14ac:dyDescent="0.2">
      <c r="A50" s="22" t="s">
        <v>318</v>
      </c>
      <c r="B50" s="6"/>
      <c r="C50" s="6"/>
      <c r="D50" s="6"/>
      <c r="E50" s="6"/>
      <c r="F50" s="6"/>
      <c r="G50" s="6"/>
      <c r="H50" s="6"/>
      <c r="I50" s="6"/>
      <c r="J50" s="6"/>
      <c r="K50" s="6"/>
    </row>
    <row r="51" spans="1:11" ht="33.75" x14ac:dyDescent="0.2">
      <c r="A51" s="155" t="s">
        <v>245</v>
      </c>
      <c r="B51" s="156"/>
      <c r="C51" s="141" t="s">
        <v>320</v>
      </c>
      <c r="D51" s="141" t="s">
        <v>328</v>
      </c>
      <c r="E51" s="141" t="s">
        <v>321</v>
      </c>
      <c r="F51" s="141" t="s">
        <v>322</v>
      </c>
      <c r="G51" s="141" t="s">
        <v>323</v>
      </c>
      <c r="H51" s="141" t="s">
        <v>324</v>
      </c>
      <c r="I51" s="141" t="s">
        <v>325</v>
      </c>
      <c r="J51" s="141" t="s">
        <v>326</v>
      </c>
      <c r="K51" s="141" t="s">
        <v>327</v>
      </c>
    </row>
    <row r="52" spans="1:11" x14ac:dyDescent="0.2">
      <c r="A52" s="6" t="s">
        <v>102</v>
      </c>
      <c r="B52" s="6">
        <f t="shared" ref="B52:B57" si="25">B28</f>
        <v>38043</v>
      </c>
      <c r="C52" s="9">
        <f>C4/$K$4</f>
        <v>0.61725406249574322</v>
      </c>
      <c r="D52" s="9">
        <f t="shared" ref="D52:K52" si="26">D4/$K$4</f>
        <v>8.1408285379261647E-2</v>
      </c>
      <c r="E52" s="9">
        <f t="shared" si="26"/>
        <v>3.4530173641705415E-2</v>
      </c>
      <c r="F52" s="9">
        <f t="shared" si="26"/>
        <v>5.8247566289362104E-2</v>
      </c>
      <c r="G52" s="9">
        <f t="shared" si="26"/>
        <v>0.10860285433727125</v>
      </c>
      <c r="H52" s="9">
        <f t="shared" si="26"/>
        <v>3.4724284979535405E-2</v>
      </c>
      <c r="I52" s="9">
        <f t="shared" si="26"/>
        <v>3.2668824878862503E-2</v>
      </c>
      <c r="J52" s="9">
        <f t="shared" si="26"/>
        <v>3.2563947998258534E-2</v>
      </c>
      <c r="K52" s="9">
        <f t="shared" si="26"/>
        <v>1</v>
      </c>
    </row>
    <row r="53" spans="1:11" x14ac:dyDescent="0.2">
      <c r="A53" s="6" t="s">
        <v>76</v>
      </c>
      <c r="B53" s="6">
        <f t="shared" si="25"/>
        <v>25370</v>
      </c>
      <c r="C53" s="9">
        <f t="shared" ref="C53:K53" si="27">C5/$K$5</f>
        <v>0.55839576141581382</v>
      </c>
      <c r="D53" s="9">
        <f t="shared" si="27"/>
        <v>6.4084085434619964E-2</v>
      </c>
      <c r="E53" s="9">
        <f t="shared" si="27"/>
        <v>4.5849658020116701E-2</v>
      </c>
      <c r="F53" s="9">
        <f t="shared" si="27"/>
        <v>5.7164941080243621E-2</v>
      </c>
      <c r="G53" s="9">
        <f t="shared" si="27"/>
        <v>9.2857478677014271E-2</v>
      </c>
      <c r="H53" s="9">
        <f t="shared" si="27"/>
        <v>4.0282401403769888E-2</v>
      </c>
      <c r="I53" s="9">
        <f t="shared" si="27"/>
        <v>4.7364874033513749E-2</v>
      </c>
      <c r="J53" s="9">
        <f t="shared" si="27"/>
        <v>9.4000799934907966E-2</v>
      </c>
      <c r="K53" s="9">
        <f t="shared" si="27"/>
        <v>1</v>
      </c>
    </row>
    <row r="54" spans="1:11" x14ac:dyDescent="0.2">
      <c r="A54" s="6" t="s">
        <v>77</v>
      </c>
      <c r="B54" s="6">
        <f t="shared" si="25"/>
        <v>14951</v>
      </c>
      <c r="C54" s="9">
        <f>C6/$K$6</f>
        <v>0.57009915438477254</v>
      </c>
      <c r="D54" s="9">
        <f t="shared" ref="D54:K54" si="28">D6/$K$6</f>
        <v>5.3540191863346069E-2</v>
      </c>
      <c r="E54" s="9">
        <f t="shared" si="28"/>
        <v>5.1027786601210261E-2</v>
      </c>
      <c r="F54" s="9">
        <f t="shared" si="28"/>
        <v>5.5028270701415832E-2</v>
      </c>
      <c r="G54" s="9">
        <f t="shared" si="28"/>
        <v>9.4201939710670687E-2</v>
      </c>
      <c r="H54" s="9">
        <f t="shared" si="28"/>
        <v>5.0281012648188454E-2</v>
      </c>
      <c r="I54" s="9">
        <f t="shared" si="28"/>
        <v>5.696680030223146E-2</v>
      </c>
      <c r="J54" s="9">
        <f t="shared" si="28"/>
        <v>6.8854843788164491E-2</v>
      </c>
      <c r="K54" s="9">
        <f t="shared" si="28"/>
        <v>1</v>
      </c>
    </row>
    <row r="55" spans="1:11" x14ac:dyDescent="0.2">
      <c r="A55" s="6" t="s">
        <v>78</v>
      </c>
      <c r="B55" s="6">
        <f t="shared" si="25"/>
        <v>16667</v>
      </c>
      <c r="C55" s="9">
        <f>C7/$K$7</f>
        <v>0.55166012536853859</v>
      </c>
      <c r="D55" s="9">
        <f t="shared" ref="D55:K55" si="29">D7/$K$7</f>
        <v>4.4887153697439133E-2</v>
      </c>
      <c r="E55" s="9">
        <f t="shared" si="29"/>
        <v>7.3618568679666721E-2</v>
      </c>
      <c r="F55" s="9">
        <f t="shared" si="29"/>
        <v>4.9065586917199408E-2</v>
      </c>
      <c r="G55" s="9">
        <f t="shared" si="29"/>
        <v>9.713225131294477E-2</v>
      </c>
      <c r="H55" s="9">
        <f t="shared" si="29"/>
        <v>5.5141291452558562E-2</v>
      </c>
      <c r="I55" s="9">
        <f t="shared" si="29"/>
        <v>7.1841257323043431E-2</v>
      </c>
      <c r="J55" s="9">
        <f t="shared" si="29"/>
        <v>5.6653765248609406E-2</v>
      </c>
      <c r="K55" s="9">
        <f t="shared" si="29"/>
        <v>1</v>
      </c>
    </row>
    <row r="56" spans="1:11" x14ac:dyDescent="0.2">
      <c r="A56" s="6" t="s">
        <v>79</v>
      </c>
      <c r="B56" s="6">
        <f t="shared" si="25"/>
        <v>8429</v>
      </c>
      <c r="C56" s="9">
        <f>C8/$K$8</f>
        <v>0.53451726279919343</v>
      </c>
      <c r="D56" s="9">
        <f t="shared" ref="D56:K56" si="30">D8/$K$8</f>
        <v>2.7957615814774042E-2</v>
      </c>
      <c r="E56" s="9">
        <f t="shared" si="30"/>
        <v>9.4030673273916343E-2</v>
      </c>
      <c r="F56" s="9">
        <f t="shared" si="30"/>
        <v>2.4357160544750869E-2</v>
      </c>
      <c r="G56" s="9">
        <f t="shared" si="30"/>
        <v>0.10729790191944738</v>
      </c>
      <c r="H56" s="9">
        <f t="shared" si="30"/>
        <v>7.8674567208162974E-2</v>
      </c>
      <c r="I56" s="9">
        <f t="shared" si="30"/>
        <v>6.8389360942385263E-2</v>
      </c>
      <c r="J56" s="9">
        <f t="shared" si="30"/>
        <v>6.4775457497369737E-2</v>
      </c>
      <c r="K56" s="9">
        <f t="shared" si="30"/>
        <v>1</v>
      </c>
    </row>
    <row r="57" spans="1:11" x14ac:dyDescent="0.2">
      <c r="A57" s="6" t="s">
        <v>80</v>
      </c>
      <c r="B57" s="6">
        <f t="shared" si="25"/>
        <v>2116</v>
      </c>
      <c r="C57" s="9">
        <f>C9/$K$9</f>
        <v>0.59237881603820897</v>
      </c>
      <c r="D57" s="9">
        <f t="shared" ref="D57:K57" si="31">D9/$K$9</f>
        <v>2.0169934762148158E-2</v>
      </c>
      <c r="E57" s="9">
        <f t="shared" si="31"/>
        <v>9.5555349231519537E-2</v>
      </c>
      <c r="F57" s="9">
        <f t="shared" si="31"/>
        <v>1.0745501030042152E-2</v>
      </c>
      <c r="G57" s="9">
        <f t="shared" si="31"/>
        <v>0.13694086191662397</v>
      </c>
      <c r="H57" s="9">
        <f t="shared" si="31"/>
        <v>9.4635560338522787E-2</v>
      </c>
      <c r="I57" s="9">
        <f t="shared" si="31"/>
        <v>2.8750376276021609E-2</v>
      </c>
      <c r="J57" s="9">
        <f t="shared" si="31"/>
        <v>2.0823600406912914E-2</v>
      </c>
      <c r="K57" s="9">
        <f t="shared" si="31"/>
        <v>1</v>
      </c>
    </row>
    <row r="58" spans="1:11" ht="13.5" thickBot="1" x14ac:dyDescent="0.25">
      <c r="A58" s="8" t="s">
        <v>219</v>
      </c>
      <c r="B58" s="8">
        <f>SUM(B52:B57)</f>
        <v>105576</v>
      </c>
      <c r="C58" s="11">
        <f>C10/$K$10</f>
        <v>0.57689413118698085</v>
      </c>
      <c r="D58" s="11">
        <f t="shared" ref="D58:K58" si="32">D10/$K$10</f>
        <v>6.078717504973425E-2</v>
      </c>
      <c r="E58" s="11">
        <f t="shared" si="32"/>
        <v>5.3130572596617562E-2</v>
      </c>
      <c r="F58" s="11">
        <f t="shared" si="32"/>
        <v>5.1778318244157247E-2</v>
      </c>
      <c r="G58" s="11">
        <f t="shared" si="32"/>
        <v>0.10126942143385946</v>
      </c>
      <c r="H58" s="11">
        <f t="shared" si="32"/>
        <v>4.7122167499337717E-2</v>
      </c>
      <c r="I58" s="11">
        <f t="shared" si="32"/>
        <v>4.9659251062735485E-2</v>
      </c>
      <c r="J58" s="11">
        <f t="shared" si="32"/>
        <v>5.9358962926577413E-2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18590</v>
      </c>
      <c r="C61" s="9">
        <f>C12/$K$12</f>
        <v>0.5555820202052405</v>
      </c>
      <c r="D61" s="9">
        <f t="shared" ref="D61:K61" si="33">D12/$K$12</f>
        <v>7.5191191079743119E-2</v>
      </c>
      <c r="E61" s="9">
        <f t="shared" si="33"/>
        <v>4.5775593523136766E-2</v>
      </c>
      <c r="F61" s="9">
        <f t="shared" si="33"/>
        <v>4.5060993107574644E-2</v>
      </c>
      <c r="G61" s="9">
        <f t="shared" si="33"/>
        <v>9.9500789133835102E-2</v>
      </c>
      <c r="H61" s="9">
        <f t="shared" si="33"/>
        <v>3.0109930799272946E-2</v>
      </c>
      <c r="I61" s="9">
        <f t="shared" si="33"/>
        <v>7.5505395689839827E-2</v>
      </c>
      <c r="J61" s="9">
        <f t="shared" si="33"/>
        <v>7.3274086461357038E-2</v>
      </c>
      <c r="K61" s="9">
        <f t="shared" si="33"/>
        <v>1</v>
      </c>
    </row>
    <row r="62" spans="1:11" x14ac:dyDescent="0.2">
      <c r="A62" s="6" t="s">
        <v>82</v>
      </c>
      <c r="B62" s="6">
        <f>B13</f>
        <v>8329</v>
      </c>
      <c r="C62" s="9">
        <f>C13/$K$13</f>
        <v>0.48116557276209299</v>
      </c>
      <c r="D62" s="9">
        <f t="shared" ref="D62:K62" si="34">D13/$K$13</f>
        <v>6.5369044148152658E-2</v>
      </c>
      <c r="E62" s="9">
        <f t="shared" si="34"/>
        <v>5.0437354538078467E-2</v>
      </c>
      <c r="F62" s="9">
        <f t="shared" si="34"/>
        <v>6.285478161593111E-2</v>
      </c>
      <c r="G62" s="9">
        <f t="shared" si="34"/>
        <v>0.10931989880822057</v>
      </c>
      <c r="H62" s="9">
        <f t="shared" si="34"/>
        <v>5.6862119486760114E-2</v>
      </c>
      <c r="I62" s="9">
        <f t="shared" si="34"/>
        <v>9.1008892407862779E-2</v>
      </c>
      <c r="J62" s="9">
        <f t="shared" si="34"/>
        <v>8.2982336232901383E-2</v>
      </c>
      <c r="K62" s="9">
        <f t="shared" si="34"/>
        <v>1</v>
      </c>
    </row>
    <row r="63" spans="1:11" x14ac:dyDescent="0.2">
      <c r="A63" s="6" t="s">
        <v>83</v>
      </c>
      <c r="B63" s="6">
        <f>B14</f>
        <v>5258</v>
      </c>
      <c r="C63" s="9">
        <f>C14/$K$14</f>
        <v>0.45740456678141089</v>
      </c>
      <c r="D63" s="9">
        <f t="shared" ref="D63:K63" si="35">D14/$K$14</f>
        <v>5.3806600919668386E-2</v>
      </c>
      <c r="E63" s="9">
        <f t="shared" si="35"/>
        <v>5.6408021997094673E-2</v>
      </c>
      <c r="F63" s="9">
        <f t="shared" si="35"/>
        <v>5.671881784063533E-2</v>
      </c>
      <c r="G63" s="9">
        <f t="shared" si="35"/>
        <v>0.10617581623703111</v>
      </c>
      <c r="H63" s="9">
        <f t="shared" si="35"/>
        <v>5.7419628885254891E-2</v>
      </c>
      <c r="I63" s="9">
        <f t="shared" si="35"/>
        <v>0.10100581043266246</v>
      </c>
      <c r="J63" s="9">
        <f t="shared" si="35"/>
        <v>0.11106073690624224</v>
      </c>
      <c r="K63" s="9">
        <f t="shared" si="35"/>
        <v>1</v>
      </c>
    </row>
    <row r="64" spans="1:11" x14ac:dyDescent="0.2">
      <c r="A64" s="6" t="s">
        <v>84</v>
      </c>
      <c r="B64" s="6">
        <f>B15</f>
        <v>7072</v>
      </c>
      <c r="C64" s="9">
        <f>C15/$K$15</f>
        <v>0.47890683034307752</v>
      </c>
      <c r="D64" s="9">
        <f t="shared" ref="D64:K64" si="36">D15/$K$15</f>
        <v>4.2644243862005257E-2</v>
      </c>
      <c r="E64" s="9">
        <f t="shared" si="36"/>
        <v>7.3635485050275437E-2</v>
      </c>
      <c r="F64" s="9">
        <f t="shared" si="36"/>
        <v>5.4117871402796898E-2</v>
      </c>
      <c r="G64" s="9">
        <f t="shared" si="36"/>
        <v>0.1227538277351648</v>
      </c>
      <c r="H64" s="9">
        <f t="shared" si="36"/>
        <v>7.5254967981501455E-2</v>
      </c>
      <c r="I64" s="9">
        <f t="shared" si="36"/>
        <v>0.10281346388130123</v>
      </c>
      <c r="J64" s="9">
        <f t="shared" si="36"/>
        <v>4.9873309743877429E-2</v>
      </c>
      <c r="K64" s="9">
        <f t="shared" si="36"/>
        <v>1</v>
      </c>
    </row>
    <row r="65" spans="1:11" x14ac:dyDescent="0.2">
      <c r="A65" s="6" t="s">
        <v>85</v>
      </c>
      <c r="B65" s="6">
        <f>B16</f>
        <v>3145</v>
      </c>
      <c r="C65" s="9">
        <f>C16/$K$16</f>
        <v>0.46025572500367573</v>
      </c>
      <c r="D65" s="9">
        <f t="shared" ref="D65:K65" si="37">D16/$K$16</f>
        <v>3.9772180030121111E-2</v>
      </c>
      <c r="E65" s="9">
        <f t="shared" si="37"/>
        <v>0.11005497536336539</v>
      </c>
      <c r="F65" s="9">
        <f t="shared" si="37"/>
        <v>3.38960379390391E-2</v>
      </c>
      <c r="G65" s="9">
        <f t="shared" si="37"/>
        <v>0.12438624626102808</v>
      </c>
      <c r="H65" s="9">
        <f t="shared" si="37"/>
        <v>7.3829475204829575E-2</v>
      </c>
      <c r="I65" s="9">
        <f t="shared" si="37"/>
        <v>0.1008995921395564</v>
      </c>
      <c r="J65" s="9">
        <f t="shared" si="37"/>
        <v>5.6905768058384411E-2</v>
      </c>
      <c r="K65" s="9">
        <f t="shared" si="37"/>
        <v>1</v>
      </c>
    </row>
    <row r="66" spans="1:11" ht="13.5" thickBot="1" x14ac:dyDescent="0.25">
      <c r="A66" s="8" t="s">
        <v>220</v>
      </c>
      <c r="B66" s="8">
        <f>SUM(B61:B65)</f>
        <v>42394</v>
      </c>
      <c r="C66" s="11">
        <f>C17/$K$17</f>
        <v>0.50412113864898289</v>
      </c>
      <c r="D66" s="11">
        <f t="shared" ref="D66:K66" si="38">D17/$K$17</f>
        <v>6.0310084720253385E-2</v>
      </c>
      <c r="E66" s="11">
        <f t="shared" si="38"/>
        <v>6.111618940598252E-2</v>
      </c>
      <c r="F66" s="11">
        <f t="shared" si="38"/>
        <v>4.9910750859509204E-2</v>
      </c>
      <c r="G66" s="11">
        <f t="shared" si="38"/>
        <v>0.1094692099057209</v>
      </c>
      <c r="H66" s="11">
        <f t="shared" si="38"/>
        <v>5.2043412902481365E-2</v>
      </c>
      <c r="I66" s="11">
        <f t="shared" si="38"/>
        <v>8.9667431207806014E-2</v>
      </c>
      <c r="J66" s="11">
        <f t="shared" si="38"/>
        <v>7.3361782349263729E-2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c r="C69" s="9"/>
      <c r="D69" s="9"/>
      <c r="E69" s="9"/>
      <c r="F69" s="9"/>
      <c r="G69" s="9"/>
      <c r="H69" s="9"/>
      <c r="I69" s="9"/>
      <c r="J69" s="9"/>
      <c r="K69" s="9"/>
    </row>
    <row r="70" spans="1:11" x14ac:dyDescent="0.2">
      <c r="A70" s="6" t="s">
        <v>87</v>
      </c>
      <c r="B70" s="6"/>
      <c r="C70" s="9"/>
      <c r="D70" s="9"/>
      <c r="E70" s="9"/>
      <c r="F70" s="9"/>
      <c r="G70" s="9"/>
      <c r="H70" s="9"/>
      <c r="I70" s="9"/>
      <c r="J70" s="9"/>
      <c r="K70" s="9"/>
    </row>
    <row r="71" spans="1:11" ht="13.5" thickBot="1" x14ac:dyDescent="0.25">
      <c r="A71" s="8" t="s">
        <v>221</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26" t="s">
        <v>222</v>
      </c>
      <c r="B73" s="126">
        <f>B58+B66+B71</f>
        <v>147970</v>
      </c>
      <c r="C73" s="127">
        <f>C23/$K$23</f>
        <v>0.55048992402521679</v>
      </c>
      <c r="D73" s="127">
        <f t="shared" ref="D73:K73" si="39">D23/$K$23</f>
        <v>6.0614072481663964E-2</v>
      </c>
      <c r="E73" s="127">
        <f t="shared" si="39"/>
        <v>5.6027991998998765E-2</v>
      </c>
      <c r="F73" s="127">
        <f t="shared" si="39"/>
        <v>5.1100709224752787E-2</v>
      </c>
      <c r="G73" s="127">
        <f t="shared" si="39"/>
        <v>0.10424454868839178</v>
      </c>
      <c r="H73" s="127">
        <f t="shared" si="39"/>
        <v>4.890774177059825E-2</v>
      </c>
      <c r="I73" s="127">
        <f t="shared" si="39"/>
        <v>6.4175409322463961E-2</v>
      </c>
      <c r="J73" s="127">
        <f t="shared" si="39"/>
        <v>6.4439602487913708E-2</v>
      </c>
      <c r="K73" s="127">
        <f t="shared" si="39"/>
        <v>1</v>
      </c>
    </row>
  </sheetData>
  <phoneticPr fontId="7"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5935D-AD10-4333-9554-D36EB695940D}">
  <sheetPr>
    <tabColor rgb="FFFFFF00"/>
  </sheetPr>
  <dimension ref="A1:Q74"/>
  <sheetViews>
    <sheetView zoomScaleNormal="100" workbookViewId="0">
      <selection activeCell="H14" sqref="H14"/>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1417</v>
      </c>
      <c r="D1" s="22"/>
      <c r="E1" s="22"/>
      <c r="F1" s="22"/>
      <c r="G1" s="22"/>
      <c r="H1" s="22"/>
    </row>
    <row r="2" spans="1:17" x14ac:dyDescent="0.2">
      <c r="A2" s="22" t="s">
        <v>1212</v>
      </c>
    </row>
    <row r="3" spans="1:17" ht="34.5" x14ac:dyDescent="0.25">
      <c r="A3" s="22" t="s">
        <v>245</v>
      </c>
      <c r="B3" s="202" t="str">
        <f>"ANB"&amp;RIGHT(C1,2)</f>
        <v>ANB23</v>
      </c>
      <c r="C3" s="172" t="str">
        <f>RIGHT(C1,2)&amp;"/Pupil Salaries &amp; Benefits"</f>
        <v>23/Pupil Salaries &amp; Benefits</v>
      </c>
      <c r="D3" s="172" t="str">
        <f>RIGHT(C1,2)&amp;"/Pupil Purchased Services"</f>
        <v>23/Pupil Purchased Services</v>
      </c>
      <c r="E3" s="172" t="str">
        <f>RIGHT(C1,2)&amp;"/Pupil Supplies"</f>
        <v>23/Pupil Supplies</v>
      </c>
      <c r="F3" s="172" t="str">
        <f>RIGHT(C1,2)&amp;"/Pupil Capital Outlay"</f>
        <v>23/Pupil Capital Outlay</v>
      </c>
      <c r="G3" s="172" t="str">
        <f>RIGHT(C1,2)&amp;"/Pupil Other"</f>
        <v>23/Pupil Other</v>
      </c>
      <c r="H3" s="172" t="str">
        <f>RIGHT(C1,2)&amp;"/Pupil Total Expenditures"</f>
        <v>23/Pupil Total Expenditures</v>
      </c>
      <c r="K3" s="247"/>
      <c r="L3" s="247"/>
      <c r="M3" s="247"/>
      <c r="N3" s="247"/>
      <c r="O3" s="247"/>
      <c r="P3" s="247"/>
      <c r="Q3" s="247"/>
    </row>
    <row r="4" spans="1:17" ht="15" x14ac:dyDescent="0.25">
      <c r="A4" s="182" t="s">
        <v>102</v>
      </c>
      <c r="B4" s="214">
        <v>41244</v>
      </c>
      <c r="C4" s="214">
        <v>388844119.79999995</v>
      </c>
      <c r="D4" s="214">
        <v>56799872.339999996</v>
      </c>
      <c r="E4" s="214">
        <v>29211598.779999997</v>
      </c>
      <c r="F4" s="214">
        <v>12683602.650000002</v>
      </c>
      <c r="G4" s="214">
        <v>37062773.099999994</v>
      </c>
      <c r="H4" s="214">
        <f t="shared" ref="H4:H9" si="0">SUM(C4:G4)</f>
        <v>524601966.66999984</v>
      </c>
      <c r="K4" s="294"/>
      <c r="L4" s="293"/>
      <c r="M4" s="293"/>
      <c r="N4" s="293"/>
      <c r="O4" s="293"/>
      <c r="P4" s="293"/>
      <c r="Q4" s="293"/>
    </row>
    <row r="5" spans="1:17" ht="15" x14ac:dyDescent="0.25">
      <c r="A5" s="33" t="s">
        <v>76</v>
      </c>
      <c r="B5" s="214">
        <v>16500</v>
      </c>
      <c r="C5" s="214">
        <v>165225419.63</v>
      </c>
      <c r="D5" s="214">
        <v>23061152.509999998</v>
      </c>
      <c r="E5" s="214">
        <v>20393988.239999995</v>
      </c>
      <c r="F5" s="214">
        <v>18626019.09</v>
      </c>
      <c r="G5" s="214">
        <v>15222820.34</v>
      </c>
      <c r="H5" s="214">
        <f t="shared" si="0"/>
        <v>242529399.81</v>
      </c>
      <c r="K5" s="294"/>
      <c r="L5" s="293"/>
      <c r="M5" s="293"/>
      <c r="N5" s="293"/>
      <c r="O5" s="293"/>
      <c r="P5" s="293"/>
      <c r="Q5" s="293"/>
    </row>
    <row r="6" spans="1:17" ht="15" x14ac:dyDescent="0.25">
      <c r="A6" s="33" t="s">
        <v>77</v>
      </c>
      <c r="B6" s="214">
        <v>17268</v>
      </c>
      <c r="C6" s="214">
        <v>164166434.80999997</v>
      </c>
      <c r="D6" s="214">
        <v>23433258.979999997</v>
      </c>
      <c r="E6" s="214">
        <v>21457203.599999998</v>
      </c>
      <c r="F6" s="214">
        <v>16724441.960000001</v>
      </c>
      <c r="G6" s="214">
        <v>12701579.049999999</v>
      </c>
      <c r="H6" s="214">
        <f t="shared" si="0"/>
        <v>238482918.39999998</v>
      </c>
      <c r="K6" s="294"/>
      <c r="L6" s="293"/>
      <c r="M6" s="293"/>
      <c r="N6" s="293"/>
      <c r="O6" s="293"/>
      <c r="P6" s="293"/>
      <c r="Q6" s="293"/>
    </row>
    <row r="7" spans="1:17" ht="15" x14ac:dyDescent="0.25">
      <c r="A7" s="33" t="s">
        <v>78</v>
      </c>
      <c r="B7" s="214">
        <v>12117</v>
      </c>
      <c r="C7" s="214">
        <v>115833445.96000001</v>
      </c>
      <c r="D7" s="214">
        <v>20998109.120000001</v>
      </c>
      <c r="E7" s="214">
        <v>20357021.509999998</v>
      </c>
      <c r="F7" s="214">
        <v>13460913.080000002</v>
      </c>
      <c r="G7" s="214">
        <v>2924769.23</v>
      </c>
      <c r="H7" s="214">
        <f t="shared" si="0"/>
        <v>173574258.90000001</v>
      </c>
      <c r="K7" s="294"/>
      <c r="L7" s="293"/>
      <c r="M7" s="293"/>
      <c r="N7" s="293"/>
      <c r="O7" s="293"/>
      <c r="P7" s="293"/>
      <c r="Q7" s="293"/>
    </row>
    <row r="8" spans="1:17" ht="15" x14ac:dyDescent="0.25">
      <c r="A8" s="33" t="s">
        <v>79</v>
      </c>
      <c r="B8" s="214">
        <v>4860</v>
      </c>
      <c r="C8" s="214">
        <v>58295360.709999993</v>
      </c>
      <c r="D8" s="214">
        <v>14090298.65</v>
      </c>
      <c r="E8" s="214">
        <v>9874923.0100000016</v>
      </c>
      <c r="F8" s="214">
        <v>7942194.209999999</v>
      </c>
      <c r="G8" s="214">
        <v>1269389.4100000004</v>
      </c>
      <c r="H8" s="214">
        <f t="shared" si="0"/>
        <v>91472165.989999995</v>
      </c>
      <c r="K8" s="294"/>
      <c r="L8" s="293"/>
      <c r="M8" s="293"/>
      <c r="N8" s="293"/>
      <c r="O8" s="293"/>
      <c r="P8" s="293"/>
      <c r="Q8" s="293"/>
    </row>
    <row r="9" spans="1:17" ht="15" x14ac:dyDescent="0.25">
      <c r="A9" s="33" t="s">
        <v>80</v>
      </c>
      <c r="B9" s="220">
        <v>1438</v>
      </c>
      <c r="C9" s="220">
        <v>16512932.569999995</v>
      </c>
      <c r="D9" s="220">
        <v>4716090.3600000013</v>
      </c>
      <c r="E9" s="220">
        <v>3565370.8499999996</v>
      </c>
      <c r="F9" s="220">
        <v>2537352.9499999997</v>
      </c>
      <c r="G9" s="220">
        <v>9718.14</v>
      </c>
      <c r="H9" s="220">
        <f t="shared" si="0"/>
        <v>27341464.869999994</v>
      </c>
      <c r="K9" s="294"/>
      <c r="L9" s="293"/>
      <c r="M9" s="293"/>
      <c r="N9" s="293"/>
      <c r="O9" s="293"/>
      <c r="P9" s="293"/>
      <c r="Q9" s="293"/>
    </row>
    <row r="10" spans="1:17" x14ac:dyDescent="0.2">
      <c r="A10" s="33" t="s">
        <v>103</v>
      </c>
      <c r="B10" s="221">
        <f t="shared" ref="B10:H10" si="1">SUM(B4:B9)</f>
        <v>93427</v>
      </c>
      <c r="C10" s="221">
        <f t="shared" si="1"/>
        <v>908877713.48000002</v>
      </c>
      <c r="D10" s="221">
        <f t="shared" si="1"/>
        <v>143098781.96000001</v>
      </c>
      <c r="E10" s="221">
        <f t="shared" si="1"/>
        <v>104860105.98999999</v>
      </c>
      <c r="F10" s="221">
        <f t="shared" si="1"/>
        <v>71974523.939999998</v>
      </c>
      <c r="G10" s="221">
        <f t="shared" si="1"/>
        <v>69191049.269999996</v>
      </c>
      <c r="H10" s="214">
        <f t="shared" si="1"/>
        <v>1298002174.6399996</v>
      </c>
    </row>
    <row r="11" spans="1:17" x14ac:dyDescent="0.2">
      <c r="A11" s="33"/>
      <c r="B11" s="182"/>
      <c r="C11" s="221"/>
      <c r="D11" s="221"/>
      <c r="E11" s="221"/>
      <c r="F11" s="221"/>
      <c r="G11" s="221"/>
      <c r="H11" s="214"/>
    </row>
    <row r="12" spans="1:17" ht="15" x14ac:dyDescent="0.25">
      <c r="A12" s="33" t="s">
        <v>81</v>
      </c>
      <c r="B12" s="214">
        <v>22534</v>
      </c>
      <c r="C12" s="214">
        <v>206192126.59999999</v>
      </c>
      <c r="D12" s="214">
        <v>38471249.979999997</v>
      </c>
      <c r="E12" s="214">
        <v>19482191.210000001</v>
      </c>
      <c r="F12" s="214">
        <v>13220265.549999999</v>
      </c>
      <c r="G12" s="214">
        <v>27396516.539999999</v>
      </c>
      <c r="H12" s="214">
        <f>SUM(C12:G12)</f>
        <v>304762349.88</v>
      </c>
      <c r="K12" s="294"/>
      <c r="L12" s="293"/>
      <c r="M12" s="293"/>
      <c r="N12" s="293"/>
      <c r="O12" s="293"/>
      <c r="P12" s="293"/>
      <c r="Q12" s="293"/>
    </row>
    <row r="13" spans="1:17" ht="15" x14ac:dyDescent="0.25">
      <c r="A13" s="33" t="s">
        <v>82</v>
      </c>
      <c r="B13" s="214">
        <v>6468</v>
      </c>
      <c r="C13" s="214">
        <v>62960643.769999996</v>
      </c>
      <c r="D13" s="214">
        <v>9047533.5499999989</v>
      </c>
      <c r="E13" s="214">
        <v>9110920.0799999982</v>
      </c>
      <c r="F13" s="214">
        <v>5312100.17</v>
      </c>
      <c r="G13" s="214">
        <v>6344643.8999999994</v>
      </c>
      <c r="H13" s="214">
        <f>SUM(C13:G13)</f>
        <v>92775841.469999999</v>
      </c>
      <c r="K13" s="294"/>
      <c r="L13" s="293"/>
      <c r="M13" s="293"/>
      <c r="N13" s="293"/>
      <c r="O13" s="293"/>
      <c r="P13" s="293"/>
      <c r="Q13" s="293"/>
    </row>
    <row r="14" spans="1:17" ht="15" x14ac:dyDescent="0.25">
      <c r="A14" s="33" t="s">
        <v>83</v>
      </c>
      <c r="B14" s="214">
        <v>5072</v>
      </c>
      <c r="C14" s="214">
        <v>50827147.730000004</v>
      </c>
      <c r="D14" s="214">
        <v>10218944.289999999</v>
      </c>
      <c r="E14" s="214">
        <v>6899281.540000001</v>
      </c>
      <c r="F14" s="214">
        <v>2640514.1799999997</v>
      </c>
      <c r="G14" s="214">
        <v>6629304.8399999999</v>
      </c>
      <c r="H14" s="214">
        <f>SUM(C14:G14)</f>
        <v>77215192.580000013</v>
      </c>
      <c r="K14" s="294"/>
      <c r="L14" s="293"/>
      <c r="M14" s="293"/>
      <c r="N14" s="293"/>
      <c r="O14" s="293"/>
      <c r="P14" s="293"/>
      <c r="Q14" s="293"/>
    </row>
    <row r="15" spans="1:17" ht="15" x14ac:dyDescent="0.25">
      <c r="A15" s="33" t="s">
        <v>84</v>
      </c>
      <c r="B15" s="214">
        <v>3747</v>
      </c>
      <c r="C15" s="214">
        <v>47714233.020000003</v>
      </c>
      <c r="D15" s="214">
        <v>11634935.889999999</v>
      </c>
      <c r="E15" s="214">
        <v>8969217.7799999993</v>
      </c>
      <c r="F15" s="214">
        <v>3856129.0300000003</v>
      </c>
      <c r="G15" s="214">
        <v>1913620.7800000003</v>
      </c>
      <c r="H15" s="214">
        <f>SUM(C15:G15)</f>
        <v>74088136.5</v>
      </c>
      <c r="K15" s="294"/>
      <c r="L15" s="293"/>
      <c r="M15" s="293"/>
      <c r="N15" s="293"/>
      <c r="O15" s="293"/>
      <c r="P15" s="293"/>
      <c r="Q15" s="293"/>
    </row>
    <row r="16" spans="1:17" ht="15" x14ac:dyDescent="0.25">
      <c r="A16" s="33" t="s">
        <v>85</v>
      </c>
      <c r="B16" s="220">
        <v>1464</v>
      </c>
      <c r="C16" s="220">
        <v>25944728.680000003</v>
      </c>
      <c r="D16" s="220">
        <v>7887163.3199999994</v>
      </c>
      <c r="E16" s="220">
        <v>4737691.22</v>
      </c>
      <c r="F16" s="220">
        <v>2040357.0800000003</v>
      </c>
      <c r="G16" s="220">
        <v>360208.9</v>
      </c>
      <c r="H16" s="220">
        <f>SUM(C16:G16)</f>
        <v>40970149.199999996</v>
      </c>
      <c r="K16" s="294"/>
      <c r="L16" s="293"/>
      <c r="M16" s="293"/>
      <c r="N16" s="293"/>
      <c r="O16" s="293"/>
      <c r="P16" s="293"/>
      <c r="Q16" s="293"/>
    </row>
    <row r="17" spans="1:17" x14ac:dyDescent="0.2">
      <c r="A17" s="33" t="s">
        <v>104</v>
      </c>
      <c r="B17" s="221">
        <f t="shared" ref="B17:H17" si="2">SUM(B12:B16)</f>
        <v>39285</v>
      </c>
      <c r="C17" s="221">
        <f t="shared" si="2"/>
        <v>393638879.80000001</v>
      </c>
      <c r="D17" s="221">
        <f t="shared" si="2"/>
        <v>77259827.029999986</v>
      </c>
      <c r="E17" s="221">
        <f t="shared" si="2"/>
        <v>49199301.829999998</v>
      </c>
      <c r="F17" s="221">
        <f t="shared" si="2"/>
        <v>27069366.010000002</v>
      </c>
      <c r="G17" s="221">
        <f t="shared" si="2"/>
        <v>42644294.960000001</v>
      </c>
      <c r="H17" s="221">
        <f t="shared" si="2"/>
        <v>589811669.63000011</v>
      </c>
    </row>
    <row r="18" spans="1:17" x14ac:dyDescent="0.2">
      <c r="A18" s="33"/>
      <c r="B18" s="182"/>
      <c r="C18" s="221"/>
      <c r="D18" s="221"/>
      <c r="E18" s="221"/>
      <c r="F18" s="221"/>
      <c r="G18" s="221"/>
      <c r="H18" s="214"/>
    </row>
    <row r="19" spans="1:17" ht="15" x14ac:dyDescent="0.25">
      <c r="A19" s="33" t="s">
        <v>86</v>
      </c>
      <c r="B19" s="214">
        <v>15444</v>
      </c>
      <c r="C19" s="214">
        <v>135119706.16</v>
      </c>
      <c r="D19" s="214">
        <v>26934927.719999999</v>
      </c>
      <c r="E19" s="214">
        <v>17572932.039999999</v>
      </c>
      <c r="F19" s="214">
        <v>9924417.8699999992</v>
      </c>
      <c r="G19" s="214">
        <v>17586983.02</v>
      </c>
      <c r="H19" s="214">
        <f>SUM(C19:G19)</f>
        <v>207138966.81</v>
      </c>
      <c r="K19" s="294"/>
      <c r="L19" s="293"/>
      <c r="M19" s="293"/>
      <c r="N19" s="293"/>
      <c r="O19" s="293"/>
      <c r="P19" s="293"/>
      <c r="Q19" s="293"/>
    </row>
    <row r="20" spans="1:17" ht="15" x14ac:dyDescent="0.25">
      <c r="A20" s="33" t="s">
        <v>87</v>
      </c>
      <c r="B20" s="220">
        <v>7387</v>
      </c>
      <c r="C20" s="220">
        <v>97140575.829999998</v>
      </c>
      <c r="D20" s="220">
        <v>21203160.449999996</v>
      </c>
      <c r="E20" s="220">
        <v>18449748.830000002</v>
      </c>
      <c r="F20" s="220">
        <v>12068585.510000002</v>
      </c>
      <c r="G20" s="220">
        <v>3983875.14</v>
      </c>
      <c r="H20" s="220">
        <f>SUM(C20:G20)</f>
        <v>152845945.75999999</v>
      </c>
      <c r="K20" s="294"/>
      <c r="L20" s="293"/>
      <c r="M20" s="293"/>
      <c r="N20" s="293"/>
      <c r="O20" s="293"/>
      <c r="P20" s="293"/>
      <c r="Q20" s="293"/>
    </row>
    <row r="21" spans="1:17" ht="15" x14ac:dyDescent="0.25">
      <c r="A21" s="33" t="s">
        <v>105</v>
      </c>
      <c r="B21" s="221">
        <f t="shared" ref="B21:H21" si="3">SUM(B19:B20)</f>
        <v>22831</v>
      </c>
      <c r="C21" s="221">
        <f t="shared" si="3"/>
        <v>232260281.99000001</v>
      </c>
      <c r="D21" s="221">
        <f t="shared" si="3"/>
        <v>48138088.169999994</v>
      </c>
      <c r="E21" s="221">
        <f t="shared" si="3"/>
        <v>36022680.870000005</v>
      </c>
      <c r="F21" s="221">
        <f t="shared" si="3"/>
        <v>21993003.380000003</v>
      </c>
      <c r="G21" s="221">
        <f t="shared" si="3"/>
        <v>21570858.16</v>
      </c>
      <c r="H21" s="221">
        <f t="shared" si="3"/>
        <v>359984912.56999999</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155543</v>
      </c>
      <c r="C23" s="222">
        <f t="shared" si="4"/>
        <v>1534776875.27</v>
      </c>
      <c r="D23" s="222">
        <f t="shared" si="4"/>
        <v>268496697.15999997</v>
      </c>
      <c r="E23" s="222">
        <f t="shared" si="4"/>
        <v>190082088.69</v>
      </c>
      <c r="F23" s="222">
        <f t="shared" si="4"/>
        <v>121036893.33</v>
      </c>
      <c r="G23" s="222">
        <f t="shared" si="4"/>
        <v>133406202.39</v>
      </c>
      <c r="H23" s="222">
        <f t="shared" si="4"/>
        <v>2247798756.8399997</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FY2023</v>
      </c>
      <c r="C26" s="22"/>
      <c r="D26" s="22"/>
      <c r="E26" s="22"/>
      <c r="F26" s="22"/>
      <c r="G26" s="22"/>
      <c r="H26" s="22"/>
    </row>
    <row r="27" spans="1:17" ht="33.75" x14ac:dyDescent="0.2">
      <c r="A27" s="155" t="s">
        <v>245</v>
      </c>
      <c r="B27" s="172" t="str">
        <f t="shared" ref="B27:H34" si="5">B3</f>
        <v>ANB23</v>
      </c>
      <c r="C27" s="172" t="str">
        <f t="shared" si="5"/>
        <v>23/Pupil Salaries &amp; Benefits</v>
      </c>
      <c r="D27" s="172" t="str">
        <f t="shared" si="5"/>
        <v>23/Pupil Purchased Services</v>
      </c>
      <c r="E27" s="172" t="str">
        <f t="shared" si="5"/>
        <v>23/Pupil Supplies</v>
      </c>
      <c r="F27" s="172" t="str">
        <f t="shared" si="5"/>
        <v>23/Pupil Capital Outlay</v>
      </c>
      <c r="G27" s="172" t="str">
        <f t="shared" si="5"/>
        <v>23/Pupil Other</v>
      </c>
      <c r="H27" s="172" t="str">
        <f t="shared" si="5"/>
        <v>23/Pupil Total Expenditures</v>
      </c>
    </row>
    <row r="28" spans="1:17" x14ac:dyDescent="0.2">
      <c r="A28" s="33" t="s">
        <v>102</v>
      </c>
      <c r="B28" s="214">
        <f t="shared" si="5"/>
        <v>41244</v>
      </c>
      <c r="C28" s="182">
        <f t="shared" ref="C28:H34" si="6">C4/$B28</f>
        <v>9427.8954466104151</v>
      </c>
      <c r="D28" s="182">
        <f t="shared" si="6"/>
        <v>1377.1669173697992</v>
      </c>
      <c r="E28" s="182">
        <f t="shared" si="6"/>
        <v>708.26299049558713</v>
      </c>
      <c r="F28" s="182">
        <f t="shared" si="6"/>
        <v>307.52600741926102</v>
      </c>
      <c r="G28" s="182">
        <f t="shared" si="6"/>
        <v>898.62217777131207</v>
      </c>
      <c r="H28" s="182">
        <f t="shared" si="6"/>
        <v>12719.473539666371</v>
      </c>
    </row>
    <row r="29" spans="1:17" x14ac:dyDescent="0.2">
      <c r="A29" s="33" t="s">
        <v>76</v>
      </c>
      <c r="B29" s="214">
        <f t="shared" si="5"/>
        <v>16500</v>
      </c>
      <c r="C29" s="182">
        <f t="shared" si="6"/>
        <v>10013.661795757576</v>
      </c>
      <c r="D29" s="182">
        <f t="shared" si="6"/>
        <v>1397.6456066666665</v>
      </c>
      <c r="E29" s="182">
        <f t="shared" si="6"/>
        <v>1235.9992872727269</v>
      </c>
      <c r="F29" s="182">
        <f t="shared" si="6"/>
        <v>1128.8496418181819</v>
      </c>
      <c r="G29" s="182">
        <f t="shared" si="6"/>
        <v>922.59517212121216</v>
      </c>
      <c r="H29" s="182">
        <f t="shared" si="6"/>
        <v>14698.751503636364</v>
      </c>
    </row>
    <row r="30" spans="1:17" x14ac:dyDescent="0.2">
      <c r="A30" s="33" t="s">
        <v>77</v>
      </c>
      <c r="B30" s="214">
        <f t="shared" si="5"/>
        <v>17268</v>
      </c>
      <c r="C30" s="182">
        <f t="shared" si="6"/>
        <v>9506.9744504285372</v>
      </c>
      <c r="D30" s="182">
        <f t="shared" si="6"/>
        <v>1357.0337607134582</v>
      </c>
      <c r="E30" s="182">
        <f t="shared" si="6"/>
        <v>1242.5992355802639</v>
      </c>
      <c r="F30" s="182">
        <f t="shared" si="6"/>
        <v>968.52223534862173</v>
      </c>
      <c r="G30" s="182">
        <f t="shared" si="6"/>
        <v>735.55588661107242</v>
      </c>
      <c r="H30" s="182">
        <f t="shared" si="6"/>
        <v>13810.685568681954</v>
      </c>
    </row>
    <row r="31" spans="1:17" x14ac:dyDescent="0.2">
      <c r="A31" s="33" t="s">
        <v>78</v>
      </c>
      <c r="B31" s="214">
        <f t="shared" si="5"/>
        <v>12117</v>
      </c>
      <c r="C31" s="182">
        <f t="shared" si="6"/>
        <v>9559.5812461830501</v>
      </c>
      <c r="D31" s="182">
        <f t="shared" si="6"/>
        <v>1732.9462012049189</v>
      </c>
      <c r="E31" s="182">
        <f t="shared" si="6"/>
        <v>1680.0380878105141</v>
      </c>
      <c r="F31" s="182">
        <f t="shared" si="6"/>
        <v>1110.9113708013535</v>
      </c>
      <c r="G31" s="182">
        <f t="shared" si="6"/>
        <v>241.37734010068499</v>
      </c>
      <c r="H31" s="182">
        <f t="shared" si="6"/>
        <v>14324.85424610052</v>
      </c>
    </row>
    <row r="32" spans="1:17" x14ac:dyDescent="0.2">
      <c r="A32" s="33" t="s">
        <v>79</v>
      </c>
      <c r="B32" s="214">
        <f t="shared" si="5"/>
        <v>4860</v>
      </c>
      <c r="C32" s="182">
        <f t="shared" si="6"/>
        <v>11994.930187242797</v>
      </c>
      <c r="D32" s="182">
        <f t="shared" si="6"/>
        <v>2899.2384053497944</v>
      </c>
      <c r="E32" s="182">
        <f t="shared" si="6"/>
        <v>2031.8771625514407</v>
      </c>
      <c r="F32" s="182">
        <f t="shared" si="6"/>
        <v>1634.1963395061725</v>
      </c>
      <c r="G32" s="182">
        <f t="shared" si="6"/>
        <v>261.19123662551448</v>
      </c>
      <c r="H32" s="182">
        <f t="shared" si="6"/>
        <v>18821.433331275719</v>
      </c>
    </row>
    <row r="33" spans="1:8" x14ac:dyDescent="0.2">
      <c r="A33" s="33" t="s">
        <v>80</v>
      </c>
      <c r="B33" s="220">
        <f t="shared" si="5"/>
        <v>1438</v>
      </c>
      <c r="C33" s="183">
        <f t="shared" si="6"/>
        <v>11483.263261474267</v>
      </c>
      <c r="D33" s="183">
        <f t="shared" si="6"/>
        <v>3279.6177746870662</v>
      </c>
      <c r="E33" s="183">
        <f t="shared" si="6"/>
        <v>2479.395584144645</v>
      </c>
      <c r="F33" s="183">
        <f t="shared" si="6"/>
        <v>1764.5013560500693</v>
      </c>
      <c r="G33" s="183">
        <f t="shared" si="6"/>
        <v>6.7580945757997215</v>
      </c>
      <c r="H33" s="183">
        <f t="shared" si="6"/>
        <v>19013.536070931845</v>
      </c>
    </row>
    <row r="34" spans="1:8" x14ac:dyDescent="0.2">
      <c r="A34" s="33" t="s">
        <v>103</v>
      </c>
      <c r="B34" s="214">
        <f t="shared" si="5"/>
        <v>93427</v>
      </c>
      <c r="C34" s="182">
        <f t="shared" si="6"/>
        <v>9728.2125454097859</v>
      </c>
      <c r="D34" s="182">
        <f t="shared" si="6"/>
        <v>1531.6641009558266</v>
      </c>
      <c r="E34" s="182">
        <f t="shared" si="6"/>
        <v>1122.3747523735108</v>
      </c>
      <c r="F34" s="182">
        <f t="shared" si="6"/>
        <v>770.3824797970608</v>
      </c>
      <c r="G34" s="182">
        <f t="shared" si="6"/>
        <v>740.58943635137587</v>
      </c>
      <c r="H34" s="182">
        <f t="shared" si="6"/>
        <v>13893.223314887555</v>
      </c>
    </row>
    <row r="35" spans="1:8" x14ac:dyDescent="0.2">
      <c r="A35" s="33"/>
      <c r="B35" s="214"/>
      <c r="C35" s="182"/>
      <c r="D35" s="182"/>
      <c r="E35" s="182"/>
      <c r="F35" s="182"/>
      <c r="G35" s="182"/>
      <c r="H35" s="182"/>
    </row>
    <row r="36" spans="1:8" x14ac:dyDescent="0.2">
      <c r="A36" s="33" t="s">
        <v>81</v>
      </c>
      <c r="B36" s="214">
        <f t="shared" ref="B36:B41" si="7">B12</f>
        <v>22534</v>
      </c>
      <c r="C36" s="182">
        <f t="shared" ref="C36:H41" si="8">C12/$B36</f>
        <v>9150.2674447501558</v>
      </c>
      <c r="D36" s="182">
        <f t="shared" si="8"/>
        <v>1707.2534827371969</v>
      </c>
      <c r="E36" s="182">
        <f t="shared" si="8"/>
        <v>864.56870551167128</v>
      </c>
      <c r="F36" s="182">
        <f t="shared" si="8"/>
        <v>586.68081787521078</v>
      </c>
      <c r="G36" s="182">
        <f t="shared" si="8"/>
        <v>1215.7857699476347</v>
      </c>
      <c r="H36" s="182">
        <f t="shared" si="8"/>
        <v>13524.556220821869</v>
      </c>
    </row>
    <row r="37" spans="1:8" x14ac:dyDescent="0.2">
      <c r="A37" s="33" t="s">
        <v>82</v>
      </c>
      <c r="B37" s="214">
        <f t="shared" si="7"/>
        <v>6468</v>
      </c>
      <c r="C37" s="182">
        <f t="shared" si="8"/>
        <v>9734.1749799010504</v>
      </c>
      <c r="D37" s="182">
        <f t="shared" si="8"/>
        <v>1398.8147108843536</v>
      </c>
      <c r="E37" s="182">
        <f t="shared" si="8"/>
        <v>1408.614730983302</v>
      </c>
      <c r="F37" s="182">
        <f t="shared" si="8"/>
        <v>821.28945114409396</v>
      </c>
      <c r="G37" s="182">
        <f t="shared" si="8"/>
        <v>980.92824675324664</v>
      </c>
      <c r="H37" s="182">
        <f t="shared" si="8"/>
        <v>14343.822119666049</v>
      </c>
    </row>
    <row r="38" spans="1:8" x14ac:dyDescent="0.2">
      <c r="A38" s="33" t="s">
        <v>83</v>
      </c>
      <c r="B38" s="214">
        <f t="shared" si="7"/>
        <v>5072</v>
      </c>
      <c r="C38" s="182">
        <f t="shared" si="8"/>
        <v>10021.125341088329</v>
      </c>
      <c r="D38" s="182">
        <f t="shared" si="8"/>
        <v>2014.776082413249</v>
      </c>
      <c r="E38" s="182">
        <f t="shared" si="8"/>
        <v>1360.2684424290223</v>
      </c>
      <c r="F38" s="182">
        <f t="shared" si="8"/>
        <v>520.60610804416399</v>
      </c>
      <c r="G38" s="182">
        <f t="shared" si="8"/>
        <v>1307.0395977917981</v>
      </c>
      <c r="H38" s="182">
        <f t="shared" si="8"/>
        <v>15223.815571766565</v>
      </c>
    </row>
    <row r="39" spans="1:8" x14ac:dyDescent="0.2">
      <c r="A39" s="33" t="s">
        <v>84</v>
      </c>
      <c r="B39" s="214">
        <f t="shared" si="7"/>
        <v>3747</v>
      </c>
      <c r="C39" s="182">
        <f t="shared" si="8"/>
        <v>12733.982658126502</v>
      </c>
      <c r="D39" s="182">
        <f t="shared" si="8"/>
        <v>3105.1336776087533</v>
      </c>
      <c r="E39" s="182">
        <f t="shared" si="8"/>
        <v>2393.7063730984787</v>
      </c>
      <c r="F39" s="182">
        <f t="shared" si="8"/>
        <v>1029.1243741659996</v>
      </c>
      <c r="G39" s="182">
        <f t="shared" si="8"/>
        <v>510.70744061916207</v>
      </c>
      <c r="H39" s="182">
        <f t="shared" si="8"/>
        <v>19772.654523618894</v>
      </c>
    </row>
    <row r="40" spans="1:8" x14ac:dyDescent="0.2">
      <c r="A40" s="33" t="s">
        <v>85</v>
      </c>
      <c r="B40" s="220">
        <f t="shared" si="7"/>
        <v>1464</v>
      </c>
      <c r="C40" s="183">
        <f t="shared" si="8"/>
        <v>17721.809207650276</v>
      </c>
      <c r="D40" s="183">
        <f t="shared" si="8"/>
        <v>5387.4066393442617</v>
      </c>
      <c r="E40" s="183">
        <f t="shared" si="8"/>
        <v>3236.127882513661</v>
      </c>
      <c r="F40" s="183">
        <f t="shared" si="8"/>
        <v>1393.6865300546451</v>
      </c>
      <c r="G40" s="183">
        <f t="shared" si="8"/>
        <v>246.04433060109292</v>
      </c>
      <c r="H40" s="183">
        <f t="shared" si="8"/>
        <v>27985.074590163931</v>
      </c>
    </row>
    <row r="41" spans="1:8" x14ac:dyDescent="0.2">
      <c r="A41" s="33" t="s">
        <v>104</v>
      </c>
      <c r="B41" s="214">
        <f t="shared" si="7"/>
        <v>39285</v>
      </c>
      <c r="C41" s="182">
        <f t="shared" si="8"/>
        <v>10020.080941835306</v>
      </c>
      <c r="D41" s="182">
        <f t="shared" si="8"/>
        <v>1966.6495362097489</v>
      </c>
      <c r="E41" s="182">
        <f t="shared" si="8"/>
        <v>1252.3686351024564</v>
      </c>
      <c r="F41" s="182">
        <f t="shared" si="8"/>
        <v>689.05093572610417</v>
      </c>
      <c r="G41" s="182">
        <f t="shared" si="8"/>
        <v>1085.5108809978362</v>
      </c>
      <c r="H41" s="182">
        <f t="shared" si="8"/>
        <v>15013.660929871456</v>
      </c>
    </row>
    <row r="42" spans="1:8" x14ac:dyDescent="0.2">
      <c r="A42" s="33"/>
      <c r="B42" s="214"/>
      <c r="C42" s="182"/>
      <c r="D42" s="182"/>
      <c r="E42" s="182"/>
      <c r="F42" s="182"/>
      <c r="G42" s="182"/>
      <c r="H42" s="182"/>
    </row>
    <row r="43" spans="1:8" x14ac:dyDescent="0.2">
      <c r="A43" s="33" t="s">
        <v>86</v>
      </c>
      <c r="B43" s="214">
        <f>B19</f>
        <v>15444</v>
      </c>
      <c r="C43" s="182">
        <f t="shared" ref="C43:H45" si="9">C19/$B43</f>
        <v>8749.0097228697232</v>
      </c>
      <c r="D43" s="182">
        <f t="shared" si="9"/>
        <v>1744.0383139083137</v>
      </c>
      <c r="E43" s="182">
        <f t="shared" si="9"/>
        <v>1137.8484874384874</v>
      </c>
      <c r="F43" s="182">
        <f t="shared" si="9"/>
        <v>642.60669968919967</v>
      </c>
      <c r="G43" s="182">
        <f t="shared" si="9"/>
        <v>1138.7582893032893</v>
      </c>
      <c r="H43" s="182">
        <f t="shared" si="9"/>
        <v>13412.261513209014</v>
      </c>
    </row>
    <row r="44" spans="1:8" x14ac:dyDescent="0.2">
      <c r="A44" s="33" t="s">
        <v>87</v>
      </c>
      <c r="B44" s="220">
        <f>B20</f>
        <v>7387</v>
      </c>
      <c r="C44" s="183">
        <f t="shared" si="9"/>
        <v>13150.206556112089</v>
      </c>
      <c r="D44" s="183">
        <f t="shared" si="9"/>
        <v>2870.3344321104637</v>
      </c>
      <c r="E44" s="183">
        <f t="shared" si="9"/>
        <v>2497.5969717070534</v>
      </c>
      <c r="F44" s="183">
        <f t="shared" si="9"/>
        <v>1633.7600527954517</v>
      </c>
      <c r="G44" s="183">
        <f t="shared" si="9"/>
        <v>539.30894002978209</v>
      </c>
      <c r="H44" s="183">
        <f t="shared" si="9"/>
        <v>20691.206952754837</v>
      </c>
    </row>
    <row r="45" spans="1:8" x14ac:dyDescent="0.2">
      <c r="A45" s="33" t="s">
        <v>105</v>
      </c>
      <c r="B45" s="214">
        <f>B21</f>
        <v>22831</v>
      </c>
      <c r="C45" s="182">
        <f t="shared" si="9"/>
        <v>10173.022731812011</v>
      </c>
      <c r="D45" s="182">
        <f t="shared" si="9"/>
        <v>2108.4529004423807</v>
      </c>
      <c r="E45" s="182">
        <f t="shared" si="9"/>
        <v>1577.7968932591655</v>
      </c>
      <c r="F45" s="182">
        <f t="shared" si="9"/>
        <v>963.29566729446822</v>
      </c>
      <c r="G45" s="182">
        <f t="shared" si="9"/>
        <v>944.80566598046516</v>
      </c>
      <c r="H45" s="182">
        <f t="shared" si="9"/>
        <v>15767.373858788489</v>
      </c>
    </row>
    <row r="46" spans="1:8" x14ac:dyDescent="0.2">
      <c r="A46" s="33"/>
      <c r="B46" s="214"/>
      <c r="C46" s="182"/>
      <c r="D46" s="182"/>
      <c r="E46" s="182"/>
      <c r="F46" s="182"/>
      <c r="G46" s="182"/>
      <c r="H46" s="182"/>
    </row>
    <row r="47" spans="1:8" ht="13.5" thickBot="1" x14ac:dyDescent="0.25">
      <c r="A47" s="33" t="s">
        <v>209</v>
      </c>
      <c r="B47" s="222">
        <f>B23</f>
        <v>155543</v>
      </c>
      <c r="C47" s="192">
        <f t="shared" ref="C47:H47" si="10">C23/$B47</f>
        <v>9867.2191951421792</v>
      </c>
      <c r="D47" s="192">
        <f t="shared" si="10"/>
        <v>1726.1895241830232</v>
      </c>
      <c r="E47" s="192">
        <f t="shared" si="10"/>
        <v>1222.0549217258249</v>
      </c>
      <c r="F47" s="192">
        <f t="shared" si="10"/>
        <v>778.15712266061473</v>
      </c>
      <c r="G47" s="192">
        <f t="shared" si="10"/>
        <v>857.68052814977204</v>
      </c>
      <c r="H47" s="222">
        <f t="shared" si="10"/>
        <v>14451.301291861413</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FY2023</v>
      </c>
      <c r="C52" s="182"/>
      <c r="D52" s="182"/>
      <c r="E52" s="182"/>
      <c r="F52" s="182"/>
      <c r="G52" s="182"/>
      <c r="H52" s="182"/>
    </row>
    <row r="53" spans="1:8" ht="33.75" x14ac:dyDescent="0.2">
      <c r="A53" s="155" t="s">
        <v>245</v>
      </c>
      <c r="B53" s="172" t="str">
        <f t="shared" ref="B53:H59" si="11">B3</f>
        <v>ANB23</v>
      </c>
      <c r="C53" s="172" t="str">
        <f t="shared" si="11"/>
        <v>23/Pupil Salaries &amp; Benefits</v>
      </c>
      <c r="D53" s="172" t="str">
        <f t="shared" si="11"/>
        <v>23/Pupil Purchased Services</v>
      </c>
      <c r="E53" s="172" t="str">
        <f t="shared" si="11"/>
        <v>23/Pupil Supplies</v>
      </c>
      <c r="F53" s="172" t="str">
        <f t="shared" si="11"/>
        <v>23/Pupil Capital Outlay</v>
      </c>
      <c r="G53" s="172" t="str">
        <f t="shared" si="11"/>
        <v>23/Pupil Other</v>
      </c>
      <c r="H53" s="172" t="str">
        <f t="shared" si="11"/>
        <v>23/Pupil Total Expenditures</v>
      </c>
    </row>
    <row r="54" spans="1:8" x14ac:dyDescent="0.2">
      <c r="A54" s="33" t="s">
        <v>102</v>
      </c>
      <c r="B54" s="214">
        <f t="shared" si="11"/>
        <v>41244</v>
      </c>
      <c r="C54" s="191">
        <f t="shared" ref="C54:H60" si="12">C28/$H28</f>
        <v>0.74121742674404012</v>
      </c>
      <c r="D54" s="191">
        <f t="shared" si="12"/>
        <v>0.10827232063300649</v>
      </c>
      <c r="E54" s="191">
        <f t="shared" si="12"/>
        <v>5.5683357356484164E-2</v>
      </c>
      <c r="F54" s="191">
        <f t="shared" si="12"/>
        <v>2.4177573581188279E-2</v>
      </c>
      <c r="G54" s="191">
        <f t="shared" si="12"/>
        <v>7.0649321685281222E-2</v>
      </c>
      <c r="H54" s="191">
        <f t="shared" si="12"/>
        <v>1</v>
      </c>
    </row>
    <row r="55" spans="1:8" x14ac:dyDescent="0.2">
      <c r="A55" s="33" t="s">
        <v>76</v>
      </c>
      <c r="B55" s="214">
        <f t="shared" si="11"/>
        <v>16500</v>
      </c>
      <c r="C55" s="191">
        <f t="shared" si="12"/>
        <v>0.68125934323607484</v>
      </c>
      <c r="D55" s="191">
        <f t="shared" si="12"/>
        <v>9.5086008245047149E-2</v>
      </c>
      <c r="E55" s="191">
        <f t="shared" si="12"/>
        <v>8.4088725968797393E-2</v>
      </c>
      <c r="F55" s="191">
        <f t="shared" si="12"/>
        <v>7.6799015313573582E-2</v>
      </c>
      <c r="G55" s="191">
        <f t="shared" si="12"/>
        <v>6.2766907236507047E-2</v>
      </c>
      <c r="H55" s="191">
        <f t="shared" si="12"/>
        <v>1</v>
      </c>
    </row>
    <row r="56" spans="1:8" x14ac:dyDescent="0.2">
      <c r="A56" s="33" t="s">
        <v>77</v>
      </c>
      <c r="B56" s="214">
        <f t="shared" si="11"/>
        <v>17268</v>
      </c>
      <c r="C56" s="191">
        <f t="shared" si="12"/>
        <v>0.68837816943622232</v>
      </c>
      <c r="D56" s="191">
        <f t="shared" si="12"/>
        <v>9.825969565122529E-2</v>
      </c>
      <c r="E56" s="191">
        <f t="shared" si="12"/>
        <v>8.9973754698902564E-2</v>
      </c>
      <c r="F56" s="191">
        <f t="shared" si="12"/>
        <v>7.0128469041747521E-2</v>
      </c>
      <c r="G56" s="191">
        <f t="shared" si="12"/>
        <v>5.3259911171902194E-2</v>
      </c>
      <c r="H56" s="191">
        <f t="shared" si="12"/>
        <v>1</v>
      </c>
    </row>
    <row r="57" spans="1:8" x14ac:dyDescent="0.2">
      <c r="A57" s="33" t="s">
        <v>78</v>
      </c>
      <c r="B57" s="214">
        <f t="shared" si="11"/>
        <v>12117</v>
      </c>
      <c r="C57" s="191">
        <f t="shared" si="12"/>
        <v>0.66734230463708477</v>
      </c>
      <c r="D57" s="191">
        <f t="shared" si="12"/>
        <v>0.12097478769647221</v>
      </c>
      <c r="E57" s="191">
        <f t="shared" si="12"/>
        <v>0.11728133905919848</v>
      </c>
      <c r="F57" s="191">
        <f t="shared" si="12"/>
        <v>7.7551321061696904E-2</v>
      </c>
      <c r="G57" s="191">
        <f t="shared" si="12"/>
        <v>1.6850247545547779E-2</v>
      </c>
      <c r="H57" s="191">
        <f t="shared" si="12"/>
        <v>1</v>
      </c>
    </row>
    <row r="58" spans="1:8" x14ac:dyDescent="0.2">
      <c r="A58" s="33" t="s">
        <v>79</v>
      </c>
      <c r="B58" s="214">
        <f t="shared" si="11"/>
        <v>4860</v>
      </c>
      <c r="C58" s="191">
        <f t="shared" si="12"/>
        <v>0.63730163245913529</v>
      </c>
      <c r="D58" s="191">
        <f t="shared" si="12"/>
        <v>0.15403919320703954</v>
      </c>
      <c r="E58" s="191">
        <f t="shared" si="12"/>
        <v>0.1079554955665919</v>
      </c>
      <c r="F58" s="191">
        <f t="shared" si="12"/>
        <v>8.6826349021496468E-2</v>
      </c>
      <c r="G58" s="191">
        <f t="shared" si="12"/>
        <v>1.3877329745736793E-2</v>
      </c>
      <c r="H58" s="191">
        <f t="shared" si="12"/>
        <v>1</v>
      </c>
    </row>
    <row r="59" spans="1:8" x14ac:dyDescent="0.2">
      <c r="A59" s="33" t="s">
        <v>80</v>
      </c>
      <c r="B59" s="220">
        <f t="shared" si="11"/>
        <v>1438</v>
      </c>
      <c r="C59" s="193">
        <f t="shared" si="12"/>
        <v>0.60395200654075265</v>
      </c>
      <c r="D59" s="193">
        <f t="shared" si="12"/>
        <v>0.17248857668832002</v>
      </c>
      <c r="E59" s="193">
        <f t="shared" si="12"/>
        <v>0.13040160309450166</v>
      </c>
      <c r="F59" s="193">
        <f t="shared" si="12"/>
        <v>9.2802377709618314E-2</v>
      </c>
      <c r="G59" s="193">
        <f t="shared" si="12"/>
        <v>3.5543596680743617E-4</v>
      </c>
      <c r="H59" s="193">
        <f t="shared" si="12"/>
        <v>1</v>
      </c>
    </row>
    <row r="60" spans="1:8" x14ac:dyDescent="0.2">
      <c r="A60" s="33" t="s">
        <v>103</v>
      </c>
      <c r="B60" s="214">
        <f>SUM(B54:B59)</f>
        <v>93427</v>
      </c>
      <c r="C60" s="191">
        <f t="shared" si="12"/>
        <v>0.70021278179451196</v>
      </c>
      <c r="D60" s="191">
        <f t="shared" si="12"/>
        <v>0.11024541002767457</v>
      </c>
      <c r="E60" s="191">
        <f t="shared" si="12"/>
        <v>8.0785770654878061E-2</v>
      </c>
      <c r="F60" s="191">
        <f t="shared" si="12"/>
        <v>5.5450233710095366E-2</v>
      </c>
      <c r="G60" s="191">
        <f t="shared" si="12"/>
        <v>5.3305803812840377E-2</v>
      </c>
      <c r="H60" s="191">
        <f t="shared" si="12"/>
        <v>1</v>
      </c>
    </row>
    <row r="61" spans="1:8" x14ac:dyDescent="0.2">
      <c r="A61" s="33"/>
      <c r="B61" s="214"/>
      <c r="C61" s="191"/>
      <c r="D61" s="191"/>
      <c r="E61" s="191"/>
      <c r="F61" s="191"/>
      <c r="G61" s="191"/>
      <c r="H61" s="191"/>
    </row>
    <row r="62" spans="1:8" x14ac:dyDescent="0.2">
      <c r="A62" s="33" t="s">
        <v>81</v>
      </c>
      <c r="B62" s="214">
        <f t="shared" ref="B62:B67" si="13">B12</f>
        <v>22534</v>
      </c>
      <c r="C62" s="191">
        <f t="shared" ref="C62:H67" si="14">C36/$H36</f>
        <v>0.67656692725065304</v>
      </c>
      <c r="D62" s="191">
        <f t="shared" si="14"/>
        <v>0.1262336046271727</v>
      </c>
      <c r="E62" s="191">
        <f t="shared" si="14"/>
        <v>6.3925846541316875E-2</v>
      </c>
      <c r="F62" s="191">
        <f t="shared" si="14"/>
        <v>4.3378932979108054E-2</v>
      </c>
      <c r="G62" s="191">
        <f t="shared" si="14"/>
        <v>8.9894688601749401E-2</v>
      </c>
      <c r="H62" s="191">
        <f t="shared" si="14"/>
        <v>1</v>
      </c>
    </row>
    <row r="63" spans="1:8" x14ac:dyDescent="0.2">
      <c r="A63" s="33" t="s">
        <v>82</v>
      </c>
      <c r="B63" s="214">
        <f t="shared" si="13"/>
        <v>6468</v>
      </c>
      <c r="C63" s="191">
        <f t="shared" si="14"/>
        <v>0.67863188058885937</v>
      </c>
      <c r="D63" s="191">
        <f t="shared" si="14"/>
        <v>9.7520360975929379E-2</v>
      </c>
      <c r="E63" s="191">
        <f t="shared" si="14"/>
        <v>9.8203583342826431E-2</v>
      </c>
      <c r="F63" s="191">
        <f t="shared" si="14"/>
        <v>5.7257364480145623E-2</v>
      </c>
      <c r="G63" s="191">
        <f t="shared" si="14"/>
        <v>6.8386810612239002E-2</v>
      </c>
      <c r="H63" s="191">
        <f t="shared" si="14"/>
        <v>1</v>
      </c>
    </row>
    <row r="64" spans="1:8" x14ac:dyDescent="0.2">
      <c r="A64" s="33" t="s">
        <v>83</v>
      </c>
      <c r="B64" s="214">
        <f t="shared" si="13"/>
        <v>5072</v>
      </c>
      <c r="C64" s="191">
        <f t="shared" si="14"/>
        <v>0.6582532016266065</v>
      </c>
      <c r="D64" s="191">
        <f t="shared" si="14"/>
        <v>0.13234370010037211</v>
      </c>
      <c r="E64" s="191">
        <f t="shared" si="14"/>
        <v>8.9351347959818819E-2</v>
      </c>
      <c r="F64" s="191">
        <f t="shared" si="14"/>
        <v>3.419682178820254E-2</v>
      </c>
      <c r="G64" s="191">
        <f t="shared" si="14"/>
        <v>8.5854928524999846E-2</v>
      </c>
      <c r="H64" s="191">
        <f t="shared" si="14"/>
        <v>1</v>
      </c>
    </row>
    <row r="65" spans="1:8" x14ac:dyDescent="0.2">
      <c r="A65" s="33" t="s">
        <v>84</v>
      </c>
      <c r="B65" s="214">
        <f t="shared" si="13"/>
        <v>3747</v>
      </c>
      <c r="C65" s="191">
        <f t="shared" si="14"/>
        <v>0.64401988326430648</v>
      </c>
      <c r="D65" s="191">
        <f t="shared" si="14"/>
        <v>0.15704182126378627</v>
      </c>
      <c r="E65" s="191">
        <f t="shared" si="14"/>
        <v>0.12106145739001008</v>
      </c>
      <c r="F65" s="191">
        <f t="shared" si="14"/>
        <v>5.2047860995936925E-2</v>
      </c>
      <c r="G65" s="191">
        <f t="shared" si="14"/>
        <v>2.5828977085960318E-2</v>
      </c>
      <c r="H65" s="191">
        <f t="shared" si="14"/>
        <v>1</v>
      </c>
    </row>
    <row r="66" spans="1:8" x14ac:dyDescent="0.2">
      <c r="A66" s="33" t="s">
        <v>85</v>
      </c>
      <c r="B66" s="220">
        <f t="shared" si="13"/>
        <v>1464</v>
      </c>
      <c r="C66" s="193">
        <f t="shared" si="14"/>
        <v>0.63325931651720735</v>
      </c>
      <c r="D66" s="193">
        <f t="shared" si="14"/>
        <v>0.19250999749837377</v>
      </c>
      <c r="E66" s="193">
        <f t="shared" si="14"/>
        <v>0.11563763648681075</v>
      </c>
      <c r="F66" s="193">
        <f t="shared" si="14"/>
        <v>4.9801065405932196E-2</v>
      </c>
      <c r="G66" s="193">
        <f t="shared" si="14"/>
        <v>8.7919840916761919E-3</v>
      </c>
      <c r="H66" s="193">
        <f t="shared" si="14"/>
        <v>1</v>
      </c>
    </row>
    <row r="67" spans="1:8" x14ac:dyDescent="0.2">
      <c r="A67" s="33" t="s">
        <v>104</v>
      </c>
      <c r="B67" s="214">
        <f t="shared" si="13"/>
        <v>39285</v>
      </c>
      <c r="C67" s="191">
        <f t="shared" si="14"/>
        <v>0.66739757802170474</v>
      </c>
      <c r="D67" s="191">
        <f t="shared" si="14"/>
        <v>0.13099067212160539</v>
      </c>
      <c r="E67" s="191">
        <f t="shared" si="14"/>
        <v>8.3415273659918673E-2</v>
      </c>
      <c r="F67" s="191">
        <f t="shared" si="14"/>
        <v>4.5894931219284153E-2</v>
      </c>
      <c r="G67" s="191">
        <f t="shared" si="14"/>
        <v>7.2301544977486726E-2</v>
      </c>
      <c r="H67" s="191">
        <f t="shared" si="14"/>
        <v>1</v>
      </c>
    </row>
    <row r="68" spans="1:8" x14ac:dyDescent="0.2">
      <c r="A68" s="33"/>
      <c r="B68" s="214"/>
      <c r="C68" s="191"/>
      <c r="D68" s="191"/>
      <c r="E68" s="191"/>
      <c r="F68" s="191"/>
      <c r="G68" s="191"/>
      <c r="H68" s="191"/>
    </row>
    <row r="69" spans="1:8" x14ac:dyDescent="0.2">
      <c r="A69" s="33" t="s">
        <v>86</v>
      </c>
      <c r="B69" s="214">
        <f>B19</f>
        <v>15444</v>
      </c>
      <c r="C69" s="191">
        <f t="shared" ref="C69:H71" si="15">C43/$H43</f>
        <v>0.6523142807984541</v>
      </c>
      <c r="D69" s="191">
        <f t="shared" si="15"/>
        <v>0.13003312768623729</v>
      </c>
      <c r="E69" s="191">
        <f t="shared" si="15"/>
        <v>8.4836437637148793E-2</v>
      </c>
      <c r="F69" s="191">
        <f t="shared" si="15"/>
        <v>4.7911882649792577E-2</v>
      </c>
      <c r="G69" s="191">
        <f t="shared" si="15"/>
        <v>8.4904271228367231E-2</v>
      </c>
      <c r="H69" s="191">
        <f t="shared" si="15"/>
        <v>1</v>
      </c>
    </row>
    <row r="70" spans="1:8" x14ac:dyDescent="0.2">
      <c r="A70" s="33" t="s">
        <v>87</v>
      </c>
      <c r="B70" s="220">
        <f>B20</f>
        <v>7387</v>
      </c>
      <c r="C70" s="193">
        <f t="shared" si="15"/>
        <v>0.63554564922860934</v>
      </c>
      <c r="D70" s="193">
        <f t="shared" si="15"/>
        <v>0.13872242632652737</v>
      </c>
      <c r="E70" s="193">
        <f t="shared" si="15"/>
        <v>0.12070813352792463</v>
      </c>
      <c r="F70" s="193">
        <f t="shared" si="15"/>
        <v>7.8959147067925492E-2</v>
      </c>
      <c r="G70" s="193">
        <f t="shared" si="15"/>
        <v>2.6064643849013275E-2</v>
      </c>
      <c r="H70" s="193">
        <f t="shared" si="15"/>
        <v>1</v>
      </c>
    </row>
    <row r="71" spans="1:8" x14ac:dyDescent="0.2">
      <c r="A71" s="33" t="s">
        <v>105</v>
      </c>
      <c r="B71" s="214">
        <f>B21</f>
        <v>22831</v>
      </c>
      <c r="C71" s="191">
        <f t="shared" si="15"/>
        <v>0.64519448976861327</v>
      </c>
      <c r="D71" s="191">
        <f t="shared" si="15"/>
        <v>0.13372251583082503</v>
      </c>
      <c r="E71" s="191">
        <f t="shared" si="15"/>
        <v>0.10006719618560488</v>
      </c>
      <c r="F71" s="191">
        <f t="shared" si="15"/>
        <v>6.1094236486156646E-2</v>
      </c>
      <c r="G71" s="191">
        <f t="shared" si="15"/>
        <v>5.9921561728800206E-2</v>
      </c>
      <c r="H71" s="191">
        <f t="shared" si="15"/>
        <v>1</v>
      </c>
    </row>
    <row r="72" spans="1:8" x14ac:dyDescent="0.2">
      <c r="A72" s="33"/>
      <c r="B72" s="214"/>
      <c r="C72" s="191"/>
      <c r="D72" s="191"/>
      <c r="E72" s="191"/>
      <c r="F72" s="191"/>
      <c r="G72" s="191"/>
      <c r="H72" s="191"/>
    </row>
    <row r="73" spans="1:8" ht="13.5" thickBot="1" x14ac:dyDescent="0.25">
      <c r="A73" s="33" t="s">
        <v>230</v>
      </c>
      <c r="B73" s="222">
        <f>B71+B67+B60</f>
        <v>155543</v>
      </c>
      <c r="C73" s="195">
        <f t="shared" ref="C73:H73" si="16">C47/$H47</f>
        <v>0.68279105084461378</v>
      </c>
      <c r="D73" s="195">
        <f t="shared" si="16"/>
        <v>0.11944872571130788</v>
      </c>
      <c r="E73" s="195">
        <f t="shared" si="16"/>
        <v>8.4563659496467186E-2</v>
      </c>
      <c r="F73" s="195">
        <f t="shared" si="16"/>
        <v>5.3846854822607017E-2</v>
      </c>
      <c r="G73" s="195">
        <f t="shared" si="16"/>
        <v>5.9349709125004181E-2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0EB30-B79F-480D-9477-114915B93327}">
  <dimension ref="A1:Q74"/>
  <sheetViews>
    <sheetView zoomScaleNormal="100" workbookViewId="0">
      <selection activeCell="C1" sqref="C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1409</v>
      </c>
      <c r="D1" s="22"/>
      <c r="E1" s="22"/>
      <c r="F1" s="22"/>
      <c r="G1" s="22"/>
      <c r="H1" s="22"/>
    </row>
    <row r="2" spans="1:17" x14ac:dyDescent="0.2">
      <c r="A2" s="22" t="s">
        <v>1212</v>
      </c>
    </row>
    <row r="3" spans="1:17" ht="34.5" x14ac:dyDescent="0.25">
      <c r="A3" s="22" t="s">
        <v>245</v>
      </c>
      <c r="B3" s="202" t="str">
        <f>"ANB"&amp;RIGHT(C1,2)</f>
        <v>ANB22</v>
      </c>
      <c r="C3" s="172" t="str">
        <f>RIGHT(C1,2)&amp;"/Pupil Salaries &amp; Benefits"</f>
        <v>22/Pupil Salaries &amp; Benefits</v>
      </c>
      <c r="D3" s="172" t="str">
        <f>RIGHT(C1,2)&amp;"/Pupil Purchased Services"</f>
        <v>22/Pupil Purchased Services</v>
      </c>
      <c r="E3" s="172" t="str">
        <f>RIGHT(C1,2)&amp;"/Pupil Supplies"</f>
        <v>22/Pupil Supplies</v>
      </c>
      <c r="F3" s="172" t="str">
        <f>RIGHT(C1,2)&amp;"/Pupil Capital Outlay"</f>
        <v>22/Pupil Capital Outlay</v>
      </c>
      <c r="G3" s="172" t="str">
        <f>RIGHT(C1,2)&amp;"/Pupil Other"</f>
        <v>22/Pupil Other</v>
      </c>
      <c r="H3" s="172" t="str">
        <f>RIGHT(C1,2)&amp;"/Pupil Total Expenditures"</f>
        <v>22/Pupil Total Expenditures</v>
      </c>
      <c r="K3" s="247"/>
      <c r="L3" s="247"/>
      <c r="M3" s="247"/>
      <c r="N3" s="247"/>
      <c r="O3" s="247"/>
      <c r="P3" s="247"/>
      <c r="Q3" s="247"/>
    </row>
    <row r="4" spans="1:17" ht="15" x14ac:dyDescent="0.25">
      <c r="A4" s="182" t="s">
        <v>102</v>
      </c>
      <c r="B4" s="214">
        <v>41340</v>
      </c>
      <c r="C4" s="214">
        <v>391596400.08000004</v>
      </c>
      <c r="D4" s="214">
        <v>55584349.120000005</v>
      </c>
      <c r="E4" s="214">
        <v>35891692.979999997</v>
      </c>
      <c r="F4" s="214">
        <v>8434841.25</v>
      </c>
      <c r="G4" s="214">
        <v>39865014.07</v>
      </c>
      <c r="H4" s="214">
        <f t="shared" ref="H4:H9" si="0">SUM(C4:G4)</f>
        <v>531372297.50000006</v>
      </c>
      <c r="K4" s="294"/>
      <c r="L4" s="293"/>
      <c r="M4" s="293"/>
      <c r="N4" s="293"/>
      <c r="O4" s="293"/>
      <c r="P4" s="293"/>
      <c r="Q4" s="293"/>
    </row>
    <row r="5" spans="1:17" ht="15" x14ac:dyDescent="0.25">
      <c r="A5" s="33" t="s">
        <v>76</v>
      </c>
      <c r="B5" s="214">
        <v>17505</v>
      </c>
      <c r="C5" s="214">
        <v>170805232.62</v>
      </c>
      <c r="D5" s="214">
        <v>23246650.140000008</v>
      </c>
      <c r="E5" s="214">
        <v>22411118.989999998</v>
      </c>
      <c r="F5" s="214">
        <v>10096454.43</v>
      </c>
      <c r="G5" s="214">
        <v>13463961.77</v>
      </c>
      <c r="H5" s="214">
        <f t="shared" si="0"/>
        <v>240023417.95000005</v>
      </c>
      <c r="K5" s="294"/>
      <c r="L5" s="293"/>
      <c r="M5" s="293"/>
      <c r="N5" s="293"/>
      <c r="O5" s="293"/>
      <c r="P5" s="293"/>
      <c r="Q5" s="293"/>
    </row>
    <row r="6" spans="1:17" ht="15" x14ac:dyDescent="0.25">
      <c r="A6" s="33" t="s">
        <v>77</v>
      </c>
      <c r="B6" s="214">
        <v>14921</v>
      </c>
      <c r="C6" s="214">
        <v>141866378.78</v>
      </c>
      <c r="D6" s="214">
        <v>21712925.09</v>
      </c>
      <c r="E6" s="214">
        <v>18524890.550000001</v>
      </c>
      <c r="F6" s="214">
        <v>9390772.8000000007</v>
      </c>
      <c r="G6" s="214">
        <v>10810740.550000001</v>
      </c>
      <c r="H6" s="214">
        <f t="shared" si="0"/>
        <v>202305707.77000004</v>
      </c>
      <c r="K6" s="294"/>
      <c r="L6" s="293"/>
      <c r="M6" s="293"/>
      <c r="N6" s="293"/>
      <c r="O6" s="293"/>
      <c r="P6" s="293"/>
      <c r="Q6" s="293"/>
    </row>
    <row r="7" spans="1:17" ht="15" x14ac:dyDescent="0.25">
      <c r="A7" s="33" t="s">
        <v>78</v>
      </c>
      <c r="B7" s="214">
        <v>12983</v>
      </c>
      <c r="C7" s="214">
        <v>122320356.56</v>
      </c>
      <c r="D7" s="214">
        <v>20657473.810000002</v>
      </c>
      <c r="E7" s="214">
        <v>21416273.139999989</v>
      </c>
      <c r="F7" s="214">
        <v>8726104.8200000003</v>
      </c>
      <c r="G7" s="214">
        <v>4804345.08</v>
      </c>
      <c r="H7" s="214">
        <f t="shared" si="0"/>
        <v>177924553.41</v>
      </c>
      <c r="K7" s="294"/>
      <c r="L7" s="293"/>
      <c r="M7" s="293"/>
      <c r="N7" s="293"/>
      <c r="O7" s="293"/>
      <c r="P7" s="293"/>
      <c r="Q7" s="293"/>
    </row>
    <row r="8" spans="1:17" ht="15" x14ac:dyDescent="0.25">
      <c r="A8" s="33" t="s">
        <v>79</v>
      </c>
      <c r="B8" s="214">
        <v>4802</v>
      </c>
      <c r="C8" s="214">
        <v>56718874.810000002</v>
      </c>
      <c r="D8" s="214">
        <v>12645208.689999994</v>
      </c>
      <c r="E8" s="214">
        <v>9839153.7399999984</v>
      </c>
      <c r="F8" s="214">
        <v>10982609.270000005</v>
      </c>
      <c r="G8" s="214">
        <v>1261908.8900000001</v>
      </c>
      <c r="H8" s="214">
        <f t="shared" si="0"/>
        <v>91447755.400000006</v>
      </c>
      <c r="K8" s="294"/>
      <c r="L8" s="293"/>
      <c r="M8" s="293"/>
      <c r="N8" s="293"/>
      <c r="O8" s="293"/>
      <c r="P8" s="293"/>
      <c r="Q8" s="293"/>
    </row>
    <row r="9" spans="1:17" ht="15" x14ac:dyDescent="0.25">
      <c r="A9" s="33" t="s">
        <v>80</v>
      </c>
      <c r="B9" s="220">
        <v>1384</v>
      </c>
      <c r="C9" s="220">
        <v>14956078.580000004</v>
      </c>
      <c r="D9" s="220">
        <v>4227406.7699999996</v>
      </c>
      <c r="E9" s="220">
        <v>3868514.0399999996</v>
      </c>
      <c r="F9" s="220">
        <v>1810403.22</v>
      </c>
      <c r="G9" s="220">
        <v>41364.630000000005</v>
      </c>
      <c r="H9" s="220">
        <f t="shared" si="0"/>
        <v>24903767.239999998</v>
      </c>
      <c r="K9" s="294"/>
      <c r="L9" s="293"/>
      <c r="M9" s="293"/>
      <c r="N9" s="293"/>
      <c r="O9" s="293"/>
      <c r="P9" s="293"/>
      <c r="Q9" s="293"/>
    </row>
    <row r="10" spans="1:17" x14ac:dyDescent="0.2">
      <c r="A10" s="33" t="s">
        <v>103</v>
      </c>
      <c r="B10" s="221">
        <f t="shared" ref="B10:H10" si="1">SUM(B4:B9)</f>
        <v>92935</v>
      </c>
      <c r="C10" s="221">
        <f t="shared" si="1"/>
        <v>898263321.42999995</v>
      </c>
      <c r="D10" s="221">
        <f t="shared" si="1"/>
        <v>138074013.62000003</v>
      </c>
      <c r="E10" s="221">
        <f t="shared" si="1"/>
        <v>111951643.43999998</v>
      </c>
      <c r="F10" s="221">
        <f t="shared" si="1"/>
        <v>49441185.789999999</v>
      </c>
      <c r="G10" s="221">
        <f t="shared" si="1"/>
        <v>70247334.989999995</v>
      </c>
      <c r="H10" s="214">
        <f t="shared" si="1"/>
        <v>1267977499.2700002</v>
      </c>
    </row>
    <row r="11" spans="1:17" x14ac:dyDescent="0.2">
      <c r="A11" s="33"/>
      <c r="B11" s="182"/>
      <c r="C11" s="221"/>
      <c r="D11" s="221"/>
      <c r="E11" s="221"/>
      <c r="F11" s="221"/>
      <c r="G11" s="221"/>
      <c r="H11" s="214"/>
    </row>
    <row r="12" spans="1:17" ht="15" x14ac:dyDescent="0.25">
      <c r="A12" s="33" t="s">
        <v>81</v>
      </c>
      <c r="B12" s="214">
        <v>22026</v>
      </c>
      <c r="C12" s="214">
        <v>198768130.00000003</v>
      </c>
      <c r="D12" s="214">
        <v>38510139.099999994</v>
      </c>
      <c r="E12" s="214">
        <v>17741250.759999998</v>
      </c>
      <c r="F12" s="214">
        <v>7380339.120000002</v>
      </c>
      <c r="G12" s="214">
        <v>27385757.309999995</v>
      </c>
      <c r="H12" s="214">
        <f>SUM(C12:G12)</f>
        <v>289785616.29000002</v>
      </c>
      <c r="K12" s="294"/>
      <c r="L12" s="293"/>
      <c r="M12" s="293"/>
      <c r="N12" s="293"/>
      <c r="O12" s="293"/>
      <c r="P12" s="293"/>
      <c r="Q12" s="293"/>
    </row>
    <row r="13" spans="1:17" ht="15" x14ac:dyDescent="0.25">
      <c r="A13" s="33" t="s">
        <v>82</v>
      </c>
      <c r="B13" s="214">
        <v>6094</v>
      </c>
      <c r="C13" s="214">
        <v>57438286.609999999</v>
      </c>
      <c r="D13" s="214">
        <v>7747905.2100000009</v>
      </c>
      <c r="E13" s="214">
        <v>7338242.75</v>
      </c>
      <c r="F13" s="214">
        <v>3059463.53</v>
      </c>
      <c r="G13" s="214">
        <v>5904075.6299999999</v>
      </c>
      <c r="H13" s="214">
        <f>SUM(C13:G13)</f>
        <v>81487973.729999989</v>
      </c>
      <c r="K13" s="294"/>
      <c r="L13" s="293"/>
      <c r="M13" s="293"/>
      <c r="N13" s="293"/>
      <c r="O13" s="293"/>
      <c r="P13" s="293"/>
      <c r="Q13" s="293"/>
    </row>
    <row r="14" spans="1:17" ht="15" x14ac:dyDescent="0.25">
      <c r="A14" s="33" t="s">
        <v>83</v>
      </c>
      <c r="B14" s="214">
        <v>5366</v>
      </c>
      <c r="C14" s="214">
        <v>52808005.570000008</v>
      </c>
      <c r="D14" s="214">
        <v>10304702.01</v>
      </c>
      <c r="E14" s="214">
        <v>7887878.8599999994</v>
      </c>
      <c r="F14" s="214">
        <v>4058083.97</v>
      </c>
      <c r="G14" s="214">
        <v>5703913.9500000002</v>
      </c>
      <c r="H14" s="214">
        <f>SUM(C14:G14)</f>
        <v>80762584.359999999</v>
      </c>
      <c r="K14" s="294"/>
      <c r="L14" s="293"/>
      <c r="M14" s="293"/>
      <c r="N14" s="293"/>
      <c r="O14" s="293"/>
      <c r="P14" s="293"/>
      <c r="Q14" s="293"/>
    </row>
    <row r="15" spans="1:17" ht="15" x14ac:dyDescent="0.25">
      <c r="A15" s="33" t="s">
        <v>84</v>
      </c>
      <c r="B15" s="214">
        <v>3820</v>
      </c>
      <c r="C15" s="214">
        <v>46791698.019999996</v>
      </c>
      <c r="D15" s="214">
        <v>10476373.270000001</v>
      </c>
      <c r="E15" s="214">
        <v>7818870.3499999996</v>
      </c>
      <c r="F15" s="214">
        <v>3576167.4600000004</v>
      </c>
      <c r="G15" s="214">
        <v>2674293.34</v>
      </c>
      <c r="H15" s="214">
        <f>SUM(C15:G15)</f>
        <v>71337402.439999998</v>
      </c>
      <c r="K15" s="294"/>
      <c r="L15" s="293"/>
      <c r="M15" s="293"/>
      <c r="N15" s="293"/>
      <c r="O15" s="293"/>
      <c r="P15" s="293"/>
      <c r="Q15" s="293"/>
    </row>
    <row r="16" spans="1:17" ht="15" x14ac:dyDescent="0.25">
      <c r="A16" s="33" t="s">
        <v>85</v>
      </c>
      <c r="B16" s="220">
        <v>1372</v>
      </c>
      <c r="C16" s="220">
        <v>24457876.890000001</v>
      </c>
      <c r="D16" s="220">
        <v>6654796.0099999988</v>
      </c>
      <c r="E16" s="220">
        <v>4659244.5499999989</v>
      </c>
      <c r="F16" s="220">
        <v>2993653.8800000004</v>
      </c>
      <c r="G16" s="220">
        <v>274744.99</v>
      </c>
      <c r="H16" s="220">
        <f>SUM(C16:G16)</f>
        <v>39040316.32</v>
      </c>
      <c r="K16" s="294"/>
      <c r="L16" s="293"/>
      <c r="M16" s="293"/>
      <c r="N16" s="293"/>
      <c r="O16" s="293"/>
      <c r="P16" s="293"/>
      <c r="Q16" s="293"/>
    </row>
    <row r="17" spans="1:17" x14ac:dyDescent="0.2">
      <c r="A17" s="33" t="s">
        <v>104</v>
      </c>
      <c r="B17" s="221">
        <f t="shared" ref="B17:H17" si="2">SUM(B12:B16)</f>
        <v>38678</v>
      </c>
      <c r="C17" s="221">
        <f t="shared" si="2"/>
        <v>380263997.08999997</v>
      </c>
      <c r="D17" s="221">
        <f t="shared" si="2"/>
        <v>73693915.599999994</v>
      </c>
      <c r="E17" s="221">
        <f t="shared" si="2"/>
        <v>45445487.269999996</v>
      </c>
      <c r="F17" s="221">
        <f t="shared" si="2"/>
        <v>21067707.960000001</v>
      </c>
      <c r="G17" s="221">
        <f t="shared" si="2"/>
        <v>41942785.219999991</v>
      </c>
      <c r="H17" s="221">
        <f t="shared" si="2"/>
        <v>562413893.13999999</v>
      </c>
    </row>
    <row r="18" spans="1:17" x14ac:dyDescent="0.2">
      <c r="A18" s="33"/>
      <c r="B18" s="182"/>
      <c r="C18" s="221"/>
      <c r="D18" s="221"/>
      <c r="E18" s="221"/>
      <c r="F18" s="221"/>
      <c r="G18" s="221"/>
      <c r="H18" s="214"/>
    </row>
    <row r="19" spans="1:17" ht="15" x14ac:dyDescent="0.25">
      <c r="A19" s="33" t="s">
        <v>86</v>
      </c>
      <c r="B19" s="214">
        <v>14822</v>
      </c>
      <c r="C19" s="214">
        <v>130907359.88000003</v>
      </c>
      <c r="D19" s="214">
        <v>24596818.759999998</v>
      </c>
      <c r="E19" s="214">
        <v>19191562.200000003</v>
      </c>
      <c r="F19" s="214">
        <v>10510689.049999999</v>
      </c>
      <c r="G19" s="214">
        <v>17273499.02</v>
      </c>
      <c r="H19" s="214">
        <f>SUM(C19:G19)</f>
        <v>202479928.91000006</v>
      </c>
      <c r="K19" s="294"/>
      <c r="L19" s="293"/>
      <c r="M19" s="293"/>
      <c r="N19" s="293"/>
      <c r="O19" s="293"/>
      <c r="P19" s="293"/>
      <c r="Q19" s="293"/>
    </row>
    <row r="20" spans="1:17" ht="15" x14ac:dyDescent="0.25">
      <c r="A20" s="33" t="s">
        <v>87</v>
      </c>
      <c r="B20" s="220">
        <v>7280</v>
      </c>
      <c r="C20" s="220">
        <v>93988068.340000004</v>
      </c>
      <c r="D20" s="220">
        <v>18462723.330000002</v>
      </c>
      <c r="E20" s="220">
        <v>18755544.290000003</v>
      </c>
      <c r="F20" s="220">
        <v>6818120.9299999997</v>
      </c>
      <c r="G20" s="220">
        <v>3808188.6900000004</v>
      </c>
      <c r="H20" s="220">
        <f>SUM(C20:G20)</f>
        <v>141832645.58000001</v>
      </c>
      <c r="K20" s="294"/>
      <c r="L20" s="293"/>
      <c r="M20" s="293"/>
      <c r="N20" s="293"/>
      <c r="O20" s="293"/>
      <c r="P20" s="293"/>
      <c r="Q20" s="293"/>
    </row>
    <row r="21" spans="1:17" ht="15" x14ac:dyDescent="0.25">
      <c r="A21" s="33" t="s">
        <v>105</v>
      </c>
      <c r="B21" s="221">
        <f t="shared" ref="B21:H21" si="3">SUM(B19:B20)</f>
        <v>22102</v>
      </c>
      <c r="C21" s="221">
        <f t="shared" si="3"/>
        <v>224895428.22000003</v>
      </c>
      <c r="D21" s="221">
        <f t="shared" si="3"/>
        <v>43059542.090000004</v>
      </c>
      <c r="E21" s="221">
        <f t="shared" si="3"/>
        <v>37947106.49000001</v>
      </c>
      <c r="F21" s="221">
        <f t="shared" si="3"/>
        <v>17328809.979999997</v>
      </c>
      <c r="G21" s="221">
        <f t="shared" si="3"/>
        <v>21081687.710000001</v>
      </c>
      <c r="H21" s="221">
        <f t="shared" si="3"/>
        <v>344312574.49000007</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153715</v>
      </c>
      <c r="C23" s="222">
        <f t="shared" si="4"/>
        <v>1503422746.7399998</v>
      </c>
      <c r="D23" s="222">
        <f t="shared" si="4"/>
        <v>254827471.31000003</v>
      </c>
      <c r="E23" s="222">
        <f t="shared" si="4"/>
        <v>195344237.19999999</v>
      </c>
      <c r="F23" s="222">
        <f t="shared" si="4"/>
        <v>87837703.729999989</v>
      </c>
      <c r="G23" s="222">
        <f t="shared" si="4"/>
        <v>133271807.91999999</v>
      </c>
      <c r="H23" s="222">
        <f t="shared" si="4"/>
        <v>2174703966.9000006</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FY2022</v>
      </c>
      <c r="C26" s="22"/>
      <c r="D26" s="22"/>
      <c r="E26" s="22"/>
      <c r="F26" s="22"/>
      <c r="G26" s="22"/>
      <c r="H26" s="22"/>
    </row>
    <row r="27" spans="1:17" ht="33.75" x14ac:dyDescent="0.2">
      <c r="A27" s="155" t="s">
        <v>245</v>
      </c>
      <c r="B27" s="172" t="str">
        <f t="shared" ref="B27:H34" si="5">B3</f>
        <v>ANB22</v>
      </c>
      <c r="C27" s="172" t="str">
        <f t="shared" si="5"/>
        <v>22/Pupil Salaries &amp; Benefits</v>
      </c>
      <c r="D27" s="172" t="str">
        <f t="shared" si="5"/>
        <v>22/Pupil Purchased Services</v>
      </c>
      <c r="E27" s="172" t="str">
        <f t="shared" si="5"/>
        <v>22/Pupil Supplies</v>
      </c>
      <c r="F27" s="172" t="str">
        <f t="shared" si="5"/>
        <v>22/Pupil Capital Outlay</v>
      </c>
      <c r="G27" s="172" t="str">
        <f t="shared" si="5"/>
        <v>22/Pupil Other</v>
      </c>
      <c r="H27" s="172" t="str">
        <f t="shared" si="5"/>
        <v>22/Pupil Total Expenditures</v>
      </c>
    </row>
    <row r="28" spans="1:17" x14ac:dyDescent="0.2">
      <c r="A28" s="33" t="s">
        <v>102</v>
      </c>
      <c r="B28" s="214">
        <f t="shared" si="5"/>
        <v>41340</v>
      </c>
      <c r="C28" s="182">
        <f t="shared" ref="C28:H34" si="6">C4/$B28</f>
        <v>9472.5786182873744</v>
      </c>
      <c r="D28" s="182">
        <f t="shared" si="6"/>
        <v>1344.5657745524916</v>
      </c>
      <c r="E28" s="182">
        <f t="shared" si="6"/>
        <v>868.20737735849048</v>
      </c>
      <c r="F28" s="182">
        <f t="shared" si="6"/>
        <v>204.03583091436866</v>
      </c>
      <c r="G28" s="182">
        <f t="shared" si="6"/>
        <v>964.32061127237546</v>
      </c>
      <c r="H28" s="182">
        <f t="shared" si="6"/>
        <v>12853.708212385101</v>
      </c>
    </row>
    <row r="29" spans="1:17" x14ac:dyDescent="0.2">
      <c r="A29" s="33" t="s">
        <v>76</v>
      </c>
      <c r="B29" s="214">
        <f t="shared" si="5"/>
        <v>17505</v>
      </c>
      <c r="C29" s="182">
        <f t="shared" si="6"/>
        <v>9757.5111465295631</v>
      </c>
      <c r="D29" s="182">
        <f t="shared" si="6"/>
        <v>1328.0005792630682</v>
      </c>
      <c r="E29" s="182">
        <f t="shared" si="6"/>
        <v>1280.2695795487002</v>
      </c>
      <c r="F29" s="182">
        <f t="shared" si="6"/>
        <v>576.77546015424161</v>
      </c>
      <c r="G29" s="182">
        <f t="shared" si="6"/>
        <v>769.14948700371315</v>
      </c>
      <c r="H29" s="182">
        <f t="shared" si="6"/>
        <v>13711.706252499289</v>
      </c>
    </row>
    <row r="30" spans="1:17" x14ac:dyDescent="0.2">
      <c r="A30" s="33" t="s">
        <v>77</v>
      </c>
      <c r="B30" s="214">
        <f t="shared" si="5"/>
        <v>14921</v>
      </c>
      <c r="C30" s="182">
        <f t="shared" si="6"/>
        <v>9507.8331733798004</v>
      </c>
      <c r="D30" s="182">
        <f t="shared" si="6"/>
        <v>1455.1923523892501</v>
      </c>
      <c r="E30" s="182">
        <f t="shared" si="6"/>
        <v>1241.5314355606192</v>
      </c>
      <c r="F30" s="182">
        <f t="shared" si="6"/>
        <v>629.36618189129422</v>
      </c>
      <c r="G30" s="182">
        <f t="shared" si="6"/>
        <v>724.53190469807657</v>
      </c>
      <c r="H30" s="182">
        <f t="shared" si="6"/>
        <v>13558.455047919044</v>
      </c>
    </row>
    <row r="31" spans="1:17" x14ac:dyDescent="0.2">
      <c r="A31" s="33" t="s">
        <v>78</v>
      </c>
      <c r="B31" s="214">
        <f t="shared" si="5"/>
        <v>12983</v>
      </c>
      <c r="C31" s="182">
        <f t="shared" si="6"/>
        <v>9421.5787229453908</v>
      </c>
      <c r="D31" s="182">
        <f t="shared" si="6"/>
        <v>1591.117138565817</v>
      </c>
      <c r="E31" s="182">
        <f t="shared" si="6"/>
        <v>1649.5627466687199</v>
      </c>
      <c r="F31" s="182">
        <f t="shared" si="6"/>
        <v>672.1177555264577</v>
      </c>
      <c r="G31" s="182">
        <f t="shared" si="6"/>
        <v>370.04891627512905</v>
      </c>
      <c r="H31" s="182">
        <f t="shared" si="6"/>
        <v>13704.425279981515</v>
      </c>
    </row>
    <row r="32" spans="1:17" x14ac:dyDescent="0.2">
      <c r="A32" s="33" t="s">
        <v>79</v>
      </c>
      <c r="B32" s="214">
        <f t="shared" si="5"/>
        <v>4802</v>
      </c>
      <c r="C32" s="182">
        <f t="shared" si="6"/>
        <v>11811.510789254478</v>
      </c>
      <c r="D32" s="182">
        <f t="shared" si="6"/>
        <v>2633.3212598917107</v>
      </c>
      <c r="E32" s="182">
        <f t="shared" si="6"/>
        <v>2048.9699583506867</v>
      </c>
      <c r="F32" s="182">
        <f t="shared" si="6"/>
        <v>2287.0906434818835</v>
      </c>
      <c r="G32" s="182">
        <f t="shared" si="6"/>
        <v>262.78819033735948</v>
      </c>
      <c r="H32" s="182">
        <f t="shared" si="6"/>
        <v>19043.68084131612</v>
      </c>
    </row>
    <row r="33" spans="1:8" x14ac:dyDescent="0.2">
      <c r="A33" s="33" t="s">
        <v>80</v>
      </c>
      <c r="B33" s="220">
        <f t="shared" si="5"/>
        <v>1384</v>
      </c>
      <c r="C33" s="183">
        <f t="shared" si="6"/>
        <v>10806.41515895954</v>
      </c>
      <c r="D33" s="183">
        <f t="shared" si="6"/>
        <v>3054.4846604046238</v>
      </c>
      <c r="E33" s="183">
        <f t="shared" si="6"/>
        <v>2795.1691040462424</v>
      </c>
      <c r="F33" s="183">
        <f t="shared" si="6"/>
        <v>1308.0948121387282</v>
      </c>
      <c r="G33" s="183">
        <f t="shared" si="6"/>
        <v>29.887738439306361</v>
      </c>
      <c r="H33" s="183">
        <f t="shared" si="6"/>
        <v>17994.051473988438</v>
      </c>
    </row>
    <row r="34" spans="1:8" x14ac:dyDescent="0.2">
      <c r="A34" s="33" t="s">
        <v>103</v>
      </c>
      <c r="B34" s="214">
        <f t="shared" si="5"/>
        <v>92935</v>
      </c>
      <c r="C34" s="182">
        <f t="shared" si="6"/>
        <v>9665.5008493032765</v>
      </c>
      <c r="D34" s="182">
        <f t="shared" si="6"/>
        <v>1485.7052092322594</v>
      </c>
      <c r="E34" s="182">
        <f t="shared" si="6"/>
        <v>1204.6230531016299</v>
      </c>
      <c r="F34" s="182">
        <f t="shared" si="6"/>
        <v>531.99747985150907</v>
      </c>
      <c r="G34" s="182">
        <f t="shared" si="6"/>
        <v>755.8759884865766</v>
      </c>
      <c r="H34" s="182">
        <f t="shared" si="6"/>
        <v>13643.702579975254</v>
      </c>
    </row>
    <row r="35" spans="1:8" x14ac:dyDescent="0.2">
      <c r="A35" s="33"/>
      <c r="B35" s="214"/>
      <c r="C35" s="182"/>
      <c r="D35" s="182"/>
      <c r="E35" s="182"/>
      <c r="F35" s="182"/>
      <c r="G35" s="182"/>
      <c r="H35" s="182"/>
    </row>
    <row r="36" spans="1:8" x14ac:dyDescent="0.2">
      <c r="A36" s="33" t="s">
        <v>81</v>
      </c>
      <c r="B36" s="214">
        <f t="shared" ref="B36:B41" si="7">B12</f>
        <v>22026</v>
      </c>
      <c r="C36" s="182">
        <f t="shared" ref="C36:H41" si="8">C12/$B36</f>
        <v>9024.2499772995561</v>
      </c>
      <c r="D36" s="182">
        <f t="shared" si="8"/>
        <v>1748.3945836738396</v>
      </c>
      <c r="E36" s="182">
        <f t="shared" si="8"/>
        <v>805.468571688005</v>
      </c>
      <c r="F36" s="182">
        <f t="shared" si="8"/>
        <v>335.07396349768464</v>
      </c>
      <c r="G36" s="182">
        <f t="shared" si="8"/>
        <v>1243.3377512939251</v>
      </c>
      <c r="H36" s="182">
        <f t="shared" si="8"/>
        <v>13156.524847453011</v>
      </c>
    </row>
    <row r="37" spans="1:8" x14ac:dyDescent="0.2">
      <c r="A37" s="33" t="s">
        <v>82</v>
      </c>
      <c r="B37" s="214">
        <f t="shared" si="7"/>
        <v>6094</v>
      </c>
      <c r="C37" s="182">
        <f t="shared" si="8"/>
        <v>9425.3834279619296</v>
      </c>
      <c r="D37" s="182">
        <f t="shared" si="8"/>
        <v>1271.3989514276338</v>
      </c>
      <c r="E37" s="182">
        <f t="shared" si="8"/>
        <v>1204.1750492287497</v>
      </c>
      <c r="F37" s="182">
        <f t="shared" si="8"/>
        <v>502.04521332458154</v>
      </c>
      <c r="G37" s="182">
        <f t="shared" si="8"/>
        <v>968.8342024942566</v>
      </c>
      <c r="H37" s="182">
        <f t="shared" si="8"/>
        <v>13371.83684443715</v>
      </c>
    </row>
    <row r="38" spans="1:8" x14ac:dyDescent="0.2">
      <c r="A38" s="33" t="s">
        <v>83</v>
      </c>
      <c r="B38" s="214">
        <f t="shared" si="7"/>
        <v>5366</v>
      </c>
      <c r="C38" s="182">
        <f t="shared" si="8"/>
        <v>9841.2235501304531</v>
      </c>
      <c r="D38" s="182">
        <f t="shared" si="8"/>
        <v>1920.3693645173314</v>
      </c>
      <c r="E38" s="182">
        <f t="shared" si="8"/>
        <v>1469.9736973537085</v>
      </c>
      <c r="F38" s="182">
        <f t="shared" si="8"/>
        <v>756.25866008199785</v>
      </c>
      <c r="G38" s="182">
        <f t="shared" si="8"/>
        <v>1062.9731550503168</v>
      </c>
      <c r="H38" s="182">
        <f t="shared" si="8"/>
        <v>15050.798427133805</v>
      </c>
    </row>
    <row r="39" spans="1:8" x14ac:dyDescent="0.2">
      <c r="A39" s="33" t="s">
        <v>84</v>
      </c>
      <c r="B39" s="214">
        <f t="shared" si="7"/>
        <v>3820</v>
      </c>
      <c r="C39" s="182">
        <f t="shared" si="8"/>
        <v>12249.135607329841</v>
      </c>
      <c r="D39" s="182">
        <f t="shared" si="8"/>
        <v>2742.5060916230368</v>
      </c>
      <c r="E39" s="182">
        <f t="shared" si="8"/>
        <v>2046.8246989528795</v>
      </c>
      <c r="F39" s="182">
        <f t="shared" si="8"/>
        <v>936.16949214659701</v>
      </c>
      <c r="G39" s="182">
        <f t="shared" si="8"/>
        <v>700.07679057591622</v>
      </c>
      <c r="H39" s="182">
        <f t="shared" si="8"/>
        <v>18674.712680628272</v>
      </c>
    </row>
    <row r="40" spans="1:8" x14ac:dyDescent="0.2">
      <c r="A40" s="33" t="s">
        <v>85</v>
      </c>
      <c r="B40" s="220">
        <f t="shared" si="7"/>
        <v>1372</v>
      </c>
      <c r="C40" s="183">
        <f t="shared" si="8"/>
        <v>17826.440881924198</v>
      </c>
      <c r="D40" s="183">
        <f t="shared" si="8"/>
        <v>4850.4344096209907</v>
      </c>
      <c r="E40" s="183">
        <f t="shared" si="8"/>
        <v>3395.9508381924188</v>
      </c>
      <c r="F40" s="183">
        <f t="shared" si="8"/>
        <v>2181.9634693877551</v>
      </c>
      <c r="G40" s="183">
        <f t="shared" si="8"/>
        <v>200.25145043731777</v>
      </c>
      <c r="H40" s="183">
        <f t="shared" si="8"/>
        <v>28455.041049562682</v>
      </c>
    </row>
    <row r="41" spans="1:8" x14ac:dyDescent="0.2">
      <c r="A41" s="33" t="s">
        <v>104</v>
      </c>
      <c r="B41" s="214">
        <f t="shared" si="7"/>
        <v>38678</v>
      </c>
      <c r="C41" s="182">
        <f t="shared" si="8"/>
        <v>9831.5320618956503</v>
      </c>
      <c r="D41" s="182">
        <f t="shared" si="8"/>
        <v>1905.3186721133459</v>
      </c>
      <c r="E41" s="182">
        <f t="shared" si="8"/>
        <v>1174.9699382077665</v>
      </c>
      <c r="F41" s="182">
        <f t="shared" si="8"/>
        <v>544.69486426392268</v>
      </c>
      <c r="G41" s="182">
        <f t="shared" si="8"/>
        <v>1084.4093598428044</v>
      </c>
      <c r="H41" s="182">
        <f t="shared" si="8"/>
        <v>14540.924896323491</v>
      </c>
    </row>
    <row r="42" spans="1:8" x14ac:dyDescent="0.2">
      <c r="A42" s="33"/>
      <c r="B42" s="214"/>
      <c r="C42" s="182"/>
      <c r="D42" s="182"/>
      <c r="E42" s="182"/>
      <c r="F42" s="182"/>
      <c r="G42" s="182"/>
      <c r="H42" s="182"/>
    </row>
    <row r="43" spans="1:8" x14ac:dyDescent="0.2">
      <c r="A43" s="33" t="s">
        <v>86</v>
      </c>
      <c r="B43" s="214">
        <f>B19</f>
        <v>14822</v>
      </c>
      <c r="C43" s="182">
        <f t="shared" ref="C43:H45" si="9">C19/$B43</f>
        <v>8831.9632897044958</v>
      </c>
      <c r="D43" s="182">
        <f t="shared" si="9"/>
        <v>1659.4804182971257</v>
      </c>
      <c r="E43" s="182">
        <f t="shared" si="9"/>
        <v>1294.8024693023885</v>
      </c>
      <c r="F43" s="182">
        <f t="shared" si="9"/>
        <v>709.12758399676147</v>
      </c>
      <c r="G43" s="182">
        <f t="shared" si="9"/>
        <v>1165.3959668060991</v>
      </c>
      <c r="H43" s="182">
        <f t="shared" si="9"/>
        <v>13660.769728106872</v>
      </c>
    </row>
    <row r="44" spans="1:8" x14ac:dyDescent="0.2">
      <c r="A44" s="33" t="s">
        <v>87</v>
      </c>
      <c r="B44" s="220">
        <f>B20</f>
        <v>7280</v>
      </c>
      <c r="C44" s="183">
        <f t="shared" si="9"/>
        <v>12910.448947802199</v>
      </c>
      <c r="D44" s="183">
        <f t="shared" si="9"/>
        <v>2536.0883695054949</v>
      </c>
      <c r="E44" s="183">
        <f t="shared" si="9"/>
        <v>2576.3110288461544</v>
      </c>
      <c r="F44" s="183">
        <f t="shared" si="9"/>
        <v>936.55507280219774</v>
      </c>
      <c r="G44" s="183">
        <f t="shared" si="9"/>
        <v>523.10284203296703</v>
      </c>
      <c r="H44" s="183">
        <f t="shared" si="9"/>
        <v>19482.506260989012</v>
      </c>
    </row>
    <row r="45" spans="1:8" x14ac:dyDescent="0.2">
      <c r="A45" s="33" t="s">
        <v>105</v>
      </c>
      <c r="B45" s="214">
        <f>B21</f>
        <v>22102</v>
      </c>
      <c r="C45" s="182">
        <f t="shared" si="9"/>
        <v>10175.342874852955</v>
      </c>
      <c r="D45" s="182">
        <f t="shared" si="9"/>
        <v>1948.2192602479415</v>
      </c>
      <c r="E45" s="182">
        <f t="shared" si="9"/>
        <v>1716.9082657678043</v>
      </c>
      <c r="F45" s="182">
        <f t="shared" si="9"/>
        <v>784.03809519500487</v>
      </c>
      <c r="G45" s="182">
        <f t="shared" si="9"/>
        <v>953.83620079630805</v>
      </c>
      <c r="H45" s="182">
        <f t="shared" si="9"/>
        <v>15578.344696860016</v>
      </c>
    </row>
    <row r="46" spans="1:8" x14ac:dyDescent="0.2">
      <c r="A46" s="33"/>
      <c r="B46" s="214"/>
      <c r="C46" s="182"/>
      <c r="D46" s="182"/>
      <c r="E46" s="182"/>
      <c r="F46" s="182"/>
      <c r="G46" s="182"/>
      <c r="H46" s="182"/>
    </row>
    <row r="47" spans="1:8" ht="13.5" thickBot="1" x14ac:dyDescent="0.25">
      <c r="A47" s="33" t="s">
        <v>209</v>
      </c>
      <c r="B47" s="222">
        <f>B23</f>
        <v>153715</v>
      </c>
      <c r="C47" s="192">
        <f t="shared" ref="C47:H47" si="10">C23/$B47</f>
        <v>9780.5858032072319</v>
      </c>
      <c r="D47" s="192">
        <f t="shared" si="10"/>
        <v>1657.7918310509713</v>
      </c>
      <c r="E47" s="192">
        <f t="shared" si="10"/>
        <v>1270.8209166314282</v>
      </c>
      <c r="F47" s="192">
        <f t="shared" si="10"/>
        <v>571.43222021273129</v>
      </c>
      <c r="G47" s="192">
        <f t="shared" si="10"/>
        <v>867.00587398757432</v>
      </c>
      <c r="H47" s="222">
        <f t="shared" si="10"/>
        <v>14147.636645089942</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FY2022</v>
      </c>
      <c r="C52" s="182"/>
      <c r="D52" s="182"/>
      <c r="E52" s="182"/>
      <c r="F52" s="182"/>
      <c r="G52" s="182"/>
      <c r="H52" s="182"/>
    </row>
    <row r="53" spans="1:8" ht="33.75" x14ac:dyDescent="0.2">
      <c r="A53" s="155" t="s">
        <v>245</v>
      </c>
      <c r="B53" s="172" t="str">
        <f t="shared" ref="B53:H59" si="11">B3</f>
        <v>ANB22</v>
      </c>
      <c r="C53" s="172" t="str">
        <f t="shared" si="11"/>
        <v>22/Pupil Salaries &amp; Benefits</v>
      </c>
      <c r="D53" s="172" t="str">
        <f t="shared" si="11"/>
        <v>22/Pupil Purchased Services</v>
      </c>
      <c r="E53" s="172" t="str">
        <f t="shared" si="11"/>
        <v>22/Pupil Supplies</v>
      </c>
      <c r="F53" s="172" t="str">
        <f t="shared" si="11"/>
        <v>22/Pupil Capital Outlay</v>
      </c>
      <c r="G53" s="172" t="str">
        <f t="shared" si="11"/>
        <v>22/Pupil Other</v>
      </c>
      <c r="H53" s="172" t="str">
        <f t="shared" si="11"/>
        <v>22/Pupil Total Expenditures</v>
      </c>
    </row>
    <row r="54" spans="1:8" x14ac:dyDescent="0.2">
      <c r="A54" s="33" t="s">
        <v>102</v>
      </c>
      <c r="B54" s="214">
        <f t="shared" si="11"/>
        <v>41340</v>
      </c>
      <c r="C54" s="191">
        <f t="shared" ref="C54:H60" si="12">C28/$H28</f>
        <v>0.73695298366584494</v>
      </c>
      <c r="D54" s="191">
        <f t="shared" si="12"/>
        <v>0.10460528217506482</v>
      </c>
      <c r="E54" s="191">
        <f t="shared" si="12"/>
        <v>6.7545284443436743E-2</v>
      </c>
      <c r="F54" s="191">
        <f t="shared" si="12"/>
        <v>1.5873693998885968E-2</v>
      </c>
      <c r="G54" s="191">
        <f t="shared" si="12"/>
        <v>7.5022755716767475E-2</v>
      </c>
      <c r="H54" s="191">
        <f t="shared" si="12"/>
        <v>1</v>
      </c>
    </row>
    <row r="55" spans="1:8" x14ac:dyDescent="0.2">
      <c r="A55" s="33" t="s">
        <v>76</v>
      </c>
      <c r="B55" s="214">
        <f t="shared" si="11"/>
        <v>17505</v>
      </c>
      <c r="C55" s="191">
        <f t="shared" si="12"/>
        <v>0.7116190331710921</v>
      </c>
      <c r="D55" s="191">
        <f t="shared" si="12"/>
        <v>9.6851591976090362E-2</v>
      </c>
      <c r="E55" s="191">
        <f t="shared" si="12"/>
        <v>9.3370551846189115E-2</v>
      </c>
      <c r="F55" s="191">
        <f t="shared" si="12"/>
        <v>4.2064455694499028E-2</v>
      </c>
      <c r="G55" s="191">
        <f t="shared" si="12"/>
        <v>5.6094367312129162E-2</v>
      </c>
      <c r="H55" s="191">
        <f t="shared" si="12"/>
        <v>1</v>
      </c>
    </row>
    <row r="56" spans="1:8" x14ac:dyDescent="0.2">
      <c r="A56" s="33" t="s">
        <v>77</v>
      </c>
      <c r="B56" s="214">
        <f t="shared" si="11"/>
        <v>14921</v>
      </c>
      <c r="C56" s="191">
        <f t="shared" si="12"/>
        <v>0.7012475344555622</v>
      </c>
      <c r="D56" s="191">
        <f t="shared" si="12"/>
        <v>0.10732729851935406</v>
      </c>
      <c r="E56" s="191">
        <f t="shared" si="12"/>
        <v>9.1568798301335214E-2</v>
      </c>
      <c r="F56" s="191">
        <f t="shared" si="12"/>
        <v>4.6418723937716601E-2</v>
      </c>
      <c r="G56" s="191">
        <f t="shared" si="12"/>
        <v>5.3437644786031725E-2</v>
      </c>
      <c r="H56" s="191">
        <f t="shared" si="12"/>
        <v>1</v>
      </c>
    </row>
    <row r="57" spans="1:8" x14ac:dyDescent="0.2">
      <c r="A57" s="33" t="s">
        <v>78</v>
      </c>
      <c r="B57" s="214">
        <f t="shared" si="11"/>
        <v>12983</v>
      </c>
      <c r="C57" s="191">
        <f t="shared" si="12"/>
        <v>0.68748440963137558</v>
      </c>
      <c r="D57" s="191">
        <f t="shared" si="12"/>
        <v>0.11610243450996896</v>
      </c>
      <c r="E57" s="191">
        <f t="shared" si="12"/>
        <v>0.1203671597289299</v>
      </c>
      <c r="F57" s="191">
        <f t="shared" si="12"/>
        <v>4.9043848377081617E-2</v>
      </c>
      <c r="G57" s="191">
        <f t="shared" si="12"/>
        <v>2.7002147752643896E-2</v>
      </c>
      <c r="H57" s="191">
        <f t="shared" si="12"/>
        <v>1</v>
      </c>
    </row>
    <row r="58" spans="1:8" x14ac:dyDescent="0.2">
      <c r="A58" s="33" t="s">
        <v>79</v>
      </c>
      <c r="B58" s="214">
        <f t="shared" si="11"/>
        <v>4802</v>
      </c>
      <c r="C58" s="191">
        <f t="shared" si="12"/>
        <v>0.62023255313273662</v>
      </c>
      <c r="D58" s="191">
        <f t="shared" si="12"/>
        <v>0.13827795591798631</v>
      </c>
      <c r="E58" s="191">
        <f t="shared" si="12"/>
        <v>0.10759316832832834</v>
      </c>
      <c r="F58" s="191">
        <f t="shared" si="12"/>
        <v>0.12009708955633921</v>
      </c>
      <c r="G58" s="191">
        <f t="shared" si="12"/>
        <v>1.379923306460948E-2</v>
      </c>
      <c r="H58" s="191">
        <f t="shared" si="12"/>
        <v>1</v>
      </c>
    </row>
    <row r="59" spans="1:8" x14ac:dyDescent="0.2">
      <c r="A59" s="33" t="s">
        <v>80</v>
      </c>
      <c r="B59" s="220">
        <f t="shared" si="11"/>
        <v>1384</v>
      </c>
      <c r="C59" s="193">
        <f t="shared" si="12"/>
        <v>0.6005548652887267</v>
      </c>
      <c r="D59" s="193">
        <f t="shared" si="12"/>
        <v>0.16974969004729581</v>
      </c>
      <c r="E59" s="193">
        <f t="shared" si="12"/>
        <v>0.1553385077333384</v>
      </c>
      <c r="F59" s="193">
        <f t="shared" si="12"/>
        <v>7.2695958107581476E-2</v>
      </c>
      <c r="G59" s="193">
        <f t="shared" si="12"/>
        <v>1.6609788230577763E-3</v>
      </c>
      <c r="H59" s="193">
        <f t="shared" si="12"/>
        <v>1</v>
      </c>
    </row>
    <row r="60" spans="1:8" x14ac:dyDescent="0.2">
      <c r="A60" s="33" t="s">
        <v>103</v>
      </c>
      <c r="B60" s="214">
        <f>SUM(B54:B59)</f>
        <v>92935</v>
      </c>
      <c r="C60" s="191">
        <f t="shared" si="12"/>
        <v>0.70842213047719538</v>
      </c>
      <c r="D60" s="191">
        <f t="shared" si="12"/>
        <v>0.10889311024800676</v>
      </c>
      <c r="E60" s="191">
        <f t="shared" si="12"/>
        <v>8.8291506359105557E-2</v>
      </c>
      <c r="F60" s="191">
        <f t="shared" si="12"/>
        <v>3.8992163361309069E-2</v>
      </c>
      <c r="G60" s="191">
        <f t="shared" si="12"/>
        <v>5.5401089554383089E-2</v>
      </c>
      <c r="H60" s="191">
        <f t="shared" si="12"/>
        <v>1</v>
      </c>
    </row>
    <row r="61" spans="1:8" x14ac:dyDescent="0.2">
      <c r="A61" s="33"/>
      <c r="B61" s="214"/>
      <c r="C61" s="191"/>
      <c r="D61" s="191"/>
      <c r="E61" s="191"/>
      <c r="F61" s="191"/>
      <c r="G61" s="191"/>
      <c r="H61" s="191"/>
    </row>
    <row r="62" spans="1:8" x14ac:dyDescent="0.2">
      <c r="A62" s="33" t="s">
        <v>81</v>
      </c>
      <c r="B62" s="214">
        <f t="shared" ref="B62:B67" si="13">B12</f>
        <v>22026</v>
      </c>
      <c r="C62" s="191">
        <f t="shared" ref="C62:H67" si="14">C36/$H36</f>
        <v>0.68591440991703612</v>
      </c>
      <c r="D62" s="191">
        <f t="shared" si="14"/>
        <v>0.13289182393877466</v>
      </c>
      <c r="E62" s="191">
        <f t="shared" si="14"/>
        <v>6.1221985366746501E-2</v>
      </c>
      <c r="F62" s="191">
        <f t="shared" si="14"/>
        <v>2.5468272768287444E-2</v>
      </c>
      <c r="G62" s="191">
        <f t="shared" si="14"/>
        <v>9.4503508009155204E-2</v>
      </c>
      <c r="H62" s="191">
        <f t="shared" si="14"/>
        <v>1</v>
      </c>
    </row>
    <row r="63" spans="1:8" x14ac:dyDescent="0.2">
      <c r="A63" s="33" t="s">
        <v>82</v>
      </c>
      <c r="B63" s="214">
        <f t="shared" si="13"/>
        <v>6094</v>
      </c>
      <c r="C63" s="191">
        <f t="shared" si="14"/>
        <v>0.70486826436885563</v>
      </c>
      <c r="D63" s="191">
        <f t="shared" si="14"/>
        <v>9.5080351803466079E-2</v>
      </c>
      <c r="E63" s="191">
        <f t="shared" si="14"/>
        <v>9.005307671920193E-2</v>
      </c>
      <c r="F63" s="191">
        <f t="shared" si="14"/>
        <v>3.754497001161352E-2</v>
      </c>
      <c r="G63" s="191">
        <f t="shared" si="14"/>
        <v>7.2453337096862927E-2</v>
      </c>
      <c r="H63" s="191">
        <f t="shared" si="14"/>
        <v>1</v>
      </c>
    </row>
    <row r="64" spans="1:8" x14ac:dyDescent="0.2">
      <c r="A64" s="33" t="s">
        <v>83</v>
      </c>
      <c r="B64" s="214">
        <f t="shared" si="13"/>
        <v>5366</v>
      </c>
      <c r="C64" s="191">
        <f t="shared" si="14"/>
        <v>0.6538672082929865</v>
      </c>
      <c r="D64" s="191">
        <f t="shared" si="14"/>
        <v>0.12759252433115181</v>
      </c>
      <c r="E64" s="191">
        <f t="shared" si="14"/>
        <v>9.7667489500332286E-2</v>
      </c>
      <c r="F64" s="191">
        <f t="shared" si="14"/>
        <v>5.0247079166152633E-2</v>
      </c>
      <c r="G64" s="191">
        <f t="shared" si="14"/>
        <v>7.0625698709376961E-2</v>
      </c>
      <c r="H64" s="191">
        <f t="shared" si="14"/>
        <v>1</v>
      </c>
    </row>
    <row r="65" spans="1:8" x14ac:dyDescent="0.2">
      <c r="A65" s="33" t="s">
        <v>84</v>
      </c>
      <c r="B65" s="214">
        <f t="shared" si="13"/>
        <v>3820</v>
      </c>
      <c r="C65" s="191">
        <f t="shared" si="14"/>
        <v>0.65592096739652461</v>
      </c>
      <c r="D65" s="191">
        <f t="shared" si="14"/>
        <v>0.14685666861519664</v>
      </c>
      <c r="E65" s="191">
        <f t="shared" si="14"/>
        <v>0.10960407980338567</v>
      </c>
      <c r="F65" s="191">
        <f t="shared" si="14"/>
        <v>5.0130329079585152E-2</v>
      </c>
      <c r="G65" s="191">
        <f t="shared" si="14"/>
        <v>3.748795510530787E-2</v>
      </c>
      <c r="H65" s="191">
        <f t="shared" si="14"/>
        <v>1</v>
      </c>
    </row>
    <row r="66" spans="1:8" x14ac:dyDescent="0.2">
      <c r="A66" s="33" t="s">
        <v>85</v>
      </c>
      <c r="B66" s="220">
        <f t="shared" si="13"/>
        <v>1372</v>
      </c>
      <c r="C66" s="193">
        <f t="shared" si="14"/>
        <v>0.62647742629765657</v>
      </c>
      <c r="D66" s="193">
        <f t="shared" si="14"/>
        <v>0.17045958222912266</v>
      </c>
      <c r="E66" s="193">
        <f t="shared" si="14"/>
        <v>0.11934443644897186</v>
      </c>
      <c r="F66" s="193">
        <f t="shared" si="14"/>
        <v>7.6681086686441066E-2</v>
      </c>
      <c r="G66" s="193">
        <f t="shared" si="14"/>
        <v>7.0374683378077703E-3</v>
      </c>
      <c r="H66" s="193">
        <f t="shared" si="14"/>
        <v>1</v>
      </c>
    </row>
    <row r="67" spans="1:8" x14ac:dyDescent="0.2">
      <c r="A67" s="33" t="s">
        <v>104</v>
      </c>
      <c r="B67" s="214">
        <f t="shared" si="13"/>
        <v>38678</v>
      </c>
      <c r="C67" s="191">
        <f t="shared" si="14"/>
        <v>0.6761283846793984</v>
      </c>
      <c r="D67" s="191">
        <f t="shared" si="14"/>
        <v>0.13103146365848325</v>
      </c>
      <c r="E67" s="191">
        <f t="shared" si="14"/>
        <v>8.0804346806360602E-2</v>
      </c>
      <c r="F67" s="191">
        <f t="shared" si="14"/>
        <v>3.7459437288039542E-2</v>
      </c>
      <c r="G67" s="191">
        <f t="shared" si="14"/>
        <v>7.4576367567718141E-2</v>
      </c>
      <c r="H67" s="191">
        <f t="shared" si="14"/>
        <v>1</v>
      </c>
    </row>
    <row r="68" spans="1:8" x14ac:dyDescent="0.2">
      <c r="A68" s="33"/>
      <c r="B68" s="214"/>
      <c r="C68" s="191"/>
      <c r="D68" s="191"/>
      <c r="E68" s="191"/>
      <c r="F68" s="191"/>
      <c r="G68" s="191"/>
      <c r="H68" s="191"/>
    </row>
    <row r="69" spans="1:8" x14ac:dyDescent="0.2">
      <c r="A69" s="33" t="s">
        <v>86</v>
      </c>
      <c r="B69" s="214">
        <f>B19</f>
        <v>14822</v>
      </c>
      <c r="C69" s="191">
        <f t="shared" ref="C69:H71" si="15">C43/$H43</f>
        <v>0.64652017898616909</v>
      </c>
      <c r="D69" s="191">
        <f t="shared" si="15"/>
        <v>0.12147781210913498</v>
      </c>
      <c r="E69" s="191">
        <f t="shared" si="15"/>
        <v>9.4782541179824431E-2</v>
      </c>
      <c r="F69" s="191">
        <f t="shared" si="15"/>
        <v>5.1909782399577373E-2</v>
      </c>
      <c r="G69" s="191">
        <f t="shared" si="15"/>
        <v>8.5309685325293982E-2</v>
      </c>
      <c r="H69" s="191">
        <f t="shared" si="15"/>
        <v>1</v>
      </c>
    </row>
    <row r="70" spans="1:8" x14ac:dyDescent="0.2">
      <c r="A70" s="33" t="s">
        <v>87</v>
      </c>
      <c r="B70" s="220">
        <f>B20</f>
        <v>7280</v>
      </c>
      <c r="C70" s="193">
        <f t="shared" si="15"/>
        <v>0.66266879501296827</v>
      </c>
      <c r="D70" s="193">
        <f t="shared" si="15"/>
        <v>0.13017259358379657</v>
      </c>
      <c r="E70" s="193">
        <f t="shared" si="15"/>
        <v>0.13223714620355884</v>
      </c>
      <c r="F70" s="193">
        <f t="shared" si="15"/>
        <v>4.8071591008674176E-2</v>
      </c>
      <c r="G70" s="193">
        <f t="shared" si="15"/>
        <v>2.6849874191002168E-2</v>
      </c>
      <c r="H70" s="193">
        <f t="shared" si="15"/>
        <v>1</v>
      </c>
    </row>
    <row r="71" spans="1:8" x14ac:dyDescent="0.2">
      <c r="A71" s="33" t="s">
        <v>105</v>
      </c>
      <c r="B71" s="214">
        <f>B21</f>
        <v>22102</v>
      </c>
      <c r="C71" s="191">
        <f t="shared" si="15"/>
        <v>0.65317227682758261</v>
      </c>
      <c r="D71" s="191">
        <f t="shared" si="15"/>
        <v>0.12505945260285747</v>
      </c>
      <c r="E71" s="191">
        <f t="shared" si="15"/>
        <v>0.11021121301250099</v>
      </c>
      <c r="F71" s="191">
        <f t="shared" si="15"/>
        <v>5.0328716590347128E-2</v>
      </c>
      <c r="G71" s="191">
        <f t="shared" si="15"/>
        <v>6.1228340966711571E-2</v>
      </c>
      <c r="H71" s="191">
        <f t="shared" si="15"/>
        <v>1</v>
      </c>
    </row>
    <row r="72" spans="1:8" x14ac:dyDescent="0.2">
      <c r="A72" s="33"/>
      <c r="B72" s="214"/>
      <c r="C72" s="191"/>
      <c r="D72" s="191"/>
      <c r="E72" s="191"/>
      <c r="F72" s="191"/>
      <c r="G72" s="191"/>
      <c r="H72" s="191"/>
    </row>
    <row r="73" spans="1:8" ht="13.5" thickBot="1" x14ac:dyDescent="0.25">
      <c r="A73" s="33" t="s">
        <v>230</v>
      </c>
      <c r="B73" s="222">
        <f>B71+B67+B60</f>
        <v>153715</v>
      </c>
      <c r="C73" s="195">
        <f t="shared" ref="C73:H73" si="16">C47/$H47</f>
        <v>0.69132294308687015</v>
      </c>
      <c r="D73" s="195">
        <f t="shared" si="16"/>
        <v>0.11717800454157988</v>
      </c>
      <c r="E73" s="195">
        <f t="shared" si="16"/>
        <v>8.9825668308528228E-2</v>
      </c>
      <c r="F73" s="195">
        <f t="shared" si="16"/>
        <v>4.03906485972024E-2</v>
      </c>
      <c r="G73" s="195">
        <f t="shared" si="16"/>
        <v>6.1282735465819027E-2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1662-36B4-45D2-A3DF-64900A670792}">
  <dimension ref="A1:Q74"/>
  <sheetViews>
    <sheetView zoomScaleNormal="100" workbookViewId="0">
      <selection activeCell="C1" sqref="C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1414</v>
      </c>
      <c r="D1" s="22"/>
      <c r="E1" s="22"/>
      <c r="F1" s="22"/>
      <c r="G1" s="22"/>
      <c r="H1" s="22"/>
    </row>
    <row r="2" spans="1:17" x14ac:dyDescent="0.2">
      <c r="A2" s="22" t="s">
        <v>1212</v>
      </c>
    </row>
    <row r="3" spans="1:17" ht="34.5" x14ac:dyDescent="0.25">
      <c r="A3" s="22" t="s">
        <v>245</v>
      </c>
      <c r="B3" s="202" t="str">
        <f>"ANB"&amp;RIGHT(C1,2)</f>
        <v>ANB21</v>
      </c>
      <c r="C3" s="172" t="str">
        <f>RIGHT(C1,2)&amp;"/Pupil Salaries &amp; Benefits"</f>
        <v>21/Pupil Salaries &amp; Benefits</v>
      </c>
      <c r="D3" s="172" t="str">
        <f>RIGHT(C1,2)&amp;"/Pupil Purchased Services"</f>
        <v>21/Pupil Purchased Services</v>
      </c>
      <c r="E3" s="172" t="str">
        <f>RIGHT(C1,2)&amp;"/Pupil Supplies"</f>
        <v>21/Pupil Supplies</v>
      </c>
      <c r="F3" s="172" t="str">
        <f>RIGHT(C1,2)&amp;"/Pupil Capital Outlay"</f>
        <v>21/Pupil Capital Outlay</v>
      </c>
      <c r="G3" s="172" t="str">
        <f>RIGHT(C1,2)&amp;"/Pupil Other"</f>
        <v>21/Pupil Other</v>
      </c>
      <c r="H3" s="172" t="str">
        <f>RIGHT(C1,2)&amp;"/Pupil Total Expenditures"</f>
        <v>21/Pupil Total Expenditures</v>
      </c>
      <c r="K3" s="247"/>
      <c r="L3" s="247"/>
      <c r="M3" s="247"/>
      <c r="N3" s="247"/>
      <c r="O3" s="247"/>
      <c r="P3" s="247"/>
      <c r="Q3" s="247"/>
    </row>
    <row r="4" spans="1:17" ht="15" x14ac:dyDescent="0.25">
      <c r="A4" s="182" t="s">
        <v>102</v>
      </c>
      <c r="B4" s="214">
        <v>42204</v>
      </c>
      <c r="C4" s="214">
        <v>370861110.84000003</v>
      </c>
      <c r="D4" s="214">
        <v>50262098.280000001</v>
      </c>
      <c r="E4" s="214">
        <v>32951750.54000001</v>
      </c>
      <c r="F4" s="214">
        <v>8631385.4299999997</v>
      </c>
      <c r="G4" s="214">
        <v>35777913.329999998</v>
      </c>
      <c r="H4" s="214">
        <f t="shared" ref="H4:H9" si="0">SUM(C4:G4)</f>
        <v>498484258.42000002</v>
      </c>
      <c r="K4" s="294"/>
      <c r="L4" s="293"/>
      <c r="M4" s="293"/>
      <c r="N4" s="293"/>
      <c r="O4" s="293"/>
      <c r="P4" s="293"/>
      <c r="Q4" s="293"/>
    </row>
    <row r="5" spans="1:17" ht="15" x14ac:dyDescent="0.25">
      <c r="A5" s="33" t="s">
        <v>76</v>
      </c>
      <c r="B5" s="214">
        <v>16998</v>
      </c>
      <c r="C5" s="214">
        <v>155458175.93000001</v>
      </c>
      <c r="D5" s="214">
        <v>21783050.099999998</v>
      </c>
      <c r="E5" s="214">
        <v>24214142.32</v>
      </c>
      <c r="F5" s="214">
        <v>6924511.2599999998</v>
      </c>
      <c r="G5" s="214">
        <v>13272736.93</v>
      </c>
      <c r="H5" s="214">
        <f t="shared" si="0"/>
        <v>221652616.53999999</v>
      </c>
      <c r="K5" s="294"/>
      <c r="L5" s="293"/>
      <c r="M5" s="293"/>
      <c r="N5" s="293"/>
      <c r="O5" s="293"/>
      <c r="P5" s="293"/>
      <c r="Q5" s="293"/>
    </row>
    <row r="6" spans="1:17" ht="15" x14ac:dyDescent="0.25">
      <c r="A6" s="33" t="s">
        <v>77</v>
      </c>
      <c r="B6" s="214">
        <v>16591</v>
      </c>
      <c r="C6" s="214">
        <v>148580520.58000001</v>
      </c>
      <c r="D6" s="214">
        <v>21642461.690000001</v>
      </c>
      <c r="E6" s="214">
        <v>22605223.119999997</v>
      </c>
      <c r="F6" s="214">
        <v>6653286.3800000018</v>
      </c>
      <c r="G6" s="214">
        <v>9975827.2000000011</v>
      </c>
      <c r="H6" s="214">
        <f t="shared" si="0"/>
        <v>209457318.97</v>
      </c>
      <c r="K6" s="294"/>
      <c r="L6" s="293"/>
      <c r="M6" s="293"/>
      <c r="N6" s="293"/>
      <c r="O6" s="293"/>
      <c r="P6" s="293"/>
      <c r="Q6" s="293"/>
    </row>
    <row r="7" spans="1:17" ht="15" x14ac:dyDescent="0.25">
      <c r="A7" s="33" t="s">
        <v>78</v>
      </c>
      <c r="B7" s="214">
        <v>12479</v>
      </c>
      <c r="C7" s="214">
        <v>108675484.61000001</v>
      </c>
      <c r="D7" s="214">
        <v>17539941.210000001</v>
      </c>
      <c r="E7" s="214">
        <v>20746778.760000002</v>
      </c>
      <c r="F7" s="214">
        <v>8962504.5799999982</v>
      </c>
      <c r="G7" s="214">
        <v>4853131.68</v>
      </c>
      <c r="H7" s="214">
        <f t="shared" si="0"/>
        <v>160777840.84000003</v>
      </c>
      <c r="K7" s="294"/>
      <c r="L7" s="293"/>
      <c r="M7" s="293"/>
      <c r="N7" s="293"/>
      <c r="O7" s="293"/>
      <c r="P7" s="293"/>
      <c r="Q7" s="293"/>
    </row>
    <row r="8" spans="1:17" ht="15" x14ac:dyDescent="0.25">
      <c r="A8" s="33" t="s">
        <v>79</v>
      </c>
      <c r="B8" s="214">
        <v>5230</v>
      </c>
      <c r="C8" s="214">
        <v>56219163.75999999</v>
      </c>
      <c r="D8" s="214">
        <v>12451306.749999998</v>
      </c>
      <c r="E8" s="214">
        <v>10297963.439999998</v>
      </c>
      <c r="F8" s="214">
        <v>3239202.3800000004</v>
      </c>
      <c r="G8" s="214">
        <v>1564309.8699999996</v>
      </c>
      <c r="H8" s="214">
        <f t="shared" si="0"/>
        <v>83771946.199999988</v>
      </c>
      <c r="K8" s="294"/>
      <c r="L8" s="293"/>
      <c r="M8" s="293"/>
      <c r="N8" s="293"/>
      <c r="O8" s="293"/>
      <c r="P8" s="293"/>
      <c r="Q8" s="293"/>
    </row>
    <row r="9" spans="1:17" ht="15" x14ac:dyDescent="0.25">
      <c r="A9" s="33" t="s">
        <v>80</v>
      </c>
      <c r="B9" s="220">
        <v>1296</v>
      </c>
      <c r="C9" s="220">
        <v>13572104.830000002</v>
      </c>
      <c r="D9" s="220">
        <v>3901428.5200000005</v>
      </c>
      <c r="E9" s="220">
        <v>3122763.0399999996</v>
      </c>
      <c r="F9" s="220">
        <v>950657.44999999984</v>
      </c>
      <c r="G9" s="220">
        <v>2579.83</v>
      </c>
      <c r="H9" s="220">
        <f t="shared" si="0"/>
        <v>21549533.669999998</v>
      </c>
      <c r="K9" s="294"/>
      <c r="L9" s="293"/>
      <c r="M9" s="293"/>
      <c r="N9" s="293"/>
      <c r="O9" s="293"/>
      <c r="P9" s="293"/>
      <c r="Q9" s="293"/>
    </row>
    <row r="10" spans="1:17" x14ac:dyDescent="0.2">
      <c r="A10" s="33" t="s">
        <v>103</v>
      </c>
      <c r="B10" s="221">
        <f t="shared" ref="B10:H10" si="1">SUM(B4:B9)</f>
        <v>94798</v>
      </c>
      <c r="C10" s="221">
        <f t="shared" si="1"/>
        <v>853366560.55000007</v>
      </c>
      <c r="D10" s="221">
        <f t="shared" si="1"/>
        <v>127580286.55</v>
      </c>
      <c r="E10" s="221">
        <f t="shared" si="1"/>
        <v>113938621.22000003</v>
      </c>
      <c r="F10" s="221">
        <f t="shared" si="1"/>
        <v>35361547.480000004</v>
      </c>
      <c r="G10" s="221">
        <f t="shared" si="1"/>
        <v>65446498.839999996</v>
      </c>
      <c r="H10" s="214">
        <f t="shared" si="1"/>
        <v>1195693514.6400001</v>
      </c>
    </row>
    <row r="11" spans="1:17" x14ac:dyDescent="0.2">
      <c r="A11" s="33"/>
      <c r="B11" s="182"/>
      <c r="C11" s="221"/>
      <c r="D11" s="221"/>
      <c r="E11" s="221"/>
      <c r="F11" s="221"/>
      <c r="G11" s="221"/>
      <c r="H11" s="214"/>
    </row>
    <row r="12" spans="1:17" ht="15" x14ac:dyDescent="0.25">
      <c r="A12" s="33" t="s">
        <v>81</v>
      </c>
      <c r="B12" s="214">
        <v>21877</v>
      </c>
      <c r="C12" s="214">
        <v>193098849.63000003</v>
      </c>
      <c r="D12" s="214">
        <v>31066061.73</v>
      </c>
      <c r="E12" s="214">
        <v>20529543.079999998</v>
      </c>
      <c r="F12" s="214">
        <v>5804051.7599999998</v>
      </c>
      <c r="G12" s="214">
        <v>27948922.069999997</v>
      </c>
      <c r="H12" s="214">
        <f>SUM(C12:G12)</f>
        <v>278447428.26999998</v>
      </c>
      <c r="K12" s="294"/>
      <c r="L12" s="293"/>
      <c r="M12" s="293"/>
      <c r="N12" s="293"/>
      <c r="O12" s="293"/>
      <c r="P12" s="293"/>
      <c r="Q12" s="293"/>
    </row>
    <row r="13" spans="1:17" ht="15" x14ac:dyDescent="0.25">
      <c r="A13" s="33" t="s">
        <v>82</v>
      </c>
      <c r="B13" s="214">
        <v>6459</v>
      </c>
      <c r="C13" s="214">
        <v>61258948.07</v>
      </c>
      <c r="D13" s="214">
        <v>7489716.9000000004</v>
      </c>
      <c r="E13" s="214">
        <v>10308844.959999997</v>
      </c>
      <c r="F13" s="214">
        <v>7408953.1500000013</v>
      </c>
      <c r="G13" s="214">
        <v>5971648.290000001</v>
      </c>
      <c r="H13" s="214">
        <f>SUM(C13:G13)</f>
        <v>92438111.370000005</v>
      </c>
      <c r="K13" s="294"/>
      <c r="L13" s="293"/>
      <c r="M13" s="293"/>
      <c r="N13" s="293"/>
      <c r="O13" s="293"/>
      <c r="P13" s="293"/>
      <c r="Q13" s="293"/>
    </row>
    <row r="14" spans="1:17" ht="15" x14ac:dyDescent="0.25">
      <c r="A14" s="33" t="s">
        <v>83</v>
      </c>
      <c r="B14" s="214">
        <v>4724</v>
      </c>
      <c r="C14" s="214">
        <v>45781165.229999997</v>
      </c>
      <c r="D14" s="214">
        <v>7292403.370000001</v>
      </c>
      <c r="E14" s="214">
        <v>6909916.2500000009</v>
      </c>
      <c r="F14" s="214">
        <v>3165910.8000000003</v>
      </c>
      <c r="G14" s="214">
        <v>5823537.0199999996</v>
      </c>
      <c r="H14" s="214">
        <f>SUM(C14:G14)</f>
        <v>68972932.669999987</v>
      </c>
      <c r="K14" s="294"/>
      <c r="L14" s="293"/>
      <c r="M14" s="293"/>
      <c r="N14" s="293"/>
      <c r="O14" s="293"/>
      <c r="P14" s="293"/>
      <c r="Q14" s="293"/>
    </row>
    <row r="15" spans="1:17" ht="15" x14ac:dyDescent="0.25">
      <c r="A15" s="33" t="s">
        <v>84</v>
      </c>
      <c r="B15" s="214">
        <v>3916</v>
      </c>
      <c r="C15" s="214">
        <v>47108335.810000002</v>
      </c>
      <c r="D15" s="214">
        <v>8699568.5400000028</v>
      </c>
      <c r="E15" s="214">
        <v>7715582.3599999994</v>
      </c>
      <c r="F15" s="214">
        <v>6466732.5600000005</v>
      </c>
      <c r="G15" s="214">
        <v>2583427.5099999998</v>
      </c>
      <c r="H15" s="214">
        <f>SUM(C15:G15)</f>
        <v>72573646.780000016</v>
      </c>
      <c r="K15" s="294"/>
      <c r="L15" s="293"/>
      <c r="M15" s="293"/>
      <c r="N15" s="293"/>
      <c r="O15" s="293"/>
      <c r="P15" s="293"/>
      <c r="Q15" s="293"/>
    </row>
    <row r="16" spans="1:17" ht="15" x14ac:dyDescent="0.25">
      <c r="A16" s="33" t="s">
        <v>85</v>
      </c>
      <c r="B16" s="220">
        <v>1465</v>
      </c>
      <c r="C16" s="220">
        <v>24916902.720000003</v>
      </c>
      <c r="D16" s="220">
        <v>6892159.620000001</v>
      </c>
      <c r="E16" s="220">
        <v>4788881.18</v>
      </c>
      <c r="F16" s="220">
        <v>1805399.99</v>
      </c>
      <c r="G16" s="220">
        <v>384238.46</v>
      </c>
      <c r="H16" s="220">
        <f>SUM(C16:G16)</f>
        <v>38787581.970000006</v>
      </c>
      <c r="K16" s="294"/>
      <c r="L16" s="293"/>
      <c r="M16" s="293"/>
      <c r="N16" s="293"/>
      <c r="O16" s="293"/>
      <c r="P16" s="293"/>
      <c r="Q16" s="293"/>
    </row>
    <row r="17" spans="1:17" x14ac:dyDescent="0.2">
      <c r="A17" s="33" t="s">
        <v>104</v>
      </c>
      <c r="B17" s="221">
        <f t="shared" ref="B17:H17" si="2">SUM(B12:B16)</f>
        <v>38441</v>
      </c>
      <c r="C17" s="221">
        <f t="shared" si="2"/>
        <v>372164201.46000004</v>
      </c>
      <c r="D17" s="221">
        <f t="shared" si="2"/>
        <v>61439910.160000011</v>
      </c>
      <c r="E17" s="221">
        <f t="shared" si="2"/>
        <v>50252767.829999998</v>
      </c>
      <c r="F17" s="221">
        <f t="shared" si="2"/>
        <v>24651048.260000002</v>
      </c>
      <c r="G17" s="221">
        <f t="shared" si="2"/>
        <v>42711773.349999994</v>
      </c>
      <c r="H17" s="221">
        <f t="shared" si="2"/>
        <v>551219701.05999994</v>
      </c>
    </row>
    <row r="18" spans="1:17" x14ac:dyDescent="0.2">
      <c r="A18" s="33"/>
      <c r="B18" s="182"/>
      <c r="C18" s="221"/>
      <c r="D18" s="221"/>
      <c r="E18" s="221"/>
      <c r="F18" s="221"/>
      <c r="G18" s="221"/>
      <c r="H18" s="214"/>
    </row>
    <row r="19" spans="1:17" ht="15" x14ac:dyDescent="0.25">
      <c r="A19" s="33" t="s">
        <v>86</v>
      </c>
      <c r="B19" s="214">
        <v>14270</v>
      </c>
      <c r="C19" s="214">
        <v>120455554.30000001</v>
      </c>
      <c r="D19" s="214">
        <v>19999510.160000004</v>
      </c>
      <c r="E19" s="214">
        <v>19422792.099999998</v>
      </c>
      <c r="F19" s="214">
        <v>8288883.54</v>
      </c>
      <c r="G19" s="214">
        <v>18889517.93</v>
      </c>
      <c r="H19" s="214">
        <f>SUM(C19:G19)</f>
        <v>187056258.03</v>
      </c>
      <c r="K19" s="294"/>
      <c r="L19" s="293"/>
      <c r="M19" s="293"/>
      <c r="N19" s="293"/>
      <c r="O19" s="293"/>
      <c r="P19" s="293"/>
      <c r="Q19" s="293"/>
    </row>
    <row r="20" spans="1:17" ht="15" x14ac:dyDescent="0.25">
      <c r="A20" s="33" t="s">
        <v>87</v>
      </c>
      <c r="B20" s="220">
        <v>7660</v>
      </c>
      <c r="C20" s="220">
        <v>94848352.949999988</v>
      </c>
      <c r="D20" s="220">
        <v>16384998.440000001</v>
      </c>
      <c r="E20" s="220">
        <v>18888418.600000001</v>
      </c>
      <c r="F20" s="220">
        <v>8511886.3800000008</v>
      </c>
      <c r="G20" s="220">
        <v>3551684.2800000003</v>
      </c>
      <c r="H20" s="220">
        <f>SUM(C20:G20)</f>
        <v>142185340.64999998</v>
      </c>
      <c r="K20" s="294"/>
      <c r="L20" s="293"/>
      <c r="M20" s="293"/>
      <c r="N20" s="293"/>
      <c r="O20" s="293"/>
      <c r="P20" s="293"/>
      <c r="Q20" s="293"/>
    </row>
    <row r="21" spans="1:17" ht="15" x14ac:dyDescent="0.25">
      <c r="A21" s="33" t="s">
        <v>105</v>
      </c>
      <c r="B21" s="221">
        <f t="shared" ref="B21:H21" si="3">SUM(B19:B20)</f>
        <v>21930</v>
      </c>
      <c r="C21" s="221">
        <f t="shared" si="3"/>
        <v>215303907.25</v>
      </c>
      <c r="D21" s="221">
        <f t="shared" si="3"/>
        <v>36384508.600000009</v>
      </c>
      <c r="E21" s="221">
        <f t="shared" si="3"/>
        <v>38311210.700000003</v>
      </c>
      <c r="F21" s="221">
        <f t="shared" si="3"/>
        <v>16800769.920000002</v>
      </c>
      <c r="G21" s="221">
        <f t="shared" si="3"/>
        <v>22441202.210000001</v>
      </c>
      <c r="H21" s="221">
        <f t="shared" si="3"/>
        <v>329241598.67999995</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155169</v>
      </c>
      <c r="C23" s="222">
        <f t="shared" si="4"/>
        <v>1440834669.2600002</v>
      </c>
      <c r="D23" s="222">
        <f t="shared" si="4"/>
        <v>225404705.31</v>
      </c>
      <c r="E23" s="222">
        <f t="shared" si="4"/>
        <v>202502599.75000003</v>
      </c>
      <c r="F23" s="222">
        <f t="shared" si="4"/>
        <v>76813365.660000011</v>
      </c>
      <c r="G23" s="222">
        <f t="shared" si="4"/>
        <v>130599474.39999999</v>
      </c>
      <c r="H23" s="222">
        <f t="shared" si="4"/>
        <v>2076154814.3800001</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FY2021</v>
      </c>
      <c r="C26" s="22"/>
      <c r="D26" s="22"/>
      <c r="E26" s="22"/>
      <c r="F26" s="22"/>
      <c r="G26" s="22"/>
      <c r="H26" s="22"/>
    </row>
    <row r="27" spans="1:17" ht="33.75" x14ac:dyDescent="0.2">
      <c r="A27" s="155" t="s">
        <v>245</v>
      </c>
      <c r="B27" s="172" t="str">
        <f t="shared" ref="B27:H34" si="5">B3</f>
        <v>ANB21</v>
      </c>
      <c r="C27" s="172" t="str">
        <f t="shared" si="5"/>
        <v>21/Pupil Salaries &amp; Benefits</v>
      </c>
      <c r="D27" s="172" t="str">
        <f t="shared" si="5"/>
        <v>21/Pupil Purchased Services</v>
      </c>
      <c r="E27" s="172" t="str">
        <f t="shared" si="5"/>
        <v>21/Pupil Supplies</v>
      </c>
      <c r="F27" s="172" t="str">
        <f t="shared" si="5"/>
        <v>21/Pupil Capital Outlay</v>
      </c>
      <c r="G27" s="172" t="str">
        <f t="shared" si="5"/>
        <v>21/Pupil Other</v>
      </c>
      <c r="H27" s="172" t="str">
        <f t="shared" si="5"/>
        <v>21/Pupil Total Expenditures</v>
      </c>
    </row>
    <row r="28" spans="1:17" x14ac:dyDescent="0.2">
      <c r="A28" s="33" t="s">
        <v>102</v>
      </c>
      <c r="B28" s="214">
        <f t="shared" si="5"/>
        <v>42204</v>
      </c>
      <c r="C28" s="182">
        <f t="shared" ref="C28:H34" si="6">C4/$B28</f>
        <v>8787.3450582883142</v>
      </c>
      <c r="D28" s="182">
        <f t="shared" si="6"/>
        <v>1190.9320983793007</v>
      </c>
      <c r="E28" s="182">
        <f t="shared" si="6"/>
        <v>780.77316225950176</v>
      </c>
      <c r="F28" s="182">
        <f t="shared" si="6"/>
        <v>204.5158143777841</v>
      </c>
      <c r="G28" s="182">
        <f t="shared" si="6"/>
        <v>847.73749715666759</v>
      </c>
      <c r="H28" s="182">
        <f t="shared" si="6"/>
        <v>11811.303630461569</v>
      </c>
    </row>
    <row r="29" spans="1:17" x14ac:dyDescent="0.2">
      <c r="A29" s="33" t="s">
        <v>76</v>
      </c>
      <c r="B29" s="214">
        <f t="shared" si="5"/>
        <v>16998</v>
      </c>
      <c r="C29" s="182">
        <f t="shared" si="6"/>
        <v>9145.6745458289206</v>
      </c>
      <c r="D29" s="182">
        <f t="shared" si="6"/>
        <v>1281.5066537239675</v>
      </c>
      <c r="E29" s="182">
        <f t="shared" si="6"/>
        <v>1424.5289045770091</v>
      </c>
      <c r="F29" s="182">
        <f t="shared" si="6"/>
        <v>407.37211789622307</v>
      </c>
      <c r="G29" s="182">
        <f t="shared" si="6"/>
        <v>780.84109483468637</v>
      </c>
      <c r="H29" s="182">
        <f t="shared" si="6"/>
        <v>13039.923316860806</v>
      </c>
    </row>
    <row r="30" spans="1:17" x14ac:dyDescent="0.2">
      <c r="A30" s="33" t="s">
        <v>77</v>
      </c>
      <c r="B30" s="214">
        <f t="shared" si="5"/>
        <v>16591</v>
      </c>
      <c r="C30" s="182">
        <f t="shared" si="6"/>
        <v>8955.4891555662725</v>
      </c>
      <c r="D30" s="182">
        <f t="shared" si="6"/>
        <v>1304.4699951781088</v>
      </c>
      <c r="E30" s="182">
        <f t="shared" si="6"/>
        <v>1362.4991332650231</v>
      </c>
      <c r="F30" s="182">
        <f t="shared" si="6"/>
        <v>401.01780362847336</v>
      </c>
      <c r="G30" s="182">
        <f t="shared" si="6"/>
        <v>601.27944066059922</v>
      </c>
      <c r="H30" s="182">
        <f t="shared" si="6"/>
        <v>12624.755528298476</v>
      </c>
    </row>
    <row r="31" spans="1:17" x14ac:dyDescent="0.2">
      <c r="A31" s="33" t="s">
        <v>78</v>
      </c>
      <c r="B31" s="214">
        <f t="shared" si="5"/>
        <v>12479</v>
      </c>
      <c r="C31" s="182">
        <f t="shared" si="6"/>
        <v>8708.6693332799114</v>
      </c>
      <c r="D31" s="182">
        <f t="shared" si="6"/>
        <v>1405.5566319416621</v>
      </c>
      <c r="E31" s="182">
        <f t="shared" si="6"/>
        <v>1662.5353602051448</v>
      </c>
      <c r="F31" s="182">
        <f t="shared" si="6"/>
        <v>718.20695408285906</v>
      </c>
      <c r="G31" s="182">
        <f t="shared" si="6"/>
        <v>388.90389294013943</v>
      </c>
      <c r="H31" s="182">
        <f t="shared" si="6"/>
        <v>12883.872172449719</v>
      </c>
    </row>
    <row r="32" spans="1:17" x14ac:dyDescent="0.2">
      <c r="A32" s="33" t="s">
        <v>79</v>
      </c>
      <c r="B32" s="214">
        <f t="shared" si="5"/>
        <v>5230</v>
      </c>
      <c r="C32" s="182">
        <f t="shared" si="6"/>
        <v>10749.362095602293</v>
      </c>
      <c r="D32" s="182">
        <f t="shared" si="6"/>
        <v>2380.7469885277242</v>
      </c>
      <c r="E32" s="182">
        <f t="shared" si="6"/>
        <v>1969.0178661567872</v>
      </c>
      <c r="F32" s="182">
        <f t="shared" si="6"/>
        <v>619.35035946462722</v>
      </c>
      <c r="G32" s="182">
        <f t="shared" si="6"/>
        <v>299.10322562141482</v>
      </c>
      <c r="H32" s="182">
        <f t="shared" si="6"/>
        <v>16017.580535372846</v>
      </c>
    </row>
    <row r="33" spans="1:8" x14ac:dyDescent="0.2">
      <c r="A33" s="33" t="s">
        <v>80</v>
      </c>
      <c r="B33" s="220">
        <f t="shared" si="5"/>
        <v>1296</v>
      </c>
      <c r="C33" s="183">
        <f t="shared" si="6"/>
        <v>10472.303109567903</v>
      </c>
      <c r="D33" s="183">
        <f t="shared" si="6"/>
        <v>3010.3615123456793</v>
      </c>
      <c r="E33" s="183">
        <f t="shared" si="6"/>
        <v>2409.5393827160492</v>
      </c>
      <c r="F33" s="183">
        <f t="shared" si="6"/>
        <v>733.53198302469127</v>
      </c>
      <c r="G33" s="183">
        <f t="shared" si="6"/>
        <v>1.9906095679012346</v>
      </c>
      <c r="H33" s="183">
        <f t="shared" si="6"/>
        <v>16627.726597222219</v>
      </c>
    </row>
    <row r="34" spans="1:8" x14ac:dyDescent="0.2">
      <c r="A34" s="33" t="s">
        <v>103</v>
      </c>
      <c r="B34" s="214">
        <f t="shared" si="5"/>
        <v>94798</v>
      </c>
      <c r="C34" s="182">
        <f t="shared" si="6"/>
        <v>9001.9468823181924</v>
      </c>
      <c r="D34" s="182">
        <f t="shared" si="6"/>
        <v>1345.81200605498</v>
      </c>
      <c r="E34" s="182">
        <f t="shared" si="6"/>
        <v>1201.9095468258827</v>
      </c>
      <c r="F34" s="182">
        <f t="shared" si="6"/>
        <v>373.01997383911055</v>
      </c>
      <c r="G34" s="182">
        <f t="shared" si="6"/>
        <v>690.37847676111301</v>
      </c>
      <c r="H34" s="182">
        <f t="shared" si="6"/>
        <v>12613.066885799279</v>
      </c>
    </row>
    <row r="35" spans="1:8" x14ac:dyDescent="0.2">
      <c r="A35" s="33"/>
      <c r="B35" s="214"/>
      <c r="C35" s="182"/>
      <c r="D35" s="182"/>
      <c r="E35" s="182"/>
      <c r="F35" s="182"/>
      <c r="G35" s="182"/>
      <c r="H35" s="182"/>
    </row>
    <row r="36" spans="1:8" x14ac:dyDescent="0.2">
      <c r="A36" s="33" t="s">
        <v>81</v>
      </c>
      <c r="B36" s="214">
        <f t="shared" ref="B36:B41" si="7">B12</f>
        <v>21877</v>
      </c>
      <c r="C36" s="182">
        <f t="shared" ref="C36:H41" si="8">C12/$B36</f>
        <v>8826.5689824930305</v>
      </c>
      <c r="D36" s="182">
        <f t="shared" si="8"/>
        <v>1420.0329903551676</v>
      </c>
      <c r="E36" s="182">
        <f t="shared" si="8"/>
        <v>938.40760067650945</v>
      </c>
      <c r="F36" s="182">
        <f t="shared" si="8"/>
        <v>265.30382410751014</v>
      </c>
      <c r="G36" s="182">
        <f t="shared" si="8"/>
        <v>1277.5482045070164</v>
      </c>
      <c r="H36" s="182">
        <f t="shared" si="8"/>
        <v>12727.861602139232</v>
      </c>
    </row>
    <row r="37" spans="1:8" x14ac:dyDescent="0.2">
      <c r="A37" s="33" t="s">
        <v>82</v>
      </c>
      <c r="B37" s="214">
        <f t="shared" si="7"/>
        <v>6459</v>
      </c>
      <c r="C37" s="182">
        <f t="shared" si="8"/>
        <v>9484.2774531661253</v>
      </c>
      <c r="D37" s="182">
        <f t="shared" si="8"/>
        <v>1159.5784022294474</v>
      </c>
      <c r="E37" s="182">
        <f t="shared" si="8"/>
        <v>1596.0434989936518</v>
      </c>
      <c r="F37" s="182">
        <f t="shared" si="8"/>
        <v>1147.0743381328382</v>
      </c>
      <c r="G37" s="182">
        <f t="shared" si="8"/>
        <v>924.54687877380411</v>
      </c>
      <c r="H37" s="182">
        <f t="shared" si="8"/>
        <v>14311.520571295867</v>
      </c>
    </row>
    <row r="38" spans="1:8" x14ac:dyDescent="0.2">
      <c r="A38" s="33" t="s">
        <v>83</v>
      </c>
      <c r="B38" s="214">
        <f t="shared" si="7"/>
        <v>4724</v>
      </c>
      <c r="C38" s="182">
        <f t="shared" si="8"/>
        <v>9691.1865431837414</v>
      </c>
      <c r="D38" s="182">
        <f t="shared" si="8"/>
        <v>1543.6925000000001</v>
      </c>
      <c r="E38" s="182">
        <f t="shared" si="8"/>
        <v>1462.7257091447927</v>
      </c>
      <c r="F38" s="182">
        <f t="shared" si="8"/>
        <v>670.17586790855216</v>
      </c>
      <c r="G38" s="182">
        <f t="shared" si="8"/>
        <v>1232.7555080440304</v>
      </c>
      <c r="H38" s="182">
        <f t="shared" si="8"/>
        <v>14600.536128281115</v>
      </c>
    </row>
    <row r="39" spans="1:8" x14ac:dyDescent="0.2">
      <c r="A39" s="33" t="s">
        <v>84</v>
      </c>
      <c r="B39" s="214">
        <f t="shared" si="7"/>
        <v>3916</v>
      </c>
      <c r="C39" s="182">
        <f t="shared" si="8"/>
        <v>12029.707816649643</v>
      </c>
      <c r="D39" s="182">
        <f t="shared" si="8"/>
        <v>2221.5445709908076</v>
      </c>
      <c r="E39" s="182">
        <f t="shared" si="8"/>
        <v>1970.2712870275791</v>
      </c>
      <c r="F39" s="182">
        <f t="shared" si="8"/>
        <v>1651.3617364657816</v>
      </c>
      <c r="G39" s="182">
        <f t="shared" si="8"/>
        <v>659.71080439223692</v>
      </c>
      <c r="H39" s="182">
        <f t="shared" si="8"/>
        <v>18532.596215526049</v>
      </c>
    </row>
    <row r="40" spans="1:8" x14ac:dyDescent="0.2">
      <c r="A40" s="33" t="s">
        <v>85</v>
      </c>
      <c r="B40" s="220">
        <f t="shared" si="7"/>
        <v>1465</v>
      </c>
      <c r="C40" s="183">
        <f t="shared" si="8"/>
        <v>17008.124723549488</v>
      </c>
      <c r="D40" s="183">
        <f t="shared" si="8"/>
        <v>4704.5458156996592</v>
      </c>
      <c r="E40" s="183">
        <f t="shared" si="8"/>
        <v>3268.8608737201362</v>
      </c>
      <c r="F40" s="183">
        <f t="shared" si="8"/>
        <v>1232.3549419795222</v>
      </c>
      <c r="G40" s="183">
        <f t="shared" si="8"/>
        <v>262.27881228668946</v>
      </c>
      <c r="H40" s="183">
        <f t="shared" si="8"/>
        <v>26476.1651672355</v>
      </c>
    </row>
    <row r="41" spans="1:8" x14ac:dyDescent="0.2">
      <c r="A41" s="33" t="s">
        <v>104</v>
      </c>
      <c r="B41" s="214">
        <f t="shared" si="7"/>
        <v>38441</v>
      </c>
      <c r="C41" s="182">
        <f t="shared" si="8"/>
        <v>9681.4391264535279</v>
      </c>
      <c r="D41" s="182">
        <f t="shared" si="8"/>
        <v>1598.2911516349734</v>
      </c>
      <c r="E41" s="182">
        <f t="shared" si="8"/>
        <v>1307.2700457844489</v>
      </c>
      <c r="F41" s="182">
        <f t="shared" si="8"/>
        <v>641.26969277594242</v>
      </c>
      <c r="G41" s="182">
        <f t="shared" si="8"/>
        <v>1111.0994341978615</v>
      </c>
      <c r="H41" s="182">
        <f t="shared" si="8"/>
        <v>14339.369450846751</v>
      </c>
    </row>
    <row r="42" spans="1:8" x14ac:dyDescent="0.2">
      <c r="A42" s="33"/>
      <c r="B42" s="214"/>
      <c r="C42" s="182"/>
      <c r="D42" s="182"/>
      <c r="E42" s="182"/>
      <c r="F42" s="182"/>
      <c r="G42" s="182"/>
      <c r="H42" s="182"/>
    </row>
    <row r="43" spans="1:8" x14ac:dyDescent="0.2">
      <c r="A43" s="33" t="s">
        <v>86</v>
      </c>
      <c r="B43" s="214">
        <f>B19</f>
        <v>14270</v>
      </c>
      <c r="C43" s="182">
        <f t="shared" ref="C43:H45" si="9">C19/$B43</f>
        <v>8441.174092501753</v>
      </c>
      <c r="D43" s="182">
        <f t="shared" si="9"/>
        <v>1401.507369306237</v>
      </c>
      <c r="E43" s="182">
        <f t="shared" si="9"/>
        <v>1361.0926489138051</v>
      </c>
      <c r="F43" s="182">
        <f t="shared" si="9"/>
        <v>580.86079467414152</v>
      </c>
      <c r="G43" s="182">
        <f t="shared" si="9"/>
        <v>1323.7223496846532</v>
      </c>
      <c r="H43" s="182">
        <f t="shared" si="9"/>
        <v>13108.357255080589</v>
      </c>
    </row>
    <row r="44" spans="1:8" x14ac:dyDescent="0.2">
      <c r="A44" s="33" t="s">
        <v>87</v>
      </c>
      <c r="B44" s="220">
        <f>B20</f>
        <v>7660</v>
      </c>
      <c r="C44" s="183">
        <f t="shared" si="9"/>
        <v>12382.291507832897</v>
      </c>
      <c r="D44" s="183">
        <f t="shared" si="9"/>
        <v>2139.0337389033944</v>
      </c>
      <c r="E44" s="183">
        <f t="shared" si="9"/>
        <v>2465.850992167102</v>
      </c>
      <c r="F44" s="183">
        <f t="shared" si="9"/>
        <v>1111.2123211488251</v>
      </c>
      <c r="G44" s="183">
        <f t="shared" si="9"/>
        <v>463.66635509138382</v>
      </c>
      <c r="H44" s="183">
        <f t="shared" si="9"/>
        <v>18562.054915143599</v>
      </c>
    </row>
    <row r="45" spans="1:8" x14ac:dyDescent="0.2">
      <c r="A45" s="33" t="s">
        <v>105</v>
      </c>
      <c r="B45" s="214">
        <f>B21</f>
        <v>21930</v>
      </c>
      <c r="C45" s="182">
        <f t="shared" si="9"/>
        <v>9817.7796283629723</v>
      </c>
      <c r="D45" s="182">
        <f t="shared" si="9"/>
        <v>1659.1203191974469</v>
      </c>
      <c r="E45" s="182">
        <f t="shared" si="9"/>
        <v>1746.9772321021433</v>
      </c>
      <c r="F45" s="182">
        <f t="shared" si="9"/>
        <v>766.10897948016429</v>
      </c>
      <c r="G45" s="182">
        <f t="shared" si="9"/>
        <v>1023.3106342909257</v>
      </c>
      <c r="H45" s="182">
        <f t="shared" si="9"/>
        <v>15013.29679343365</v>
      </c>
    </row>
    <row r="46" spans="1:8" x14ac:dyDescent="0.2">
      <c r="A46" s="33"/>
      <c r="B46" s="214"/>
      <c r="C46" s="182"/>
      <c r="D46" s="182"/>
      <c r="E46" s="182"/>
      <c r="F46" s="182"/>
      <c r="G46" s="182"/>
      <c r="H46" s="182"/>
    </row>
    <row r="47" spans="1:8" ht="13.5" thickBot="1" x14ac:dyDescent="0.25">
      <c r="A47" s="33" t="s">
        <v>209</v>
      </c>
      <c r="B47" s="222">
        <f>B23</f>
        <v>155169</v>
      </c>
      <c r="C47" s="192">
        <f t="shared" ref="C47:H47" si="10">C23/$B47</f>
        <v>9285.5832625073326</v>
      </c>
      <c r="D47" s="192">
        <f t="shared" si="10"/>
        <v>1452.640058967964</v>
      </c>
      <c r="E47" s="192">
        <f t="shared" si="10"/>
        <v>1305.0454649446733</v>
      </c>
      <c r="F47" s="192">
        <f t="shared" si="10"/>
        <v>495.03035825454833</v>
      </c>
      <c r="G47" s="192">
        <f t="shared" si="10"/>
        <v>841.65957375506696</v>
      </c>
      <c r="H47" s="222">
        <f t="shared" si="10"/>
        <v>13379.958718429583</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FY2021</v>
      </c>
      <c r="C52" s="182"/>
      <c r="D52" s="182"/>
      <c r="E52" s="182"/>
      <c r="F52" s="182"/>
      <c r="G52" s="182"/>
      <c r="H52" s="182"/>
    </row>
    <row r="53" spans="1:8" ht="33.75" x14ac:dyDescent="0.2">
      <c r="A53" s="155" t="s">
        <v>245</v>
      </c>
      <c r="B53" s="172" t="str">
        <f t="shared" ref="B53:H59" si="11">B3</f>
        <v>ANB21</v>
      </c>
      <c r="C53" s="172" t="str">
        <f t="shared" si="11"/>
        <v>21/Pupil Salaries &amp; Benefits</v>
      </c>
      <c r="D53" s="172" t="str">
        <f t="shared" si="11"/>
        <v>21/Pupil Purchased Services</v>
      </c>
      <c r="E53" s="172" t="str">
        <f t="shared" si="11"/>
        <v>21/Pupil Supplies</v>
      </c>
      <c r="F53" s="172" t="str">
        <f t="shared" si="11"/>
        <v>21/Pupil Capital Outlay</v>
      </c>
      <c r="G53" s="172" t="str">
        <f t="shared" si="11"/>
        <v>21/Pupil Other</v>
      </c>
      <c r="H53" s="172" t="str">
        <f t="shared" si="11"/>
        <v>21/Pupil Total Expenditures</v>
      </c>
    </row>
    <row r="54" spans="1:8" x14ac:dyDescent="0.2">
      <c r="A54" s="33" t="s">
        <v>102</v>
      </c>
      <c r="B54" s="214">
        <f t="shared" si="11"/>
        <v>42204</v>
      </c>
      <c r="C54" s="191">
        <f t="shared" ref="C54:H60" si="12">C28/$H28</f>
        <v>0.74397757717662849</v>
      </c>
      <c r="D54" s="191">
        <f t="shared" si="12"/>
        <v>0.10082986058438671</v>
      </c>
      <c r="E54" s="191">
        <f t="shared" si="12"/>
        <v>6.6103893921232657E-2</v>
      </c>
      <c r="F54" s="191">
        <f t="shared" si="12"/>
        <v>1.7315261784510733E-2</v>
      </c>
      <c r="G54" s="191">
        <f t="shared" si="12"/>
        <v>7.1773406533241352E-2</v>
      </c>
      <c r="H54" s="191">
        <f t="shared" si="12"/>
        <v>1</v>
      </c>
    </row>
    <row r="55" spans="1:8" x14ac:dyDescent="0.2">
      <c r="A55" s="33" t="s">
        <v>76</v>
      </c>
      <c r="B55" s="214">
        <f t="shared" si="11"/>
        <v>16998</v>
      </c>
      <c r="C55" s="191">
        <f t="shared" si="12"/>
        <v>0.70135953437727916</v>
      </c>
      <c r="D55" s="191">
        <f t="shared" si="12"/>
        <v>9.8275628052732572E-2</v>
      </c>
      <c r="E55" s="191">
        <f t="shared" si="12"/>
        <v>0.10924365657389051</v>
      </c>
      <c r="F55" s="191">
        <f t="shared" si="12"/>
        <v>3.1240376802636954E-2</v>
      </c>
      <c r="G55" s="191">
        <f t="shared" si="12"/>
        <v>5.988080419346084E-2</v>
      </c>
      <c r="H55" s="191">
        <f t="shared" si="12"/>
        <v>1</v>
      </c>
    </row>
    <row r="56" spans="1:8" x14ac:dyDescent="0.2">
      <c r="A56" s="33" t="s">
        <v>77</v>
      </c>
      <c r="B56" s="214">
        <f t="shared" si="11"/>
        <v>16591</v>
      </c>
      <c r="C56" s="191">
        <f t="shared" si="12"/>
        <v>0.70935941179157747</v>
      </c>
      <c r="D56" s="191">
        <f t="shared" si="12"/>
        <v>0.10332635687511971</v>
      </c>
      <c r="E56" s="191">
        <f t="shared" si="12"/>
        <v>0.10792281325455942</v>
      </c>
      <c r="F56" s="191">
        <f t="shared" si="12"/>
        <v>3.1764401514911653E-2</v>
      </c>
      <c r="G56" s="191">
        <f t="shared" si="12"/>
        <v>4.762701656383185E-2</v>
      </c>
      <c r="H56" s="191">
        <f t="shared" si="12"/>
        <v>1</v>
      </c>
    </row>
    <row r="57" spans="1:8" x14ac:dyDescent="0.2">
      <c r="A57" s="33" t="s">
        <v>78</v>
      </c>
      <c r="B57" s="214">
        <f t="shared" si="11"/>
        <v>12479</v>
      </c>
      <c r="C57" s="191">
        <f t="shared" si="12"/>
        <v>0.67593571379124129</v>
      </c>
      <c r="D57" s="191">
        <f t="shared" si="12"/>
        <v>0.10909427019520108</v>
      </c>
      <c r="E57" s="191">
        <f t="shared" si="12"/>
        <v>0.12904003842573308</v>
      </c>
      <c r="F57" s="191">
        <f t="shared" si="12"/>
        <v>5.5744650712899795E-2</v>
      </c>
      <c r="G57" s="191">
        <f t="shared" si="12"/>
        <v>3.0185326874924579E-2</v>
      </c>
      <c r="H57" s="191">
        <f t="shared" si="12"/>
        <v>1</v>
      </c>
    </row>
    <row r="58" spans="1:8" x14ac:dyDescent="0.2">
      <c r="A58" s="33" t="s">
        <v>79</v>
      </c>
      <c r="B58" s="214">
        <f t="shared" si="11"/>
        <v>5230</v>
      </c>
      <c r="C58" s="191">
        <f t="shared" si="12"/>
        <v>0.67109773987798316</v>
      </c>
      <c r="D58" s="191">
        <f t="shared" si="12"/>
        <v>0.14863337089332179</v>
      </c>
      <c r="E58" s="191">
        <f t="shared" si="12"/>
        <v>0.12292854478293115</v>
      </c>
      <c r="F58" s="191">
        <f t="shared" si="12"/>
        <v>3.8666910904357157E-2</v>
      </c>
      <c r="G58" s="191">
        <f t="shared" si="12"/>
        <v>1.8673433541406725E-2</v>
      </c>
      <c r="H58" s="191">
        <f t="shared" si="12"/>
        <v>1</v>
      </c>
    </row>
    <row r="59" spans="1:8" x14ac:dyDescent="0.2">
      <c r="A59" s="33" t="s">
        <v>80</v>
      </c>
      <c r="B59" s="220">
        <f t="shared" si="11"/>
        <v>1296</v>
      </c>
      <c r="C59" s="193">
        <f t="shared" si="12"/>
        <v>0.62980967652651787</v>
      </c>
      <c r="D59" s="193">
        <f t="shared" si="12"/>
        <v>0.18104468429548159</v>
      </c>
      <c r="E59" s="193">
        <f t="shared" si="12"/>
        <v>0.14491093347172188</v>
      </c>
      <c r="F59" s="193">
        <f t="shared" si="12"/>
        <v>4.4114989426590222E-2</v>
      </c>
      <c r="G59" s="193">
        <f t="shared" si="12"/>
        <v>1.1971627968875674E-4</v>
      </c>
      <c r="H59" s="193">
        <f t="shared" si="12"/>
        <v>1</v>
      </c>
    </row>
    <row r="60" spans="1:8" x14ac:dyDescent="0.2">
      <c r="A60" s="33" t="s">
        <v>103</v>
      </c>
      <c r="B60" s="214">
        <f>SUM(B54:B59)</f>
        <v>94798</v>
      </c>
      <c r="C60" s="191">
        <f t="shared" si="12"/>
        <v>0.71370008292378506</v>
      </c>
      <c r="D60" s="191">
        <f t="shared" si="12"/>
        <v>0.10669982314691397</v>
      </c>
      <c r="E60" s="191">
        <f t="shared" si="12"/>
        <v>9.5290824801625457E-2</v>
      </c>
      <c r="F60" s="191">
        <f t="shared" si="12"/>
        <v>2.9574089887613612E-2</v>
      </c>
      <c r="G60" s="191">
        <f t="shared" si="12"/>
        <v>5.473517924006191E-2</v>
      </c>
      <c r="H60" s="191">
        <f t="shared" si="12"/>
        <v>1</v>
      </c>
    </row>
    <row r="61" spans="1:8" x14ac:dyDescent="0.2">
      <c r="A61" s="33"/>
      <c r="B61" s="214"/>
      <c r="C61" s="191"/>
      <c r="D61" s="191"/>
      <c r="E61" s="191"/>
      <c r="F61" s="191"/>
      <c r="G61" s="191"/>
      <c r="H61" s="191"/>
    </row>
    <row r="62" spans="1:8" x14ac:dyDescent="0.2">
      <c r="A62" s="33" t="s">
        <v>81</v>
      </c>
      <c r="B62" s="214">
        <f t="shared" ref="B62:B67" si="13">B12</f>
        <v>21877</v>
      </c>
      <c r="C62" s="191">
        <f t="shared" ref="C62:H67" si="14">C36/$H36</f>
        <v>0.69348404770597971</v>
      </c>
      <c r="D62" s="191">
        <f t="shared" si="14"/>
        <v>0.11156885852031075</v>
      </c>
      <c r="E62" s="191">
        <f t="shared" si="14"/>
        <v>7.3728614437384113E-2</v>
      </c>
      <c r="F62" s="191">
        <f t="shared" si="14"/>
        <v>2.0844336024436288E-2</v>
      </c>
      <c r="G62" s="191">
        <f t="shared" si="14"/>
        <v>0.10037414331188932</v>
      </c>
      <c r="H62" s="191">
        <f t="shared" si="14"/>
        <v>1</v>
      </c>
    </row>
    <row r="63" spans="1:8" x14ac:dyDescent="0.2">
      <c r="A63" s="33" t="s">
        <v>82</v>
      </c>
      <c r="B63" s="214">
        <f t="shared" si="13"/>
        <v>6459</v>
      </c>
      <c r="C63" s="191">
        <f t="shared" si="14"/>
        <v>0.66270228980339241</v>
      </c>
      <c r="D63" s="191">
        <f t="shared" si="14"/>
        <v>8.1024122940169932E-2</v>
      </c>
      <c r="E63" s="191">
        <f t="shared" si="14"/>
        <v>0.11152158787339357</v>
      </c>
      <c r="F63" s="191">
        <f t="shared" si="14"/>
        <v>8.0150416751207168E-2</v>
      </c>
      <c r="G63" s="191">
        <f t="shared" si="14"/>
        <v>6.4601582631836935E-2</v>
      </c>
      <c r="H63" s="191">
        <f t="shared" si="14"/>
        <v>1</v>
      </c>
    </row>
    <row r="64" spans="1:8" x14ac:dyDescent="0.2">
      <c r="A64" s="33" t="s">
        <v>83</v>
      </c>
      <c r="B64" s="214">
        <f t="shared" si="13"/>
        <v>4724</v>
      </c>
      <c r="C64" s="191">
        <f t="shared" si="14"/>
        <v>0.66375552637495239</v>
      </c>
      <c r="D64" s="191">
        <f t="shared" si="14"/>
        <v>0.10572848054599042</v>
      </c>
      <c r="E64" s="191">
        <f t="shared" si="14"/>
        <v>0.10018301357520053</v>
      </c>
      <c r="F64" s="191">
        <f t="shared" si="14"/>
        <v>4.5900771178561527E-2</v>
      </c>
      <c r="G64" s="191">
        <f t="shared" si="14"/>
        <v>8.4432208325295216E-2</v>
      </c>
      <c r="H64" s="191">
        <f t="shared" si="14"/>
        <v>1</v>
      </c>
    </row>
    <row r="65" spans="1:8" x14ac:dyDescent="0.2">
      <c r="A65" s="33" t="s">
        <v>84</v>
      </c>
      <c r="B65" s="214">
        <f t="shared" si="13"/>
        <v>3916</v>
      </c>
      <c r="C65" s="191">
        <f t="shared" si="14"/>
        <v>0.64911077092218294</v>
      </c>
      <c r="D65" s="191">
        <f t="shared" si="14"/>
        <v>0.11987228044874061</v>
      </c>
      <c r="E65" s="191">
        <f t="shared" si="14"/>
        <v>0.10631383018947692</v>
      </c>
      <c r="F65" s="191">
        <f t="shared" si="14"/>
        <v>8.9105795931728154E-2</v>
      </c>
      <c r="G65" s="191">
        <f t="shared" si="14"/>
        <v>3.5597322507871357E-2</v>
      </c>
      <c r="H65" s="191">
        <f t="shared" si="14"/>
        <v>1</v>
      </c>
    </row>
    <row r="66" spans="1:8" x14ac:dyDescent="0.2">
      <c r="A66" s="33" t="s">
        <v>85</v>
      </c>
      <c r="B66" s="220">
        <f t="shared" si="13"/>
        <v>1465</v>
      </c>
      <c r="C66" s="193">
        <f t="shared" si="14"/>
        <v>0.64239381406326923</v>
      </c>
      <c r="D66" s="193">
        <f t="shared" si="14"/>
        <v>0.17768984994554946</v>
      </c>
      <c r="E66" s="193">
        <f t="shared" si="14"/>
        <v>0.12346428771208082</v>
      </c>
      <c r="F66" s="193">
        <f t="shared" si="14"/>
        <v>4.6545824676474404E-2</v>
      </c>
      <c r="G66" s="193">
        <f t="shared" si="14"/>
        <v>9.9062236026258785E-3</v>
      </c>
      <c r="H66" s="193">
        <f t="shared" si="14"/>
        <v>1</v>
      </c>
    </row>
    <row r="67" spans="1:8" x14ac:dyDescent="0.2">
      <c r="A67" s="33" t="s">
        <v>104</v>
      </c>
      <c r="B67" s="214">
        <f t="shared" si="13"/>
        <v>38441</v>
      </c>
      <c r="C67" s="191">
        <f t="shared" si="14"/>
        <v>0.67516491290918179</v>
      </c>
      <c r="D67" s="191">
        <f t="shared" si="14"/>
        <v>0.11146174572833767</v>
      </c>
      <c r="E67" s="191">
        <f t="shared" si="14"/>
        <v>9.1166494472827306E-2</v>
      </c>
      <c r="F67" s="191">
        <f t="shared" si="14"/>
        <v>4.4720912936522111E-2</v>
      </c>
      <c r="G67" s="191">
        <f t="shared" si="14"/>
        <v>7.74859339531314E-2</v>
      </c>
      <c r="H67" s="191">
        <f t="shared" si="14"/>
        <v>1</v>
      </c>
    </row>
    <row r="68" spans="1:8" x14ac:dyDescent="0.2">
      <c r="A68" s="33"/>
      <c r="B68" s="214"/>
      <c r="C68" s="191"/>
      <c r="D68" s="191"/>
      <c r="E68" s="191"/>
      <c r="F68" s="191"/>
      <c r="G68" s="191"/>
      <c r="H68" s="191"/>
    </row>
    <row r="69" spans="1:8" x14ac:dyDescent="0.2">
      <c r="A69" s="33" t="s">
        <v>86</v>
      </c>
      <c r="B69" s="214">
        <f>B19</f>
        <v>14270</v>
      </c>
      <c r="C69" s="191">
        <f t="shared" ref="C69:H71" si="15">C43/$H43</f>
        <v>0.64395361891972303</v>
      </c>
      <c r="D69" s="191">
        <f t="shared" si="15"/>
        <v>0.10691708671298497</v>
      </c>
      <c r="E69" s="191">
        <f t="shared" si="15"/>
        <v>0.10383396045955853</v>
      </c>
      <c r="F69" s="191">
        <f t="shared" si="15"/>
        <v>4.4312249305610674E-2</v>
      </c>
      <c r="G69" s="191">
        <f t="shared" si="15"/>
        <v>0.10098308460212278</v>
      </c>
      <c r="H69" s="191">
        <f t="shared" si="15"/>
        <v>1</v>
      </c>
    </row>
    <row r="70" spans="1:8" x14ac:dyDescent="0.2">
      <c r="A70" s="33" t="s">
        <v>87</v>
      </c>
      <c r="B70" s="220">
        <f>B20</f>
        <v>7660</v>
      </c>
      <c r="C70" s="193">
        <f t="shared" si="15"/>
        <v>0.66707547006182888</v>
      </c>
      <c r="D70" s="193">
        <f t="shared" si="15"/>
        <v>0.115236903924807</v>
      </c>
      <c r="E70" s="193">
        <f t="shared" si="15"/>
        <v>0.13284364276690999</v>
      </c>
      <c r="F70" s="193">
        <f t="shared" si="15"/>
        <v>5.9864725442777232E-2</v>
      </c>
      <c r="G70" s="193">
        <f t="shared" si="15"/>
        <v>2.4979257803677112E-2</v>
      </c>
      <c r="H70" s="193">
        <f t="shared" si="15"/>
        <v>1</v>
      </c>
    </row>
    <row r="71" spans="1:8" x14ac:dyDescent="0.2">
      <c r="A71" s="33" t="s">
        <v>105</v>
      </c>
      <c r="B71" s="214">
        <f>B21</f>
        <v>21930</v>
      </c>
      <c r="C71" s="191">
        <f t="shared" si="15"/>
        <v>0.65393895580995665</v>
      </c>
      <c r="D71" s="191">
        <f t="shared" si="15"/>
        <v>0.11051005931775722</v>
      </c>
      <c r="E71" s="191">
        <f t="shared" si="15"/>
        <v>0.11636199937552802</v>
      </c>
      <c r="F71" s="191">
        <f t="shared" si="15"/>
        <v>5.102869742875106E-2</v>
      </c>
      <c r="G71" s="191">
        <f t="shared" si="15"/>
        <v>6.8160288068007155E-2</v>
      </c>
      <c r="H71" s="191">
        <f t="shared" si="15"/>
        <v>1</v>
      </c>
    </row>
    <row r="72" spans="1:8" x14ac:dyDescent="0.2">
      <c r="A72" s="33"/>
      <c r="B72" s="214"/>
      <c r="C72" s="191"/>
      <c r="D72" s="191"/>
      <c r="E72" s="191"/>
      <c r="F72" s="191"/>
      <c r="G72" s="191"/>
      <c r="H72" s="191"/>
    </row>
    <row r="73" spans="1:8" ht="13.5" thickBot="1" x14ac:dyDescent="0.25">
      <c r="A73" s="33" t="s">
        <v>230</v>
      </c>
      <c r="B73" s="222">
        <f>B71+B67+B60</f>
        <v>155169</v>
      </c>
      <c r="C73" s="195">
        <f t="shared" ref="C73:H73" si="16">C47/$H47</f>
        <v>0.69399192164302803</v>
      </c>
      <c r="D73" s="195">
        <f t="shared" si="16"/>
        <v>0.10856835133333367</v>
      </c>
      <c r="E73" s="195">
        <f t="shared" si="16"/>
        <v>9.7537331198720434E-2</v>
      </c>
      <c r="F73" s="195">
        <f t="shared" si="16"/>
        <v>3.6997898773237059E-2</v>
      </c>
      <c r="G73" s="195">
        <f t="shared" si="16"/>
        <v>6.2904497051680983E-2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C088E-CD34-4851-9F3E-A0BAC220E807}">
  <dimension ref="A1:Q74"/>
  <sheetViews>
    <sheetView zoomScaleNormal="100" workbookViewId="0">
      <selection activeCell="C1" sqref="C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36" t="s">
        <v>247</v>
      </c>
      <c r="B1" s="22"/>
      <c r="C1" s="22" t="s">
        <v>1354</v>
      </c>
      <c r="D1" s="22"/>
      <c r="E1" s="22"/>
      <c r="F1" s="22"/>
      <c r="G1" s="22"/>
      <c r="H1" s="22"/>
    </row>
    <row r="2" spans="1:17" x14ac:dyDescent="0.2">
      <c r="A2" s="22" t="s">
        <v>1212</v>
      </c>
    </row>
    <row r="3" spans="1:17" ht="34.5" x14ac:dyDescent="0.25">
      <c r="A3" s="22" t="s">
        <v>245</v>
      </c>
      <c r="B3" s="202" t="str">
        <f>"ANB"&amp;RIGHT(C1,2)</f>
        <v>ANB20</v>
      </c>
      <c r="C3" s="172" t="str">
        <f>RIGHT(C1,2)&amp;"/Pupil Salaries &amp; Benefits"</f>
        <v>20/Pupil Salaries &amp; Benefits</v>
      </c>
      <c r="D3" s="172" t="str">
        <f>RIGHT(C1,2)&amp;"/Pupil Purchased Services"</f>
        <v>20/Pupil Purchased Services</v>
      </c>
      <c r="E3" s="172" t="str">
        <f>RIGHT(C1,2)&amp;"/Pupil Supplies"</f>
        <v>20/Pupil Supplies</v>
      </c>
      <c r="F3" s="172" t="str">
        <f>RIGHT(C1,2)&amp;"/Pupil Capital Outlay"</f>
        <v>20/Pupil Capital Outlay</v>
      </c>
      <c r="G3" s="172" t="str">
        <f>RIGHT(C1,2)&amp;"/Pupil Other"</f>
        <v>20/Pupil Other</v>
      </c>
      <c r="H3" s="172" t="str">
        <f>RIGHT(C1,2)&amp;"/Pupil Total Expenditures"</f>
        <v>20/Pupil Total Expenditures</v>
      </c>
      <c r="K3" s="247"/>
      <c r="L3" s="247"/>
      <c r="M3" s="247"/>
      <c r="N3" s="247"/>
      <c r="O3" s="247"/>
      <c r="P3" s="247"/>
      <c r="Q3" s="247"/>
    </row>
    <row r="4" spans="1:17" ht="15" x14ac:dyDescent="0.25">
      <c r="A4" s="182" t="s">
        <v>102</v>
      </c>
      <c r="B4" s="214">
        <v>41686</v>
      </c>
      <c r="C4" s="214">
        <v>349757608.57999998</v>
      </c>
      <c r="D4" s="214">
        <v>47285194.199999996</v>
      </c>
      <c r="E4" s="214">
        <v>20833179.950000003</v>
      </c>
      <c r="F4" s="214">
        <v>8994192.3200000003</v>
      </c>
      <c r="G4" s="214">
        <v>35859152.350000001</v>
      </c>
      <c r="H4" s="214">
        <f t="shared" ref="H4:H9" si="0">SUM(C4:G4)</f>
        <v>462729327.39999998</v>
      </c>
      <c r="K4" s="294"/>
      <c r="L4" s="293"/>
      <c r="M4" s="293"/>
      <c r="N4" s="293"/>
      <c r="O4" s="293"/>
      <c r="P4" s="293"/>
      <c r="Q4" s="293"/>
    </row>
    <row r="5" spans="1:17" ht="15" x14ac:dyDescent="0.25">
      <c r="A5" s="33" t="s">
        <v>76</v>
      </c>
      <c r="B5" s="214">
        <v>18011</v>
      </c>
      <c r="C5" s="214">
        <v>157445596.05000001</v>
      </c>
      <c r="D5" s="214">
        <v>20810891.129999999</v>
      </c>
      <c r="E5" s="214">
        <v>15683629.100000001</v>
      </c>
      <c r="F5" s="214">
        <v>20201346.249999996</v>
      </c>
      <c r="G5" s="214">
        <v>12506001.049999999</v>
      </c>
      <c r="H5" s="214">
        <f t="shared" si="0"/>
        <v>226647463.58000001</v>
      </c>
      <c r="K5" s="294"/>
      <c r="L5" s="293"/>
      <c r="M5" s="293"/>
      <c r="N5" s="293"/>
      <c r="O5" s="293"/>
      <c r="P5" s="293"/>
      <c r="Q5" s="293"/>
    </row>
    <row r="6" spans="1:17" ht="15" x14ac:dyDescent="0.25">
      <c r="A6" s="33" t="s">
        <v>77</v>
      </c>
      <c r="B6" s="214">
        <v>16102</v>
      </c>
      <c r="C6" s="214">
        <v>139619559.94000003</v>
      </c>
      <c r="D6" s="214">
        <v>19473493.999999996</v>
      </c>
      <c r="E6" s="214">
        <v>15095757.609999996</v>
      </c>
      <c r="F6" s="214">
        <v>3635994.8500000006</v>
      </c>
      <c r="G6" s="214">
        <v>10087897.529999999</v>
      </c>
      <c r="H6" s="214">
        <f t="shared" si="0"/>
        <v>187912703.93000001</v>
      </c>
      <c r="K6" s="294"/>
      <c r="L6" s="293"/>
      <c r="M6" s="293"/>
      <c r="N6" s="293"/>
      <c r="O6" s="293"/>
      <c r="P6" s="293"/>
      <c r="Q6" s="293"/>
    </row>
    <row r="7" spans="1:17" ht="15" x14ac:dyDescent="0.25">
      <c r="A7" s="33" t="s">
        <v>78</v>
      </c>
      <c r="B7" s="214">
        <v>11739</v>
      </c>
      <c r="C7" s="214">
        <v>95877873.649999991</v>
      </c>
      <c r="D7" s="214">
        <v>17383805.829999998</v>
      </c>
      <c r="E7" s="214">
        <v>12862393.310000001</v>
      </c>
      <c r="F7" s="214">
        <v>4760513.6199999992</v>
      </c>
      <c r="G7" s="214">
        <v>4370661.1100000003</v>
      </c>
      <c r="H7" s="214">
        <f t="shared" si="0"/>
        <v>135255247.52000001</v>
      </c>
      <c r="K7" s="294"/>
      <c r="L7" s="293"/>
      <c r="M7" s="293"/>
      <c r="N7" s="293"/>
      <c r="O7" s="293"/>
      <c r="P7" s="293"/>
      <c r="Q7" s="293"/>
    </row>
    <row r="8" spans="1:17" ht="15" x14ac:dyDescent="0.25">
      <c r="A8" s="33" t="s">
        <v>79</v>
      </c>
      <c r="B8" s="214">
        <v>4752</v>
      </c>
      <c r="C8" s="214">
        <v>49557642.039999992</v>
      </c>
      <c r="D8" s="214">
        <v>9731266.9899999984</v>
      </c>
      <c r="E8" s="214">
        <v>6930890.4999999991</v>
      </c>
      <c r="F8" s="214">
        <v>2307151.9099999997</v>
      </c>
      <c r="G8" s="214">
        <v>1182634.8099999998</v>
      </c>
      <c r="H8" s="214">
        <f t="shared" si="0"/>
        <v>69709586.249999985</v>
      </c>
      <c r="K8" s="294"/>
      <c r="L8" s="293"/>
      <c r="M8" s="293"/>
      <c r="N8" s="293"/>
      <c r="O8" s="293"/>
      <c r="P8" s="293"/>
      <c r="Q8" s="293"/>
    </row>
    <row r="9" spans="1:17" ht="15" x14ac:dyDescent="0.25">
      <c r="A9" s="33" t="s">
        <v>80</v>
      </c>
      <c r="B9" s="220">
        <v>1577</v>
      </c>
      <c r="C9" s="220">
        <v>15655120.139999997</v>
      </c>
      <c r="D9" s="220">
        <v>4286351.4300000016</v>
      </c>
      <c r="E9" s="220">
        <v>2843392.4600000004</v>
      </c>
      <c r="F9" s="220">
        <v>815786.37999999989</v>
      </c>
      <c r="G9" s="220">
        <v>27213.73</v>
      </c>
      <c r="H9" s="220">
        <f t="shared" si="0"/>
        <v>23627864.140000001</v>
      </c>
      <c r="K9" s="294"/>
      <c r="L9" s="293"/>
      <c r="M9" s="293"/>
      <c r="N9" s="293"/>
      <c r="O9" s="293"/>
      <c r="P9" s="293"/>
      <c r="Q9" s="293"/>
    </row>
    <row r="10" spans="1:17" x14ac:dyDescent="0.2">
      <c r="A10" s="33" t="s">
        <v>103</v>
      </c>
      <c r="B10" s="221">
        <f t="shared" ref="B10:H10" si="1">SUM(B4:B9)</f>
        <v>93867</v>
      </c>
      <c r="C10" s="221">
        <f t="shared" si="1"/>
        <v>807913400.39999998</v>
      </c>
      <c r="D10" s="221">
        <f t="shared" si="1"/>
        <v>118971003.58</v>
      </c>
      <c r="E10" s="221">
        <f t="shared" si="1"/>
        <v>74249242.929999992</v>
      </c>
      <c r="F10" s="221">
        <f t="shared" si="1"/>
        <v>40714985.329999998</v>
      </c>
      <c r="G10" s="221">
        <f t="shared" si="1"/>
        <v>64033560.579999998</v>
      </c>
      <c r="H10" s="214">
        <f t="shared" si="1"/>
        <v>1105882192.8200002</v>
      </c>
    </row>
    <row r="11" spans="1:17" x14ac:dyDescent="0.2">
      <c r="A11" s="33"/>
      <c r="B11" s="182"/>
      <c r="C11" s="221"/>
      <c r="D11" s="221"/>
      <c r="E11" s="221"/>
      <c r="F11" s="221"/>
      <c r="G11" s="221"/>
      <c r="H11" s="214"/>
    </row>
    <row r="12" spans="1:17" ht="15" x14ac:dyDescent="0.25">
      <c r="A12" s="33" t="s">
        <v>81</v>
      </c>
      <c r="B12" s="214">
        <v>20514</v>
      </c>
      <c r="C12" s="214">
        <v>172910422.92000002</v>
      </c>
      <c r="D12" s="214">
        <v>30485590.539999999</v>
      </c>
      <c r="E12" s="214">
        <v>13459248.310000001</v>
      </c>
      <c r="F12" s="214">
        <v>6086043.1799999997</v>
      </c>
      <c r="G12" s="214">
        <v>27812304.050000001</v>
      </c>
      <c r="H12" s="214">
        <f>SUM(C12:G12)</f>
        <v>250753609.00000003</v>
      </c>
      <c r="K12" s="294"/>
      <c r="L12" s="293"/>
      <c r="M12" s="293"/>
      <c r="N12" s="293"/>
      <c r="O12" s="293"/>
      <c r="P12" s="293"/>
      <c r="Q12" s="293"/>
    </row>
    <row r="13" spans="1:17" ht="15" x14ac:dyDescent="0.25">
      <c r="A13" s="33" t="s">
        <v>82</v>
      </c>
      <c r="B13" s="214">
        <v>8088</v>
      </c>
      <c r="C13" s="214">
        <v>74498345.450000018</v>
      </c>
      <c r="D13" s="214">
        <v>9392024.2599999998</v>
      </c>
      <c r="E13" s="214">
        <v>8964684.0800000001</v>
      </c>
      <c r="F13" s="214">
        <v>7600383.6099999994</v>
      </c>
      <c r="G13" s="214">
        <v>7294576.6000000006</v>
      </c>
      <c r="H13" s="214">
        <f>SUM(C13:G13)</f>
        <v>107750014.00000001</v>
      </c>
      <c r="K13" s="294"/>
      <c r="L13" s="293"/>
      <c r="M13" s="293"/>
      <c r="N13" s="293"/>
      <c r="O13" s="293"/>
      <c r="P13" s="293"/>
      <c r="Q13" s="293"/>
    </row>
    <row r="14" spans="1:17" ht="15" x14ac:dyDescent="0.25">
      <c r="A14" s="33" t="s">
        <v>83</v>
      </c>
      <c r="B14" s="214">
        <v>4253</v>
      </c>
      <c r="C14" s="214">
        <v>40007785.219999999</v>
      </c>
      <c r="D14" s="214">
        <v>6774034.5</v>
      </c>
      <c r="E14" s="214">
        <v>5714430.71</v>
      </c>
      <c r="F14" s="214">
        <v>2717612.2699999996</v>
      </c>
      <c r="G14" s="214">
        <v>3740984.5300000003</v>
      </c>
      <c r="H14" s="214">
        <f>SUM(C14:G14)</f>
        <v>58954847.230000004</v>
      </c>
      <c r="K14" s="294"/>
      <c r="L14" s="293"/>
      <c r="M14" s="293"/>
      <c r="N14" s="293"/>
      <c r="O14" s="293"/>
      <c r="P14" s="293"/>
      <c r="Q14" s="293"/>
    </row>
    <row r="15" spans="1:17" ht="15" x14ac:dyDescent="0.25">
      <c r="A15" s="33" t="s">
        <v>84</v>
      </c>
      <c r="B15" s="214">
        <v>3947</v>
      </c>
      <c r="C15" s="214">
        <v>46980151.900000006</v>
      </c>
      <c r="D15" s="214">
        <v>9745388.4099999983</v>
      </c>
      <c r="E15" s="214">
        <v>6628572.4200000009</v>
      </c>
      <c r="F15" s="214">
        <v>5895584.2600000007</v>
      </c>
      <c r="G15" s="214">
        <v>2685165.6</v>
      </c>
      <c r="H15" s="214">
        <f>SUM(C15:G15)</f>
        <v>71934862.590000004</v>
      </c>
      <c r="K15" s="294"/>
      <c r="L15" s="293"/>
      <c r="M15" s="293"/>
      <c r="N15" s="293"/>
      <c r="O15" s="293"/>
      <c r="P15" s="293"/>
      <c r="Q15" s="293"/>
    </row>
    <row r="16" spans="1:17" ht="15" x14ac:dyDescent="0.25">
      <c r="A16" s="33" t="s">
        <v>85</v>
      </c>
      <c r="B16" s="220">
        <v>1455</v>
      </c>
      <c r="C16" s="220">
        <v>24266778.990000002</v>
      </c>
      <c r="D16" s="220">
        <v>6401266.2800000003</v>
      </c>
      <c r="E16" s="220">
        <v>4217113.96</v>
      </c>
      <c r="F16" s="220">
        <v>1410286</v>
      </c>
      <c r="G16" s="220">
        <v>387188.44999999995</v>
      </c>
      <c r="H16" s="220">
        <f>SUM(C16:G16)</f>
        <v>36682633.680000007</v>
      </c>
      <c r="K16" s="294"/>
      <c r="L16" s="293"/>
      <c r="M16" s="293"/>
      <c r="N16" s="293"/>
      <c r="O16" s="293"/>
      <c r="P16" s="293"/>
      <c r="Q16" s="293"/>
    </row>
    <row r="17" spans="1:17" x14ac:dyDescent="0.2">
      <c r="A17" s="33" t="s">
        <v>104</v>
      </c>
      <c r="B17" s="221">
        <f t="shared" ref="B17:H17" si="2">SUM(B12:B16)</f>
        <v>38257</v>
      </c>
      <c r="C17" s="221">
        <f t="shared" si="2"/>
        <v>358663484.48000002</v>
      </c>
      <c r="D17" s="221">
        <f t="shared" si="2"/>
        <v>62798303.989999995</v>
      </c>
      <c r="E17" s="221">
        <f t="shared" si="2"/>
        <v>38984049.480000004</v>
      </c>
      <c r="F17" s="221">
        <f t="shared" si="2"/>
        <v>23709909.32</v>
      </c>
      <c r="G17" s="221">
        <f t="shared" si="2"/>
        <v>41920219.230000004</v>
      </c>
      <c r="H17" s="221">
        <f t="shared" si="2"/>
        <v>526075966.50000006</v>
      </c>
    </row>
    <row r="18" spans="1:17" x14ac:dyDescent="0.2">
      <c r="A18" s="33"/>
      <c r="B18" s="182"/>
      <c r="C18" s="221"/>
      <c r="D18" s="221"/>
      <c r="E18" s="221"/>
      <c r="F18" s="221"/>
      <c r="G18" s="221"/>
      <c r="H18" s="214"/>
    </row>
    <row r="19" spans="1:17" ht="15" x14ac:dyDescent="0.25">
      <c r="A19" s="33" t="s">
        <v>86</v>
      </c>
      <c r="B19" s="214">
        <v>13573</v>
      </c>
      <c r="C19" s="214">
        <v>108487580.45999998</v>
      </c>
      <c r="D19" s="214">
        <v>20069467.220000003</v>
      </c>
      <c r="E19" s="214">
        <v>12079280.590000002</v>
      </c>
      <c r="F19" s="214">
        <v>4661123.1000000006</v>
      </c>
      <c r="G19" s="214">
        <v>14717114.199999999</v>
      </c>
      <c r="H19" s="214">
        <f>SUM(C19:G19)</f>
        <v>160014565.56999996</v>
      </c>
      <c r="K19" s="294"/>
      <c r="L19" s="293"/>
      <c r="M19" s="293"/>
      <c r="N19" s="293"/>
      <c r="O19" s="293"/>
      <c r="P19" s="293"/>
      <c r="Q19" s="293"/>
    </row>
    <row r="20" spans="1:17" ht="15" x14ac:dyDescent="0.25">
      <c r="A20" s="33" t="s">
        <v>87</v>
      </c>
      <c r="B20" s="220">
        <v>7917</v>
      </c>
      <c r="C20" s="220">
        <v>91521648.870000005</v>
      </c>
      <c r="D20" s="220">
        <v>16193104.580000004</v>
      </c>
      <c r="E20" s="220">
        <v>18721046.059999999</v>
      </c>
      <c r="F20" s="220">
        <v>7069944.3399999999</v>
      </c>
      <c r="G20" s="220">
        <v>4357200.4000000004</v>
      </c>
      <c r="H20" s="220">
        <f>SUM(C20:G20)</f>
        <v>137862944.25</v>
      </c>
      <c r="K20" s="294"/>
      <c r="L20" s="293"/>
      <c r="M20" s="293"/>
      <c r="N20" s="293"/>
      <c r="O20" s="293"/>
      <c r="P20" s="293"/>
      <c r="Q20" s="293"/>
    </row>
    <row r="21" spans="1:17" ht="15" x14ac:dyDescent="0.25">
      <c r="A21" s="33" t="s">
        <v>105</v>
      </c>
      <c r="B21" s="221">
        <f t="shared" ref="B21:H21" si="3">SUM(B19:B20)</f>
        <v>21490</v>
      </c>
      <c r="C21" s="221">
        <f t="shared" si="3"/>
        <v>200009229.32999998</v>
      </c>
      <c r="D21" s="221">
        <f t="shared" si="3"/>
        <v>36262571.800000004</v>
      </c>
      <c r="E21" s="221">
        <f t="shared" si="3"/>
        <v>30800326.649999999</v>
      </c>
      <c r="F21" s="221">
        <f t="shared" si="3"/>
        <v>11731067.440000001</v>
      </c>
      <c r="G21" s="221">
        <f t="shared" si="3"/>
        <v>19074314.600000001</v>
      </c>
      <c r="H21" s="221">
        <f t="shared" si="3"/>
        <v>297877509.81999993</v>
      </c>
      <c r="K21" s="275"/>
      <c r="L21" s="247"/>
      <c r="M21" s="247"/>
      <c r="N21" s="247"/>
      <c r="O21" s="247"/>
      <c r="P21" s="247"/>
      <c r="Q21" s="247"/>
    </row>
    <row r="22" spans="1:17" x14ac:dyDescent="0.2">
      <c r="A22" s="33"/>
      <c r="B22" s="214"/>
      <c r="C22" s="214"/>
      <c r="D22" s="214"/>
      <c r="E22" s="214"/>
      <c r="F22" s="214"/>
      <c r="G22" s="214"/>
      <c r="H22" s="214"/>
    </row>
    <row r="23" spans="1:17" ht="13.5" thickBot="1" x14ac:dyDescent="0.25">
      <c r="A23" s="33" t="s">
        <v>209</v>
      </c>
      <c r="B23" s="222">
        <f t="shared" ref="B23:H23" si="4">B21+B17+B10</f>
        <v>153614</v>
      </c>
      <c r="C23" s="222">
        <f t="shared" si="4"/>
        <v>1366586114.21</v>
      </c>
      <c r="D23" s="222">
        <f t="shared" si="4"/>
        <v>218031879.37</v>
      </c>
      <c r="E23" s="222">
        <f t="shared" si="4"/>
        <v>144033619.06</v>
      </c>
      <c r="F23" s="222">
        <f t="shared" si="4"/>
        <v>76155962.090000004</v>
      </c>
      <c r="G23" s="222">
        <f t="shared" si="4"/>
        <v>125028094.41</v>
      </c>
      <c r="H23" s="222">
        <f t="shared" si="4"/>
        <v>1929835669.1400001</v>
      </c>
    </row>
    <row r="24" spans="1:17" ht="13.5" thickTop="1" x14ac:dyDescent="0.2">
      <c r="A24" s="33"/>
      <c r="B24" s="182"/>
      <c r="C24" s="182"/>
      <c r="D24" s="182"/>
      <c r="E24" s="182"/>
      <c r="F24" s="182"/>
      <c r="G24" s="182"/>
      <c r="H24" s="33"/>
    </row>
    <row r="25" spans="1:17" x14ac:dyDescent="0.2">
      <c r="A25" s="36" t="s">
        <v>247</v>
      </c>
      <c r="B25" s="22"/>
      <c r="C25" s="22"/>
      <c r="D25" s="22"/>
      <c r="E25" s="22"/>
      <c r="F25" s="22"/>
      <c r="G25" s="22"/>
      <c r="H25" s="22"/>
    </row>
    <row r="26" spans="1:17" x14ac:dyDescent="0.2">
      <c r="A26" s="36" t="s">
        <v>1214</v>
      </c>
      <c r="B26" s="22" t="str">
        <f>C1</f>
        <v>FY2020</v>
      </c>
      <c r="C26" s="22"/>
      <c r="D26" s="22"/>
      <c r="E26" s="22"/>
      <c r="F26" s="22"/>
      <c r="G26" s="22"/>
      <c r="H26" s="22"/>
    </row>
    <row r="27" spans="1:17" ht="33.75" x14ac:dyDescent="0.2">
      <c r="A27" s="155" t="s">
        <v>245</v>
      </c>
      <c r="B27" s="172" t="str">
        <f t="shared" ref="B27:H34" si="5">B3</f>
        <v>ANB20</v>
      </c>
      <c r="C27" s="172" t="str">
        <f t="shared" si="5"/>
        <v>20/Pupil Salaries &amp; Benefits</v>
      </c>
      <c r="D27" s="172" t="str">
        <f t="shared" si="5"/>
        <v>20/Pupil Purchased Services</v>
      </c>
      <c r="E27" s="172" t="str">
        <f t="shared" si="5"/>
        <v>20/Pupil Supplies</v>
      </c>
      <c r="F27" s="172" t="str">
        <f t="shared" si="5"/>
        <v>20/Pupil Capital Outlay</v>
      </c>
      <c r="G27" s="172" t="str">
        <f t="shared" si="5"/>
        <v>20/Pupil Other</v>
      </c>
      <c r="H27" s="172" t="str">
        <f t="shared" si="5"/>
        <v>20/Pupil Total Expenditures</v>
      </c>
    </row>
    <row r="28" spans="1:17" x14ac:dyDescent="0.2">
      <c r="A28" s="33" t="s">
        <v>102</v>
      </c>
      <c r="B28" s="214">
        <f t="shared" si="5"/>
        <v>41686</v>
      </c>
      <c r="C28" s="182">
        <f t="shared" ref="C28:H34" si="6">C4/$B28</f>
        <v>8390.2895115866231</v>
      </c>
      <c r="D28" s="182">
        <f t="shared" si="6"/>
        <v>1134.3183370915895</v>
      </c>
      <c r="E28" s="182">
        <f t="shared" si="6"/>
        <v>499.76442810535917</v>
      </c>
      <c r="F28" s="182">
        <f t="shared" si="6"/>
        <v>215.7605028066977</v>
      </c>
      <c r="G28" s="182">
        <f t="shared" si="6"/>
        <v>860.22051408146626</v>
      </c>
      <c r="H28" s="182">
        <f t="shared" si="6"/>
        <v>11100.353293671737</v>
      </c>
    </row>
    <row r="29" spans="1:17" x14ac:dyDescent="0.2">
      <c r="A29" s="33" t="s">
        <v>76</v>
      </c>
      <c r="B29" s="214">
        <f t="shared" si="5"/>
        <v>18011</v>
      </c>
      <c r="C29" s="182">
        <f t="shared" si="6"/>
        <v>8741.6354477819114</v>
      </c>
      <c r="D29" s="182">
        <f t="shared" si="6"/>
        <v>1155.4545072455721</v>
      </c>
      <c r="E29" s="182">
        <f t="shared" si="6"/>
        <v>870.78058408750212</v>
      </c>
      <c r="F29" s="182">
        <f t="shared" si="6"/>
        <v>1121.6115845871966</v>
      </c>
      <c r="G29" s="182">
        <f t="shared" si="6"/>
        <v>694.35350896674254</v>
      </c>
      <c r="H29" s="182">
        <f t="shared" si="6"/>
        <v>12583.835632668925</v>
      </c>
    </row>
    <row r="30" spans="1:17" x14ac:dyDescent="0.2">
      <c r="A30" s="33" t="s">
        <v>77</v>
      </c>
      <c r="B30" s="214">
        <f t="shared" si="5"/>
        <v>16102</v>
      </c>
      <c r="C30" s="182">
        <f t="shared" si="6"/>
        <v>8670.9452204695081</v>
      </c>
      <c r="D30" s="182">
        <f t="shared" si="6"/>
        <v>1209.3835548379082</v>
      </c>
      <c r="E30" s="182">
        <f t="shared" si="6"/>
        <v>937.50823562290373</v>
      </c>
      <c r="F30" s="182">
        <f t="shared" si="6"/>
        <v>225.81013849211283</v>
      </c>
      <c r="G30" s="182">
        <f t="shared" si="6"/>
        <v>626.49966029064706</v>
      </c>
      <c r="H30" s="182">
        <f t="shared" si="6"/>
        <v>11670.14680971308</v>
      </c>
    </row>
    <row r="31" spans="1:17" x14ac:dyDescent="0.2">
      <c r="A31" s="33" t="s">
        <v>78</v>
      </c>
      <c r="B31" s="214">
        <f t="shared" si="5"/>
        <v>11739</v>
      </c>
      <c r="C31" s="182">
        <f t="shared" si="6"/>
        <v>8167.4651716500548</v>
      </c>
      <c r="D31" s="182">
        <f t="shared" si="6"/>
        <v>1480.8591728426611</v>
      </c>
      <c r="E31" s="182">
        <f t="shared" si="6"/>
        <v>1095.6975304540422</v>
      </c>
      <c r="F31" s="182">
        <f t="shared" si="6"/>
        <v>405.52974018229827</v>
      </c>
      <c r="G31" s="182">
        <f t="shared" si="6"/>
        <v>372.31971292273619</v>
      </c>
      <c r="H31" s="182">
        <f t="shared" si="6"/>
        <v>11521.871328051795</v>
      </c>
    </row>
    <row r="32" spans="1:17" x14ac:dyDescent="0.2">
      <c r="A32" s="33" t="s">
        <v>79</v>
      </c>
      <c r="B32" s="214">
        <f t="shared" si="5"/>
        <v>4752</v>
      </c>
      <c r="C32" s="182">
        <f t="shared" si="6"/>
        <v>10428.796725589224</v>
      </c>
      <c r="D32" s="182">
        <f t="shared" si="6"/>
        <v>2047.8255450336696</v>
      </c>
      <c r="E32" s="182">
        <f t="shared" si="6"/>
        <v>1458.5207281144778</v>
      </c>
      <c r="F32" s="182">
        <f t="shared" si="6"/>
        <v>485.51176557239052</v>
      </c>
      <c r="G32" s="182">
        <f t="shared" si="6"/>
        <v>248.87096170033666</v>
      </c>
      <c r="H32" s="182">
        <f t="shared" si="6"/>
        <v>14669.525726010097</v>
      </c>
    </row>
    <row r="33" spans="1:8" x14ac:dyDescent="0.2">
      <c r="A33" s="33" t="s">
        <v>80</v>
      </c>
      <c r="B33" s="220">
        <f t="shared" si="5"/>
        <v>1577</v>
      </c>
      <c r="C33" s="183">
        <f t="shared" si="6"/>
        <v>9927.1529105897262</v>
      </c>
      <c r="D33" s="183">
        <f t="shared" si="6"/>
        <v>2718.041490171212</v>
      </c>
      <c r="E33" s="183">
        <f t="shared" si="6"/>
        <v>1803.0389727330378</v>
      </c>
      <c r="F33" s="183">
        <f t="shared" si="6"/>
        <v>517.30271401395044</v>
      </c>
      <c r="G33" s="183">
        <f t="shared" si="6"/>
        <v>17.256645529486367</v>
      </c>
      <c r="H33" s="183">
        <f t="shared" si="6"/>
        <v>14982.792733037413</v>
      </c>
    </row>
    <row r="34" spans="1:8" x14ac:dyDescent="0.2">
      <c r="A34" s="33" t="s">
        <v>103</v>
      </c>
      <c r="B34" s="214">
        <f t="shared" si="5"/>
        <v>93867</v>
      </c>
      <c r="C34" s="182">
        <f t="shared" si="6"/>
        <v>8607.001399852983</v>
      </c>
      <c r="D34" s="182">
        <f t="shared" si="6"/>
        <v>1267.4422702334155</v>
      </c>
      <c r="E34" s="182">
        <f t="shared" si="6"/>
        <v>791.00475065784565</v>
      </c>
      <c r="F34" s="182">
        <f t="shared" si="6"/>
        <v>433.75185453886883</v>
      </c>
      <c r="G34" s="182">
        <f t="shared" si="6"/>
        <v>682.17329391585963</v>
      </c>
      <c r="H34" s="182">
        <f t="shared" si="6"/>
        <v>11781.373569198975</v>
      </c>
    </row>
    <row r="35" spans="1:8" x14ac:dyDescent="0.2">
      <c r="A35" s="33"/>
      <c r="B35" s="214"/>
      <c r="C35" s="182"/>
      <c r="D35" s="182"/>
      <c r="E35" s="182"/>
      <c r="F35" s="182"/>
      <c r="G35" s="182"/>
      <c r="H35" s="182"/>
    </row>
    <row r="36" spans="1:8" x14ac:dyDescent="0.2">
      <c r="A36" s="33" t="s">
        <v>81</v>
      </c>
      <c r="B36" s="214">
        <f t="shared" ref="B36:B41" si="7">B12</f>
        <v>20514</v>
      </c>
      <c r="C36" s="182">
        <f t="shared" ref="C36:H41" si="8">C12/$B36</f>
        <v>8428.898455688799</v>
      </c>
      <c r="D36" s="182">
        <f t="shared" si="8"/>
        <v>1486.0870888173929</v>
      </c>
      <c r="E36" s="182">
        <f t="shared" si="8"/>
        <v>656.10062932631376</v>
      </c>
      <c r="F36" s="182">
        <f t="shared" si="8"/>
        <v>296.67754606610117</v>
      </c>
      <c r="G36" s="182">
        <f t="shared" si="8"/>
        <v>1355.7718655552305</v>
      </c>
      <c r="H36" s="182">
        <f t="shared" si="8"/>
        <v>12223.535585453837</v>
      </c>
    </row>
    <row r="37" spans="1:8" x14ac:dyDescent="0.2">
      <c r="A37" s="33" t="s">
        <v>82</v>
      </c>
      <c r="B37" s="214">
        <f t="shared" si="7"/>
        <v>8088</v>
      </c>
      <c r="C37" s="182">
        <f t="shared" si="8"/>
        <v>9210.9724839268074</v>
      </c>
      <c r="D37" s="182">
        <f t="shared" si="8"/>
        <v>1161.2295079129574</v>
      </c>
      <c r="E37" s="182">
        <f t="shared" si="8"/>
        <v>1108.3931849653809</v>
      </c>
      <c r="F37" s="182">
        <f t="shared" si="8"/>
        <v>939.71112883283865</v>
      </c>
      <c r="G37" s="182">
        <f t="shared" si="8"/>
        <v>901.90116221562812</v>
      </c>
      <c r="H37" s="182">
        <f t="shared" si="8"/>
        <v>13322.207467853612</v>
      </c>
    </row>
    <row r="38" spans="1:8" x14ac:dyDescent="0.2">
      <c r="A38" s="33" t="s">
        <v>83</v>
      </c>
      <c r="B38" s="214">
        <f t="shared" si="7"/>
        <v>4253</v>
      </c>
      <c r="C38" s="182">
        <f t="shared" si="8"/>
        <v>9406.9563178932513</v>
      </c>
      <c r="D38" s="182">
        <f t="shared" si="8"/>
        <v>1592.7661650599578</v>
      </c>
      <c r="E38" s="182">
        <f t="shared" si="8"/>
        <v>1343.6234916529509</v>
      </c>
      <c r="F38" s="182">
        <f t="shared" si="8"/>
        <v>638.98713143663281</v>
      </c>
      <c r="G38" s="182">
        <f t="shared" si="8"/>
        <v>879.61075241006358</v>
      </c>
      <c r="H38" s="182">
        <f t="shared" si="8"/>
        <v>13861.943858452858</v>
      </c>
    </row>
    <row r="39" spans="1:8" x14ac:dyDescent="0.2">
      <c r="A39" s="33" t="s">
        <v>84</v>
      </c>
      <c r="B39" s="214">
        <f t="shared" si="7"/>
        <v>3947</v>
      </c>
      <c r="C39" s="182">
        <f t="shared" si="8"/>
        <v>11902.749404611099</v>
      </c>
      <c r="D39" s="182">
        <f t="shared" si="8"/>
        <v>2469.0621763364575</v>
      </c>
      <c r="E39" s="182">
        <f t="shared" si="8"/>
        <v>1679.3950899417282</v>
      </c>
      <c r="F39" s="182">
        <f t="shared" si="8"/>
        <v>1493.6874233595138</v>
      </c>
      <c r="G39" s="182">
        <f t="shared" si="8"/>
        <v>680.30544717506973</v>
      </c>
      <c r="H39" s="182">
        <f t="shared" si="8"/>
        <v>18225.199541423866</v>
      </c>
    </row>
    <row r="40" spans="1:8" x14ac:dyDescent="0.2">
      <c r="A40" s="33" t="s">
        <v>85</v>
      </c>
      <c r="B40" s="220">
        <f t="shared" si="7"/>
        <v>1455</v>
      </c>
      <c r="C40" s="183">
        <f t="shared" si="8"/>
        <v>16678.198618556704</v>
      </c>
      <c r="D40" s="183">
        <f t="shared" si="8"/>
        <v>4399.4957250859106</v>
      </c>
      <c r="E40" s="183">
        <f t="shared" si="8"/>
        <v>2898.3601099656357</v>
      </c>
      <c r="F40" s="183">
        <f t="shared" si="8"/>
        <v>969.2687285223368</v>
      </c>
      <c r="G40" s="183">
        <f t="shared" si="8"/>
        <v>266.10890034364257</v>
      </c>
      <c r="H40" s="183">
        <f t="shared" si="8"/>
        <v>25211.432082474232</v>
      </c>
    </row>
    <row r="41" spans="1:8" x14ac:dyDescent="0.2">
      <c r="A41" s="33" t="s">
        <v>104</v>
      </c>
      <c r="B41" s="214">
        <f t="shared" si="7"/>
        <v>38257</v>
      </c>
      <c r="C41" s="182">
        <f t="shared" si="8"/>
        <v>9375.107417727475</v>
      </c>
      <c r="D41" s="182">
        <f t="shared" si="8"/>
        <v>1641.4853226860444</v>
      </c>
      <c r="E41" s="182">
        <f t="shared" si="8"/>
        <v>1019.0043516219255</v>
      </c>
      <c r="F41" s="182">
        <f t="shared" si="8"/>
        <v>619.75349138719707</v>
      </c>
      <c r="G41" s="182">
        <f t="shared" si="8"/>
        <v>1095.7529139765272</v>
      </c>
      <c r="H41" s="182">
        <f t="shared" si="8"/>
        <v>13751.10349739917</v>
      </c>
    </row>
    <row r="42" spans="1:8" x14ac:dyDescent="0.2">
      <c r="A42" s="33"/>
      <c r="B42" s="214"/>
      <c r="C42" s="182"/>
      <c r="D42" s="182"/>
      <c r="E42" s="182"/>
      <c r="F42" s="182"/>
      <c r="G42" s="182"/>
      <c r="H42" s="182"/>
    </row>
    <row r="43" spans="1:8" x14ac:dyDescent="0.2">
      <c r="A43" s="33" t="s">
        <v>86</v>
      </c>
      <c r="B43" s="214">
        <f>B19</f>
        <v>13573</v>
      </c>
      <c r="C43" s="182">
        <f t="shared" ref="C43:H45" si="9">C19/$B43</f>
        <v>7992.8962248581729</v>
      </c>
      <c r="D43" s="182">
        <f t="shared" si="9"/>
        <v>1478.6316378103591</v>
      </c>
      <c r="E43" s="182">
        <f t="shared" si="9"/>
        <v>889.94920724968699</v>
      </c>
      <c r="F43" s="182">
        <f t="shared" si="9"/>
        <v>343.41141236277906</v>
      </c>
      <c r="G43" s="182">
        <f t="shared" si="9"/>
        <v>1084.2933912915346</v>
      </c>
      <c r="H43" s="182">
        <f t="shared" si="9"/>
        <v>11789.18187357253</v>
      </c>
    </row>
    <row r="44" spans="1:8" x14ac:dyDescent="0.2">
      <c r="A44" s="33" t="s">
        <v>87</v>
      </c>
      <c r="B44" s="220">
        <f>B20</f>
        <v>7917</v>
      </c>
      <c r="C44" s="183">
        <f t="shared" si="9"/>
        <v>11560.142588101555</v>
      </c>
      <c r="D44" s="183">
        <f t="shared" si="9"/>
        <v>2045.3586686876347</v>
      </c>
      <c r="E44" s="183">
        <f t="shared" si="9"/>
        <v>2364.6641480358721</v>
      </c>
      <c r="F44" s="183">
        <f t="shared" si="9"/>
        <v>893.00800050524185</v>
      </c>
      <c r="G44" s="183">
        <f t="shared" si="9"/>
        <v>550.36003536693192</v>
      </c>
      <c r="H44" s="183">
        <f t="shared" si="9"/>
        <v>17413.533440697232</v>
      </c>
    </row>
    <row r="45" spans="1:8" x14ac:dyDescent="0.2">
      <c r="A45" s="33" t="s">
        <v>105</v>
      </c>
      <c r="B45" s="214">
        <f>B21</f>
        <v>21490</v>
      </c>
      <c r="C45" s="182">
        <f t="shared" si="9"/>
        <v>9307.083728711028</v>
      </c>
      <c r="D45" s="182">
        <f t="shared" si="9"/>
        <v>1687.4160912052118</v>
      </c>
      <c r="E45" s="182">
        <f t="shared" si="9"/>
        <v>1433.2399557933923</v>
      </c>
      <c r="F45" s="182">
        <f t="shared" si="9"/>
        <v>545.88494369474176</v>
      </c>
      <c r="G45" s="182">
        <f t="shared" si="9"/>
        <v>887.59025593299214</v>
      </c>
      <c r="H45" s="182">
        <f t="shared" si="9"/>
        <v>13861.214975337363</v>
      </c>
    </row>
    <row r="46" spans="1:8" x14ac:dyDescent="0.2">
      <c r="A46" s="33"/>
      <c r="B46" s="214"/>
      <c r="C46" s="182"/>
      <c r="D46" s="182"/>
      <c r="E46" s="182"/>
      <c r="F46" s="182"/>
      <c r="G46" s="182"/>
      <c r="H46" s="182"/>
    </row>
    <row r="47" spans="1:8" ht="13.5" thickBot="1" x14ac:dyDescent="0.25">
      <c r="A47" s="33" t="s">
        <v>209</v>
      </c>
      <c r="B47" s="222">
        <f>B23</f>
        <v>153614</v>
      </c>
      <c r="C47" s="192">
        <f t="shared" ref="C47:H47" si="10">C23/$B47</f>
        <v>8896.2341597120048</v>
      </c>
      <c r="D47" s="192">
        <f t="shared" si="10"/>
        <v>1419.3490135664717</v>
      </c>
      <c r="E47" s="192">
        <f t="shared" si="10"/>
        <v>937.63341270977912</v>
      </c>
      <c r="F47" s="192">
        <f t="shared" si="10"/>
        <v>495.76185822906768</v>
      </c>
      <c r="G47" s="192">
        <f t="shared" si="10"/>
        <v>813.91080506985043</v>
      </c>
      <c r="H47" s="222">
        <f t="shared" si="10"/>
        <v>12562.889249287175</v>
      </c>
    </row>
    <row r="48" spans="1:8" ht="13.5" thickTop="1" x14ac:dyDescent="0.2">
      <c r="A48" s="33"/>
      <c r="B48" s="182"/>
      <c r="C48" s="182"/>
      <c r="D48" s="182"/>
      <c r="E48" s="182"/>
      <c r="F48" s="182"/>
      <c r="G48" s="182"/>
      <c r="H48" s="182"/>
    </row>
    <row r="49" spans="1:8" x14ac:dyDescent="0.2">
      <c r="A49" s="33"/>
      <c r="B49" s="182"/>
      <c r="C49" s="182"/>
      <c r="D49" s="182"/>
      <c r="E49" s="182"/>
      <c r="F49" s="182"/>
      <c r="G49" s="182"/>
      <c r="H49" s="182"/>
    </row>
    <row r="50" spans="1:8" x14ac:dyDescent="0.2">
      <c r="A50" s="33"/>
      <c r="B50" s="182"/>
      <c r="C50" s="182"/>
      <c r="D50" s="182"/>
      <c r="E50" s="182"/>
      <c r="F50" s="182"/>
      <c r="G50" s="182"/>
      <c r="H50" s="182"/>
    </row>
    <row r="51" spans="1:8" x14ac:dyDescent="0.2">
      <c r="A51" s="36" t="s">
        <v>247</v>
      </c>
      <c r="B51" s="182"/>
      <c r="C51" s="182"/>
      <c r="D51" s="182"/>
      <c r="E51" s="182"/>
      <c r="F51" s="182"/>
      <c r="G51" s="182"/>
      <c r="H51" s="182"/>
    </row>
    <row r="52" spans="1:8" x14ac:dyDescent="0.2">
      <c r="A52" s="36" t="s">
        <v>1215</v>
      </c>
      <c r="B52" s="22" t="str">
        <f>C1</f>
        <v>FY2020</v>
      </c>
      <c r="C52" s="182"/>
      <c r="D52" s="182"/>
      <c r="E52" s="182"/>
      <c r="F52" s="182"/>
      <c r="G52" s="182"/>
      <c r="H52" s="182"/>
    </row>
    <row r="53" spans="1:8" ht="33.75" x14ac:dyDescent="0.2">
      <c r="A53" s="155" t="s">
        <v>245</v>
      </c>
      <c r="B53" s="172" t="str">
        <f t="shared" ref="B53:H59" si="11">B3</f>
        <v>ANB20</v>
      </c>
      <c r="C53" s="172" t="str">
        <f t="shared" si="11"/>
        <v>20/Pupil Salaries &amp; Benefits</v>
      </c>
      <c r="D53" s="172" t="str">
        <f t="shared" si="11"/>
        <v>20/Pupil Purchased Services</v>
      </c>
      <c r="E53" s="172" t="str">
        <f t="shared" si="11"/>
        <v>20/Pupil Supplies</v>
      </c>
      <c r="F53" s="172" t="str">
        <f t="shared" si="11"/>
        <v>20/Pupil Capital Outlay</v>
      </c>
      <c r="G53" s="172" t="str">
        <f t="shared" si="11"/>
        <v>20/Pupil Other</v>
      </c>
      <c r="H53" s="172" t="str">
        <f t="shared" si="11"/>
        <v>20/Pupil Total Expenditures</v>
      </c>
    </row>
    <row r="54" spans="1:8" x14ac:dyDescent="0.2">
      <c r="A54" s="33" t="s">
        <v>102</v>
      </c>
      <c r="B54" s="214">
        <f t="shared" si="11"/>
        <v>41686</v>
      </c>
      <c r="C54" s="191">
        <f t="shared" ref="C54:H60" si="12">C28/$H28</f>
        <v>0.75585788034060963</v>
      </c>
      <c r="D54" s="191">
        <f t="shared" si="12"/>
        <v>0.10218758872641102</v>
      </c>
      <c r="E54" s="191">
        <f t="shared" si="12"/>
        <v>4.5022389367577402E-2</v>
      </c>
      <c r="F54" s="191">
        <f t="shared" si="12"/>
        <v>1.9437264481455906E-2</v>
      </c>
      <c r="G54" s="191">
        <f t="shared" si="12"/>
        <v>7.7494877083945993E-2</v>
      </c>
      <c r="H54" s="191">
        <f t="shared" si="12"/>
        <v>1</v>
      </c>
    </row>
    <row r="55" spans="1:8" x14ac:dyDescent="0.2">
      <c r="A55" s="33" t="s">
        <v>76</v>
      </c>
      <c r="B55" s="214">
        <f t="shared" si="11"/>
        <v>18011</v>
      </c>
      <c r="C55" s="191">
        <f t="shared" si="12"/>
        <v>0.69467177599552643</v>
      </c>
      <c r="D55" s="191">
        <f t="shared" si="12"/>
        <v>9.1820533975022212E-2</v>
      </c>
      <c r="E55" s="191">
        <f t="shared" si="12"/>
        <v>6.9198343772614662E-2</v>
      </c>
      <c r="F55" s="191">
        <f t="shared" si="12"/>
        <v>8.9131137542465849E-2</v>
      </c>
      <c r="G55" s="191">
        <f t="shared" si="12"/>
        <v>5.5178208714370826E-2</v>
      </c>
      <c r="H55" s="191">
        <f t="shared" si="12"/>
        <v>1</v>
      </c>
    </row>
    <row r="56" spans="1:8" x14ac:dyDescent="0.2">
      <c r="A56" s="33" t="s">
        <v>77</v>
      </c>
      <c r="B56" s="214">
        <f t="shared" si="11"/>
        <v>16102</v>
      </c>
      <c r="C56" s="191">
        <f t="shared" si="12"/>
        <v>0.74300223997633585</v>
      </c>
      <c r="D56" s="191">
        <f t="shared" si="12"/>
        <v>0.10363053477882013</v>
      </c>
      <c r="E56" s="191">
        <f t="shared" si="12"/>
        <v>8.0333885332326258E-2</v>
      </c>
      <c r="F56" s="191">
        <f t="shared" si="12"/>
        <v>1.9349382846167003E-2</v>
      </c>
      <c r="G56" s="191">
        <f t="shared" si="12"/>
        <v>5.3683957066350742E-2</v>
      </c>
      <c r="H56" s="191">
        <f t="shared" si="12"/>
        <v>1</v>
      </c>
    </row>
    <row r="57" spans="1:8" x14ac:dyDescent="0.2">
      <c r="A57" s="33" t="s">
        <v>78</v>
      </c>
      <c r="B57" s="214">
        <f t="shared" si="11"/>
        <v>11739</v>
      </c>
      <c r="C57" s="191">
        <f t="shared" si="12"/>
        <v>0.70886620229520225</v>
      </c>
      <c r="D57" s="191">
        <f t="shared" si="12"/>
        <v>0.12852592523206524</v>
      </c>
      <c r="E57" s="191">
        <f t="shared" si="12"/>
        <v>9.5097185106241849E-2</v>
      </c>
      <c r="F57" s="191">
        <f t="shared" si="12"/>
        <v>3.5196517009782324E-2</v>
      </c>
      <c r="G57" s="191">
        <f t="shared" si="12"/>
        <v>3.231417035670809E-2</v>
      </c>
      <c r="H57" s="191">
        <f t="shared" si="12"/>
        <v>1</v>
      </c>
    </row>
    <row r="58" spans="1:8" x14ac:dyDescent="0.2">
      <c r="A58" s="33" t="s">
        <v>79</v>
      </c>
      <c r="B58" s="214">
        <f t="shared" si="11"/>
        <v>4752</v>
      </c>
      <c r="C58" s="191">
        <f t="shared" si="12"/>
        <v>0.71091573922517726</v>
      </c>
      <c r="D58" s="191">
        <f t="shared" si="12"/>
        <v>0.13959725646772148</v>
      </c>
      <c r="E58" s="191">
        <f t="shared" si="12"/>
        <v>9.9425213558773637E-2</v>
      </c>
      <c r="F58" s="191">
        <f t="shared" si="12"/>
        <v>3.3096623206539263E-2</v>
      </c>
      <c r="G58" s="191">
        <f t="shared" si="12"/>
        <v>1.6965167541788416E-2</v>
      </c>
      <c r="H58" s="191">
        <f t="shared" si="12"/>
        <v>1</v>
      </c>
    </row>
    <row r="59" spans="1:8" x14ac:dyDescent="0.2">
      <c r="A59" s="33" t="s">
        <v>80</v>
      </c>
      <c r="B59" s="220">
        <f t="shared" si="11"/>
        <v>1577</v>
      </c>
      <c r="C59" s="193">
        <f t="shared" si="12"/>
        <v>0.66257026226493265</v>
      </c>
      <c r="D59" s="193">
        <f t="shared" si="12"/>
        <v>0.18141087169802902</v>
      </c>
      <c r="E59" s="193">
        <f t="shared" si="12"/>
        <v>0.12034064709159956</v>
      </c>
      <c r="F59" s="193">
        <f t="shared" si="12"/>
        <v>3.4526454662439914E-2</v>
      </c>
      <c r="G59" s="193">
        <f t="shared" si="12"/>
        <v>1.1517642829987932E-3</v>
      </c>
      <c r="H59" s="193">
        <f t="shared" si="12"/>
        <v>1</v>
      </c>
    </row>
    <row r="60" spans="1:8" x14ac:dyDescent="0.2">
      <c r="A60" s="33" t="s">
        <v>103</v>
      </c>
      <c r="B60" s="214">
        <f>SUM(B54:B59)</f>
        <v>93867</v>
      </c>
      <c r="C60" s="191">
        <f t="shared" si="12"/>
        <v>0.73056009550151124</v>
      </c>
      <c r="D60" s="191">
        <f t="shared" si="12"/>
        <v>0.10758017838828192</v>
      </c>
      <c r="E60" s="191">
        <f t="shared" si="12"/>
        <v>6.7140282583504116E-2</v>
      </c>
      <c r="F60" s="191">
        <f t="shared" si="12"/>
        <v>3.6816747384435917E-2</v>
      </c>
      <c r="G60" s="191">
        <f t="shared" si="12"/>
        <v>5.7902696142266639E-2</v>
      </c>
      <c r="H60" s="191">
        <f t="shared" si="12"/>
        <v>1</v>
      </c>
    </row>
    <row r="61" spans="1:8" x14ac:dyDescent="0.2">
      <c r="A61" s="33"/>
      <c r="B61" s="214"/>
      <c r="C61" s="191"/>
      <c r="D61" s="191"/>
      <c r="E61" s="191"/>
      <c r="F61" s="191"/>
      <c r="G61" s="191"/>
      <c r="H61" s="191"/>
    </row>
    <row r="62" spans="1:8" x14ac:dyDescent="0.2">
      <c r="A62" s="33" t="s">
        <v>81</v>
      </c>
      <c r="B62" s="214">
        <f t="shared" ref="B62:B67" si="13">B12</f>
        <v>20514</v>
      </c>
      <c r="C62" s="191">
        <f t="shared" ref="C62:H67" si="14">C36/$H36</f>
        <v>0.68956304800382762</v>
      </c>
      <c r="D62" s="191">
        <f t="shared" si="14"/>
        <v>0.12157587945224746</v>
      </c>
      <c r="E62" s="191">
        <f t="shared" si="14"/>
        <v>5.367519280649715E-2</v>
      </c>
      <c r="F62" s="191">
        <f t="shared" si="14"/>
        <v>2.4271009315762225E-2</v>
      </c>
      <c r="G62" s="191">
        <f t="shared" si="14"/>
        <v>0.11091487042166558</v>
      </c>
      <c r="H62" s="191">
        <f t="shared" si="14"/>
        <v>1</v>
      </c>
    </row>
    <row r="63" spans="1:8" x14ac:dyDescent="0.2">
      <c r="A63" s="33" t="s">
        <v>82</v>
      </c>
      <c r="B63" s="214">
        <f t="shared" si="13"/>
        <v>8088</v>
      </c>
      <c r="C63" s="191">
        <f t="shared" si="14"/>
        <v>0.69139986793876429</v>
      </c>
      <c r="D63" s="191">
        <f t="shared" si="14"/>
        <v>8.7164947004090401E-2</v>
      </c>
      <c r="E63" s="191">
        <f t="shared" si="14"/>
        <v>8.3198913366266475E-2</v>
      </c>
      <c r="F63" s="191">
        <f t="shared" si="14"/>
        <v>7.0537193712104748E-2</v>
      </c>
      <c r="G63" s="191">
        <f t="shared" si="14"/>
        <v>6.7699077978774086E-2</v>
      </c>
      <c r="H63" s="191">
        <f t="shared" si="14"/>
        <v>1</v>
      </c>
    </row>
    <row r="64" spans="1:8" x14ac:dyDescent="0.2">
      <c r="A64" s="33" t="s">
        <v>83</v>
      </c>
      <c r="B64" s="214">
        <f t="shared" si="13"/>
        <v>4253</v>
      </c>
      <c r="C64" s="191">
        <f t="shared" si="14"/>
        <v>0.67861740127860892</v>
      </c>
      <c r="D64" s="191">
        <f t="shared" si="14"/>
        <v>0.11490207876499996</v>
      </c>
      <c r="E64" s="191">
        <f t="shared" si="14"/>
        <v>9.6928937627576983E-2</v>
      </c>
      <c r="F64" s="191">
        <f t="shared" si="14"/>
        <v>4.6096502623402681E-2</v>
      </c>
      <c r="G64" s="191">
        <f t="shared" si="14"/>
        <v>6.3455079705411366E-2</v>
      </c>
      <c r="H64" s="191">
        <f t="shared" si="14"/>
        <v>1</v>
      </c>
    </row>
    <row r="65" spans="1:8" x14ac:dyDescent="0.2">
      <c r="A65" s="33" t="s">
        <v>84</v>
      </c>
      <c r="B65" s="214">
        <f t="shared" si="13"/>
        <v>3947</v>
      </c>
      <c r="C65" s="191">
        <f t="shared" si="14"/>
        <v>0.65309295393762157</v>
      </c>
      <c r="D65" s="191">
        <f t="shared" si="14"/>
        <v>0.13547517933751846</v>
      </c>
      <c r="E65" s="191">
        <f t="shared" si="14"/>
        <v>9.2146869839457649E-2</v>
      </c>
      <c r="F65" s="191">
        <f t="shared" si="14"/>
        <v>8.1957260328729312E-2</v>
      </c>
      <c r="G65" s="191">
        <f t="shared" si="14"/>
        <v>3.7327736556673118E-2</v>
      </c>
      <c r="H65" s="191">
        <f t="shared" si="14"/>
        <v>1</v>
      </c>
    </row>
    <row r="66" spans="1:8" x14ac:dyDescent="0.2">
      <c r="A66" s="33" t="s">
        <v>85</v>
      </c>
      <c r="B66" s="220">
        <f t="shared" si="13"/>
        <v>1455</v>
      </c>
      <c r="C66" s="193">
        <f t="shared" si="14"/>
        <v>0.66153317130091083</v>
      </c>
      <c r="D66" s="193">
        <f t="shared" si="14"/>
        <v>0.17450399924501819</v>
      </c>
      <c r="E66" s="193">
        <f t="shared" si="14"/>
        <v>0.11496213703704819</v>
      </c>
      <c r="F66" s="193">
        <f t="shared" si="14"/>
        <v>3.8445603778141803E-2</v>
      </c>
      <c r="G66" s="193">
        <f t="shared" si="14"/>
        <v>1.0555088638880954E-2</v>
      </c>
      <c r="H66" s="193">
        <f t="shared" si="14"/>
        <v>1</v>
      </c>
    </row>
    <row r="67" spans="1:8" x14ac:dyDescent="0.2">
      <c r="A67" s="33" t="s">
        <v>104</v>
      </c>
      <c r="B67" s="214">
        <f t="shared" si="13"/>
        <v>38257</v>
      </c>
      <c r="C67" s="191">
        <f t="shared" si="14"/>
        <v>0.68177127890140932</v>
      </c>
      <c r="D67" s="191">
        <f t="shared" si="14"/>
        <v>0.11937117068433879</v>
      </c>
      <c r="E67" s="191">
        <f t="shared" si="14"/>
        <v>7.4103460265182067E-2</v>
      </c>
      <c r="F67" s="191">
        <f t="shared" si="14"/>
        <v>4.5069364178984966E-2</v>
      </c>
      <c r="G67" s="191">
        <f t="shared" si="14"/>
        <v>7.9684725970084774E-2</v>
      </c>
      <c r="H67" s="191">
        <f t="shared" si="14"/>
        <v>1</v>
      </c>
    </row>
    <row r="68" spans="1:8" x14ac:dyDescent="0.2">
      <c r="A68" s="33"/>
      <c r="B68" s="214"/>
      <c r="C68" s="191"/>
      <c r="D68" s="191"/>
      <c r="E68" s="191"/>
      <c r="F68" s="191"/>
      <c r="G68" s="191"/>
      <c r="H68" s="191"/>
    </row>
    <row r="69" spans="1:8" x14ac:dyDescent="0.2">
      <c r="A69" s="33" t="s">
        <v>86</v>
      </c>
      <c r="B69" s="214">
        <f>B19</f>
        <v>13573</v>
      </c>
      <c r="C69" s="191">
        <f t="shared" ref="C69:H71" si="15">C43/$H43</f>
        <v>0.67798565757778484</v>
      </c>
      <c r="D69" s="191">
        <f t="shared" si="15"/>
        <v>0.12542275228826227</v>
      </c>
      <c r="E69" s="191">
        <f t="shared" si="15"/>
        <v>7.5488631594076983E-2</v>
      </c>
      <c r="F69" s="191">
        <f t="shared" si="15"/>
        <v>2.9129367588483349E-2</v>
      </c>
      <c r="G69" s="191">
        <f t="shared" si="15"/>
        <v>9.1973590951392806E-2</v>
      </c>
      <c r="H69" s="191">
        <f t="shared" si="15"/>
        <v>1</v>
      </c>
    </row>
    <row r="70" spans="1:8" x14ac:dyDescent="0.2">
      <c r="A70" s="33" t="s">
        <v>87</v>
      </c>
      <c r="B70" s="220">
        <f>B20</f>
        <v>7917</v>
      </c>
      <c r="C70" s="193">
        <f t="shared" si="15"/>
        <v>0.6638596714142061</v>
      </c>
      <c r="D70" s="193">
        <f t="shared" si="15"/>
        <v>0.11745799183452449</v>
      </c>
      <c r="E70" s="193">
        <f t="shared" si="15"/>
        <v>0.13579461951756483</v>
      </c>
      <c r="F70" s="193">
        <f t="shared" si="15"/>
        <v>5.128241224254864E-2</v>
      </c>
      <c r="G70" s="193">
        <f t="shared" si="15"/>
        <v>3.1605304991156102E-2</v>
      </c>
      <c r="H70" s="193">
        <f t="shared" si="15"/>
        <v>1</v>
      </c>
    </row>
    <row r="71" spans="1:8" x14ac:dyDescent="0.2">
      <c r="A71" s="33" t="s">
        <v>105</v>
      </c>
      <c r="B71" s="214">
        <f>B21</f>
        <v>21490</v>
      </c>
      <c r="C71" s="191">
        <f t="shared" si="15"/>
        <v>0.67144790303524649</v>
      </c>
      <c r="D71" s="191">
        <f t="shared" si="15"/>
        <v>0.12173652123623761</v>
      </c>
      <c r="E71" s="191">
        <f t="shared" si="15"/>
        <v>0.10339930217830773</v>
      </c>
      <c r="F71" s="191">
        <f t="shared" si="15"/>
        <v>3.9382185808820531E-2</v>
      </c>
      <c r="G71" s="191">
        <f t="shared" si="15"/>
        <v>6.4034087741387857E-2</v>
      </c>
      <c r="H71" s="191">
        <f t="shared" si="15"/>
        <v>1</v>
      </c>
    </row>
    <row r="72" spans="1:8" x14ac:dyDescent="0.2">
      <c r="A72" s="33"/>
      <c r="B72" s="214"/>
      <c r="C72" s="191"/>
      <c r="D72" s="191"/>
      <c r="E72" s="191"/>
      <c r="F72" s="191"/>
      <c r="G72" s="191"/>
      <c r="H72" s="191"/>
    </row>
    <row r="73" spans="1:8" ht="13.5" thickBot="1" x14ac:dyDescent="0.25">
      <c r="A73" s="33" t="s">
        <v>230</v>
      </c>
      <c r="B73" s="222">
        <f>B71+B67+B60</f>
        <v>153614</v>
      </c>
      <c r="C73" s="195">
        <f t="shared" ref="C73:H73" si="16">C47/$H47</f>
        <v>0.70813600145498234</v>
      </c>
      <c r="D73" s="195">
        <f t="shared" si="16"/>
        <v>0.11297950538304764</v>
      </c>
      <c r="E73" s="195">
        <f t="shared" si="16"/>
        <v>7.4635173016667403E-2</v>
      </c>
      <c r="F73" s="195">
        <f t="shared" si="16"/>
        <v>3.9462407762386145E-2</v>
      </c>
      <c r="G73" s="195">
        <f t="shared" si="16"/>
        <v>6.4786912382916395E-2</v>
      </c>
      <c r="H73" s="195">
        <f t="shared" si="16"/>
        <v>1</v>
      </c>
    </row>
    <row r="74" spans="1:8" ht="13.5" thickTop="1" x14ac:dyDescent="0.2">
      <c r="A74" s="33"/>
      <c r="B74" s="182"/>
      <c r="C74" s="33"/>
      <c r="D74" s="33"/>
      <c r="E74" s="33"/>
      <c r="F74" s="33"/>
      <c r="G74" s="33"/>
      <c r="H74" s="191"/>
    </row>
  </sheetData>
  <pageMargins left="0.5" right="0.5" top="0.5" bottom="0.5" header="0.5" footer="0.5"/>
  <pageSetup scale="54"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133</vt:i4>
      </vt:variant>
      <vt:variant>
        <vt:lpstr>Named Ranges</vt:lpstr>
      </vt:variant>
      <vt:variant>
        <vt:i4>60</vt:i4>
      </vt:variant>
    </vt:vector>
  </HeadingPairs>
  <TitlesOfParts>
    <vt:vector size="193" baseType="lpstr">
      <vt:lpstr>Exp&amp;RevDefinition</vt:lpstr>
      <vt:lpstr>anbrecap</vt:lpstr>
      <vt:lpstr>revper</vt:lpstr>
      <vt:lpstr>rev$%recap</vt:lpstr>
      <vt:lpstr>23Rev</vt:lpstr>
      <vt:lpstr>22Rev</vt:lpstr>
      <vt:lpstr>21Rev</vt:lpstr>
      <vt:lpstr>20Rev</vt:lpstr>
      <vt:lpstr>19Rev</vt:lpstr>
      <vt:lpstr>18Rev</vt:lpstr>
      <vt:lpstr>17Rev</vt:lpstr>
      <vt:lpstr>16Rev</vt:lpstr>
      <vt:lpstr>15Rev</vt:lpstr>
      <vt:lpstr>14Rev</vt:lpstr>
      <vt:lpstr>13Rev</vt:lpstr>
      <vt:lpstr>12Rev</vt:lpstr>
      <vt:lpstr>11RevWith&amp;NO_ARRA</vt:lpstr>
      <vt:lpstr>10RevWith&amp;NO_ARRA</vt:lpstr>
      <vt:lpstr>09RevWith&amp;NO_ARRA</vt:lpstr>
      <vt:lpstr>08Rev</vt:lpstr>
      <vt:lpstr>07Rev</vt:lpstr>
      <vt:lpstr>06Rev</vt:lpstr>
      <vt:lpstr>05Rev</vt:lpstr>
      <vt:lpstr>04Rev</vt:lpstr>
      <vt:lpstr>03Rev</vt:lpstr>
      <vt:lpstr>02Rev</vt:lpstr>
      <vt:lpstr>01Rev</vt:lpstr>
      <vt:lpstr>00rev</vt:lpstr>
      <vt:lpstr>99rev</vt:lpstr>
      <vt:lpstr>98rev</vt:lpstr>
      <vt:lpstr>97rev</vt:lpstr>
      <vt:lpstr>96rev</vt:lpstr>
      <vt:lpstr>95rev</vt:lpstr>
      <vt:lpstr>94rev</vt:lpstr>
      <vt:lpstr>93rev</vt:lpstr>
      <vt:lpstr>92rev</vt:lpstr>
      <vt:lpstr>91rev</vt:lpstr>
      <vt:lpstr>exprecap</vt:lpstr>
      <vt:lpstr>exp$recap</vt:lpstr>
      <vt:lpstr>ExpChart2023</vt:lpstr>
      <vt:lpstr>ExpChart2022</vt:lpstr>
      <vt:lpstr>ExpChart2021</vt:lpstr>
      <vt:lpstr>ExpChart2020</vt:lpstr>
      <vt:lpstr>ExpChart2019</vt:lpstr>
      <vt:lpstr>ExpChart2018</vt:lpstr>
      <vt:lpstr>ExpChart2017</vt:lpstr>
      <vt:lpstr>ExpChart2016</vt:lpstr>
      <vt:lpstr>ExpChart2015</vt:lpstr>
      <vt:lpstr>ExpChart2014</vt:lpstr>
      <vt:lpstr>ExpChart2013</vt:lpstr>
      <vt:lpstr>ExpChart2012</vt:lpstr>
      <vt:lpstr>ExpChart2011NOARRANOSFSF</vt:lpstr>
      <vt:lpstr>ExpChart2011NOARRAWithSFSF</vt:lpstr>
      <vt:lpstr>ExpChart2011withARRA&amp;SFSF</vt:lpstr>
      <vt:lpstr>ExpChart2010NOARRANOSFSF</vt:lpstr>
      <vt:lpstr>ExpChart2010NOARRAWithSFSF</vt:lpstr>
      <vt:lpstr>ExpChart2010withARRA&amp;SFSF</vt:lpstr>
      <vt:lpstr>23func</vt:lpstr>
      <vt:lpstr>22func</vt:lpstr>
      <vt:lpstr>21func</vt:lpstr>
      <vt:lpstr>20func</vt:lpstr>
      <vt:lpstr>19func</vt:lpstr>
      <vt:lpstr>18func</vt:lpstr>
      <vt:lpstr>17func</vt:lpstr>
      <vt:lpstr>16func</vt:lpstr>
      <vt:lpstr>15func</vt:lpstr>
      <vt:lpstr>14func</vt:lpstr>
      <vt:lpstr>13func</vt:lpstr>
      <vt:lpstr>12func</vt:lpstr>
      <vt:lpstr>11func_NO_ARRA_NO_SFSF</vt:lpstr>
      <vt:lpstr>11func_NO_ARRA_With_SFSF</vt:lpstr>
      <vt:lpstr>11funcWithARRA&amp;SFSF</vt:lpstr>
      <vt:lpstr>10func_NO_ARRA_NO_SFSF</vt:lpstr>
      <vt:lpstr>10func_NO_ARRA_With_SFSF</vt:lpstr>
      <vt:lpstr>10funcWithARRA&amp;SFSF</vt:lpstr>
      <vt:lpstr>09func_NO_ARRA</vt:lpstr>
      <vt:lpstr>09funcWithARRA</vt:lpstr>
      <vt:lpstr>08func</vt:lpstr>
      <vt:lpstr>07func</vt:lpstr>
      <vt:lpstr>06func</vt:lpstr>
      <vt:lpstr>05func</vt:lpstr>
      <vt:lpstr>04func</vt:lpstr>
      <vt:lpstr>03func</vt:lpstr>
      <vt:lpstr>02func</vt:lpstr>
      <vt:lpstr>01func</vt:lpstr>
      <vt:lpstr>00func</vt:lpstr>
      <vt:lpstr>99func</vt:lpstr>
      <vt:lpstr>98func</vt:lpstr>
      <vt:lpstr>97func</vt:lpstr>
      <vt:lpstr>96func</vt:lpstr>
      <vt:lpstr>95func</vt:lpstr>
      <vt:lpstr>94func</vt:lpstr>
      <vt:lpstr>93func</vt:lpstr>
      <vt:lpstr>92func</vt:lpstr>
      <vt:lpstr>91func</vt:lpstr>
      <vt:lpstr>23obj</vt:lpstr>
      <vt:lpstr>22obj</vt:lpstr>
      <vt:lpstr>21obj</vt:lpstr>
      <vt:lpstr>20obj</vt:lpstr>
      <vt:lpstr>19obj</vt:lpstr>
      <vt:lpstr>18obj</vt:lpstr>
      <vt:lpstr>17obj</vt:lpstr>
      <vt:lpstr>16obj</vt:lpstr>
      <vt:lpstr>15obj</vt:lpstr>
      <vt:lpstr>14obj</vt:lpstr>
      <vt:lpstr>13obj</vt:lpstr>
      <vt:lpstr>12obj</vt:lpstr>
      <vt:lpstr>11obj_NO_ARRA_NO_SFSF</vt:lpstr>
      <vt:lpstr>11obj_NO_ARRA_With_SFSF</vt:lpstr>
      <vt:lpstr>11objWithARRA&amp;SFSF</vt:lpstr>
      <vt:lpstr>10obj_NO_ARRA_NO_SFSF</vt:lpstr>
      <vt:lpstr>10obj_NO_ARRA_With_SFSF</vt:lpstr>
      <vt:lpstr>10objWithARRA&amp;SFSF</vt:lpstr>
      <vt:lpstr>09obj_NO_ARRA</vt:lpstr>
      <vt:lpstr>09objWithARRA</vt:lpstr>
      <vt:lpstr>08obj</vt:lpstr>
      <vt:lpstr>07obj</vt:lpstr>
      <vt:lpstr>06obj</vt:lpstr>
      <vt:lpstr>05obj</vt:lpstr>
      <vt:lpstr>04obj</vt:lpstr>
      <vt:lpstr>03obj</vt:lpstr>
      <vt:lpstr>02obj</vt:lpstr>
      <vt:lpstr>01obj</vt:lpstr>
      <vt:lpstr>00obj</vt:lpstr>
      <vt:lpstr>99obj</vt:lpstr>
      <vt:lpstr>98obj</vt:lpstr>
      <vt:lpstr>97obj</vt:lpstr>
      <vt:lpstr>96obj</vt:lpstr>
      <vt:lpstr>95obj</vt:lpstr>
      <vt:lpstr>94obj</vt:lpstr>
      <vt:lpstr>93obj</vt:lpstr>
      <vt:lpstr>92obj</vt:lpstr>
      <vt:lpstr>91obj</vt:lpstr>
      <vt:lpstr>'00func'!Print_Area</vt:lpstr>
      <vt:lpstr>'00obj'!Print_Area</vt:lpstr>
      <vt:lpstr>'00rev'!Print_Area</vt:lpstr>
      <vt:lpstr>'01func'!Print_Area</vt:lpstr>
      <vt:lpstr>'01obj'!Print_Area</vt:lpstr>
      <vt:lpstr>'01Rev'!Print_Area</vt:lpstr>
      <vt:lpstr>'02func'!Print_Area</vt:lpstr>
      <vt:lpstr>'02obj'!Print_Area</vt:lpstr>
      <vt:lpstr>'02Rev'!Print_Area</vt:lpstr>
      <vt:lpstr>'03func'!Print_Area</vt:lpstr>
      <vt:lpstr>'04func'!Print_Area</vt:lpstr>
      <vt:lpstr>'06Rev'!Print_Area</vt:lpstr>
      <vt:lpstr>'07Rev'!Print_Area</vt:lpstr>
      <vt:lpstr>'08Rev'!Print_Area</vt:lpstr>
      <vt:lpstr>'09RevWith&amp;NO_ARRA'!Print_Area</vt:lpstr>
      <vt:lpstr>'10RevWith&amp;NO_ARRA'!Print_Area</vt:lpstr>
      <vt:lpstr>'11RevWith&amp;NO_ARRA'!Print_Area</vt:lpstr>
      <vt:lpstr>'12Rev'!Print_Area</vt:lpstr>
      <vt:lpstr>'13Rev'!Print_Area</vt:lpstr>
      <vt:lpstr>'14Rev'!Print_Area</vt:lpstr>
      <vt:lpstr>'15Rev'!Print_Area</vt:lpstr>
      <vt:lpstr>'16Rev'!Print_Area</vt:lpstr>
      <vt:lpstr>'17Rev'!Print_Area</vt:lpstr>
      <vt:lpstr>'18Rev'!Print_Area</vt:lpstr>
      <vt:lpstr>'19Rev'!Print_Area</vt:lpstr>
      <vt:lpstr>'20Rev'!Print_Area</vt:lpstr>
      <vt:lpstr>'21Rev'!Print_Area</vt:lpstr>
      <vt:lpstr>'22Rev'!Print_Area</vt:lpstr>
      <vt:lpstr>'23Rev'!Print_Area</vt:lpstr>
      <vt:lpstr>'91func'!Print_Area</vt:lpstr>
      <vt:lpstr>'91obj'!Print_Area</vt:lpstr>
      <vt:lpstr>'91rev'!Print_Area</vt:lpstr>
      <vt:lpstr>'92func'!Print_Area</vt:lpstr>
      <vt:lpstr>'92obj'!Print_Area</vt:lpstr>
      <vt:lpstr>'92rev'!Print_Area</vt:lpstr>
      <vt:lpstr>'93func'!Print_Area</vt:lpstr>
      <vt:lpstr>'93obj'!Print_Area</vt:lpstr>
      <vt:lpstr>'93rev'!Print_Area</vt:lpstr>
      <vt:lpstr>'94func'!Print_Area</vt:lpstr>
      <vt:lpstr>'94obj'!Print_Area</vt:lpstr>
      <vt:lpstr>'94rev'!Print_Area</vt:lpstr>
      <vt:lpstr>'95obj'!Print_Area</vt:lpstr>
      <vt:lpstr>'95rev'!Print_Area</vt:lpstr>
      <vt:lpstr>'96func'!Print_Area</vt:lpstr>
      <vt:lpstr>'96obj'!Print_Area</vt:lpstr>
      <vt:lpstr>'96rev'!Print_Area</vt:lpstr>
      <vt:lpstr>'97func'!Print_Area</vt:lpstr>
      <vt:lpstr>'97obj'!Print_Area</vt:lpstr>
      <vt:lpstr>'97rev'!Print_Area</vt:lpstr>
      <vt:lpstr>'98func'!Print_Area</vt:lpstr>
      <vt:lpstr>'98obj'!Print_Area</vt:lpstr>
      <vt:lpstr>'98rev'!Print_Area</vt:lpstr>
      <vt:lpstr>'99func'!Print_Area</vt:lpstr>
      <vt:lpstr>'99obj'!Print_Area</vt:lpstr>
      <vt:lpstr>'99rev'!Print_Area</vt:lpstr>
      <vt:lpstr>anbrecap!Print_Area</vt:lpstr>
      <vt:lpstr>'exp$recap'!Print_Area</vt:lpstr>
      <vt:lpstr>'Exp&amp;RevDefinition'!Print_Area</vt:lpstr>
      <vt:lpstr>exprecap!Print_Area</vt:lpstr>
      <vt:lpstr>'rev$%recap'!Print_Area</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Oberembt</dc:creator>
  <cp:lastModifiedBy>Belmont, Autumn</cp:lastModifiedBy>
  <cp:lastPrinted>2022-12-22T16:19:12Z</cp:lastPrinted>
  <dcterms:created xsi:type="dcterms:W3CDTF">2000-08-28T20:18:34Z</dcterms:created>
  <dcterms:modified xsi:type="dcterms:W3CDTF">2023-12-21T15:32:18Z</dcterms:modified>
</cp:coreProperties>
</file>